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chael G\Documents\"/>
    </mc:Choice>
  </mc:AlternateContent>
  <xr:revisionPtr revIDLastSave="0" documentId="13_ncr:1_{BEA66A4D-4869-4759-96AB-10FE55B8E65F}" xr6:coauthVersionLast="45" xr6:coauthVersionMax="45" xr10:uidLastSave="{00000000-0000-0000-0000-000000000000}"/>
  <bookViews>
    <workbookView xWindow="38280" yWindow="-120" windowWidth="38640" windowHeight="21390" activeTab="1" xr2:uid="{423AC37B-C319-4CA7-8768-6A50AC261937}"/>
  </bookViews>
  <sheets>
    <sheet name="Range Bound Play 1 (V1)" sheetId="1" r:id="rId1"/>
    <sheet name="Range Bound Play 1 (V2)-FLAT" sheetId="4" r:id="rId2"/>
    <sheet name="Basic Visual of setup" sheetId="7" r:id="rId3"/>
    <sheet name="Basic Analysis" sheetId="6" r:id="rId4"/>
    <sheet name="Misc." sheetId="3" r:id="rId5"/>
  </sheets>
  <externalReferences>
    <externalReference r:id="rId6"/>
  </externalReferences>
  <definedNames>
    <definedName name="_xlchart.v1.0" hidden="1">'Range Bound Play 1 (V2)-FLAT'!$Q$2:$Q$174</definedName>
    <definedName name="_xlchart.v1.1" hidden="1">'Range Bound Play 1 (V2)-FLAT'!$AL$2:$AL$174</definedName>
    <definedName name="_xlchart.v1.2" hidden="1">'Range Bound Play 1 (V2)-FLAT'!$Z$2:$Z$174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3" i="1" l="1"/>
  <c r="P32" i="6"/>
  <c r="Q32" i="6"/>
  <c r="R32" i="6"/>
  <c r="AO84" i="4" l="1"/>
  <c r="AO174" i="4"/>
  <c r="AO85" i="4"/>
  <c r="AO81" i="4"/>
  <c r="AO77" i="4"/>
  <c r="AO75" i="4"/>
  <c r="AO74" i="4"/>
  <c r="AO67" i="4"/>
  <c r="AO53" i="4"/>
  <c r="AO51" i="4"/>
  <c r="AO48" i="4"/>
  <c r="AO42" i="4"/>
  <c r="AO38" i="4"/>
  <c r="AO34" i="4"/>
  <c r="AO31" i="4"/>
  <c r="AO13" i="4"/>
  <c r="AO8" i="4"/>
  <c r="AO7" i="4"/>
  <c r="AO3" i="4"/>
  <c r="AO2" i="4"/>
  <c r="AO86" i="4"/>
  <c r="AO87" i="4"/>
  <c r="AO88" i="4"/>
  <c r="AO89" i="4"/>
  <c r="AO90" i="4"/>
  <c r="AO91" i="4"/>
  <c r="AO92" i="4"/>
  <c r="AO93" i="4"/>
  <c r="AO94" i="4"/>
  <c r="AO95" i="4"/>
  <c r="AO96" i="4"/>
  <c r="AO97" i="4"/>
  <c r="AO98" i="4"/>
  <c r="AO99" i="4"/>
  <c r="AO100" i="4"/>
  <c r="AO101" i="4"/>
  <c r="AO102" i="4"/>
  <c r="AO103" i="4"/>
  <c r="AO104" i="4"/>
  <c r="AO105" i="4"/>
  <c r="AO106" i="4"/>
  <c r="AO107" i="4"/>
  <c r="AO108" i="4"/>
  <c r="AO109" i="4"/>
  <c r="AO110" i="4"/>
  <c r="AO111" i="4"/>
  <c r="AO112" i="4"/>
  <c r="AO113" i="4"/>
  <c r="AO114" i="4"/>
  <c r="AO115" i="4"/>
  <c r="AO116" i="4"/>
  <c r="AO117" i="4"/>
  <c r="AO118" i="4"/>
  <c r="AO119" i="4"/>
  <c r="AO120" i="4"/>
  <c r="AO121" i="4"/>
  <c r="AO122" i="4"/>
  <c r="AO123" i="4"/>
  <c r="AO124" i="4"/>
  <c r="AO125" i="4"/>
  <c r="AO126" i="4"/>
  <c r="AO127" i="4"/>
  <c r="AO128" i="4"/>
  <c r="AO129" i="4"/>
  <c r="AO130" i="4"/>
  <c r="AO131" i="4"/>
  <c r="AO132" i="4"/>
  <c r="AO133" i="4"/>
  <c r="AO134" i="4"/>
  <c r="AO135" i="4"/>
  <c r="AO136" i="4"/>
  <c r="AO137" i="4"/>
  <c r="AO138" i="4"/>
  <c r="AO139" i="4"/>
  <c r="AO140" i="4"/>
  <c r="AO141" i="4"/>
  <c r="AO142" i="4"/>
  <c r="AO143" i="4"/>
  <c r="AO144" i="4"/>
  <c r="AO145" i="4"/>
  <c r="AO146" i="4"/>
  <c r="AO147" i="4"/>
  <c r="AO148" i="4"/>
  <c r="AO149" i="4"/>
  <c r="AO150" i="4"/>
  <c r="AO151" i="4"/>
  <c r="AO152" i="4"/>
  <c r="AO153" i="4"/>
  <c r="AO154" i="4"/>
  <c r="AO155" i="4"/>
  <c r="AO156" i="4"/>
  <c r="AO157" i="4"/>
  <c r="AO158" i="4"/>
  <c r="AO159" i="4"/>
  <c r="AO160" i="4"/>
  <c r="AO161" i="4"/>
  <c r="AO162" i="4"/>
  <c r="AO163" i="4"/>
  <c r="AO164" i="4"/>
  <c r="AO165" i="4"/>
  <c r="AO166" i="4"/>
  <c r="AO167" i="4"/>
  <c r="AO168" i="4"/>
  <c r="AO169" i="4"/>
  <c r="AO170" i="4"/>
  <c r="AO171" i="4"/>
  <c r="AO172" i="4"/>
  <c r="AO173" i="4"/>
  <c r="AM84" i="4"/>
  <c r="AM174" i="4"/>
  <c r="AM85" i="4"/>
  <c r="AM81" i="4"/>
  <c r="AM77" i="4"/>
  <c r="AM75" i="4"/>
  <c r="AM74" i="4"/>
  <c r="AM67" i="4"/>
  <c r="AM53" i="4"/>
  <c r="AM51" i="4"/>
  <c r="AM48" i="4"/>
  <c r="AM42" i="4"/>
  <c r="AM38" i="4"/>
  <c r="AM34" i="4"/>
  <c r="AM31" i="4"/>
  <c r="AM13" i="4"/>
  <c r="AM8" i="4"/>
  <c r="AM7" i="4"/>
  <c r="AM3" i="4"/>
  <c r="AM2" i="4"/>
  <c r="AM86" i="4"/>
  <c r="AM87" i="4"/>
  <c r="AM88" i="4"/>
  <c r="AM89" i="4"/>
  <c r="AM90" i="4"/>
  <c r="AM91" i="4"/>
  <c r="AM92" i="4"/>
  <c r="AM93" i="4"/>
  <c r="AM94" i="4"/>
  <c r="AM95" i="4"/>
  <c r="AM96" i="4"/>
  <c r="AM97" i="4"/>
  <c r="AM98" i="4"/>
  <c r="AM99" i="4"/>
  <c r="AM100" i="4"/>
  <c r="AM101" i="4"/>
  <c r="AM102" i="4"/>
  <c r="AM103" i="4"/>
  <c r="AM104" i="4"/>
  <c r="AM105" i="4"/>
  <c r="AM106" i="4"/>
  <c r="AM107" i="4"/>
  <c r="AM108" i="4"/>
  <c r="AM109" i="4"/>
  <c r="AM110" i="4"/>
  <c r="AM111" i="4"/>
  <c r="AM112" i="4"/>
  <c r="AM113" i="4"/>
  <c r="AM114" i="4"/>
  <c r="AM115" i="4"/>
  <c r="AM116" i="4"/>
  <c r="AM117" i="4"/>
  <c r="AM118" i="4"/>
  <c r="AM119" i="4"/>
  <c r="AM120" i="4"/>
  <c r="AM121" i="4"/>
  <c r="AM122" i="4"/>
  <c r="AM123" i="4"/>
  <c r="AM124" i="4"/>
  <c r="AM125" i="4"/>
  <c r="AM126" i="4"/>
  <c r="AM127" i="4"/>
  <c r="AM128" i="4"/>
  <c r="AM129" i="4"/>
  <c r="AM130" i="4"/>
  <c r="AM131" i="4"/>
  <c r="AM132" i="4"/>
  <c r="AM133" i="4"/>
  <c r="AM134" i="4"/>
  <c r="AM135" i="4"/>
  <c r="AM136" i="4"/>
  <c r="AM137" i="4"/>
  <c r="AM138" i="4"/>
  <c r="AM139" i="4"/>
  <c r="AM140" i="4"/>
  <c r="AM141" i="4"/>
  <c r="AM142" i="4"/>
  <c r="AM143" i="4"/>
  <c r="AM144" i="4"/>
  <c r="AM145" i="4"/>
  <c r="AM146" i="4"/>
  <c r="AM147" i="4"/>
  <c r="AM148" i="4"/>
  <c r="AM149" i="4"/>
  <c r="AM150" i="4"/>
  <c r="AM151" i="4"/>
  <c r="AM152" i="4"/>
  <c r="AM153" i="4"/>
  <c r="AM154" i="4"/>
  <c r="AM155" i="4"/>
  <c r="AM156" i="4"/>
  <c r="AM157" i="4"/>
  <c r="AM158" i="4"/>
  <c r="AM159" i="4"/>
  <c r="AM160" i="4"/>
  <c r="AM161" i="4"/>
  <c r="AM162" i="4"/>
  <c r="AM163" i="4"/>
  <c r="AM164" i="4"/>
  <c r="AM165" i="4"/>
  <c r="AM166" i="4"/>
  <c r="AM167" i="4"/>
  <c r="AM168" i="4"/>
  <c r="AM169" i="4"/>
  <c r="AM170" i="4"/>
  <c r="AM171" i="4"/>
  <c r="AM172" i="4"/>
  <c r="AM173" i="4"/>
  <c r="AL81" i="4"/>
  <c r="AL77" i="4"/>
  <c r="AL75" i="4"/>
  <c r="AL74" i="4"/>
  <c r="AL67" i="4"/>
  <c r="AL53" i="4"/>
  <c r="AL51" i="4"/>
  <c r="AL48" i="4"/>
  <c r="AL42" i="4"/>
  <c r="AL38" i="4"/>
  <c r="AK38" i="4" s="1"/>
  <c r="AL34" i="4"/>
  <c r="AL31" i="4"/>
  <c r="AL13" i="4"/>
  <c r="AL8" i="4"/>
  <c r="AL7" i="4"/>
  <c r="AK7" i="4" s="1"/>
  <c r="AL3" i="4"/>
  <c r="AL2" i="4"/>
  <c r="AL86" i="4"/>
  <c r="AL87" i="4"/>
  <c r="AK87" i="4" s="1"/>
  <c r="AL88" i="4"/>
  <c r="AK88" i="4" s="1"/>
  <c r="AL89" i="4"/>
  <c r="AK89" i="4" s="1"/>
  <c r="AL90" i="4"/>
  <c r="AK90" i="4" s="1"/>
  <c r="AL91" i="4"/>
  <c r="AK91" i="4" s="1"/>
  <c r="AL92" i="4"/>
  <c r="AK92" i="4" s="1"/>
  <c r="AL93" i="4"/>
  <c r="AL94" i="4"/>
  <c r="AL95" i="4"/>
  <c r="AL96" i="4"/>
  <c r="AL97" i="4"/>
  <c r="AL98" i="4"/>
  <c r="AK98" i="4" s="1"/>
  <c r="AL99" i="4"/>
  <c r="AK99" i="4" s="1"/>
  <c r="AL100" i="4"/>
  <c r="AL101" i="4"/>
  <c r="AL102" i="4"/>
  <c r="AK102" i="4" s="1"/>
  <c r="AL103" i="4"/>
  <c r="AK103" i="4" s="1"/>
  <c r="AL104" i="4"/>
  <c r="AL105" i="4"/>
  <c r="AL106" i="4"/>
  <c r="AL107" i="4"/>
  <c r="AL108" i="4"/>
  <c r="AL109" i="4"/>
  <c r="AL110" i="4"/>
  <c r="AK110" i="4" s="1"/>
  <c r="AL111" i="4"/>
  <c r="AK111" i="4" s="1"/>
  <c r="AL112" i="4"/>
  <c r="AL113" i="4"/>
  <c r="AL114" i="4"/>
  <c r="AK114" i="4" s="1"/>
  <c r="AL115" i="4"/>
  <c r="AK115" i="4" s="1"/>
  <c r="AL116" i="4"/>
  <c r="AK116" i="4" s="1"/>
  <c r="AL117" i="4"/>
  <c r="AL118" i="4"/>
  <c r="AL119" i="4"/>
  <c r="AL120" i="4"/>
  <c r="AL121" i="4"/>
  <c r="AK121" i="4" s="1"/>
  <c r="AL122" i="4"/>
  <c r="AL123" i="4"/>
  <c r="AL124" i="4"/>
  <c r="AL125" i="4"/>
  <c r="AL126" i="4"/>
  <c r="AK126" i="4" s="1"/>
  <c r="AL127" i="4"/>
  <c r="AK127" i="4" s="1"/>
  <c r="AL128" i="4"/>
  <c r="AL129" i="4"/>
  <c r="AL130" i="4"/>
  <c r="AL131" i="4"/>
  <c r="AK131" i="4" s="1"/>
  <c r="AL132" i="4"/>
  <c r="AL133" i="4"/>
  <c r="AL134" i="4"/>
  <c r="AK134" i="4" s="1"/>
  <c r="AL135" i="4"/>
  <c r="AK135" i="4" s="1"/>
  <c r="AL136" i="4"/>
  <c r="AK136" i="4" s="1"/>
  <c r="AL137" i="4"/>
  <c r="AL138" i="4"/>
  <c r="AK138" i="4" s="1"/>
  <c r="AL139" i="4"/>
  <c r="AK139" i="4" s="1"/>
  <c r="AL140" i="4"/>
  <c r="AK140" i="4" s="1"/>
  <c r="AL141" i="4"/>
  <c r="AL142" i="4"/>
  <c r="AL143" i="4"/>
  <c r="AL144" i="4"/>
  <c r="AL145" i="4"/>
  <c r="AK145" i="4" s="1"/>
  <c r="AL146" i="4"/>
  <c r="AK146" i="4" s="1"/>
  <c r="AL147" i="4"/>
  <c r="AK147" i="4" s="1"/>
  <c r="AL148" i="4"/>
  <c r="AL149" i="4"/>
  <c r="AL150" i="4"/>
  <c r="AK150" i="4" s="1"/>
  <c r="AL151" i="4"/>
  <c r="AK151" i="4" s="1"/>
  <c r="AL152" i="4"/>
  <c r="AK152" i="4" s="1"/>
  <c r="AL153" i="4"/>
  <c r="AL154" i="4"/>
  <c r="AK154" i="4" s="1"/>
  <c r="AL155" i="4"/>
  <c r="AK155" i="4" s="1"/>
  <c r="AL156" i="4"/>
  <c r="AL157" i="4"/>
  <c r="AL158" i="4"/>
  <c r="AK158" i="4" s="1"/>
  <c r="AL159" i="4"/>
  <c r="AK159" i="4" s="1"/>
  <c r="AL160" i="4"/>
  <c r="AK160" i="4" s="1"/>
  <c r="AL161" i="4"/>
  <c r="AK161" i="4" s="1"/>
  <c r="AL162" i="4"/>
  <c r="AK162" i="4" s="1"/>
  <c r="AL163" i="4"/>
  <c r="AK163" i="4" s="1"/>
  <c r="AL164" i="4"/>
  <c r="AK164" i="4" s="1"/>
  <c r="AL165" i="4"/>
  <c r="AL166" i="4"/>
  <c r="AL167" i="4"/>
  <c r="AK167" i="4" s="1"/>
  <c r="AL168" i="4"/>
  <c r="AK168" i="4" s="1"/>
  <c r="AL169" i="4"/>
  <c r="AK169" i="4" s="1"/>
  <c r="AL170" i="4"/>
  <c r="AK170" i="4" s="1"/>
  <c r="AL171" i="4"/>
  <c r="AK171" i="4" s="1"/>
  <c r="AL172" i="4"/>
  <c r="AK172" i="4" s="1"/>
  <c r="AL173" i="4"/>
  <c r="AK173" i="4" s="1"/>
  <c r="Z83" i="4"/>
  <c r="Z84" i="4"/>
  <c r="Z174" i="4"/>
  <c r="Z85" i="4"/>
  <c r="Z81" i="4"/>
  <c r="Z77" i="4"/>
  <c r="Z75" i="4"/>
  <c r="Z74" i="4"/>
  <c r="Z67" i="4"/>
  <c r="Z53" i="4"/>
  <c r="Z51" i="4"/>
  <c r="Z48" i="4"/>
  <c r="AA48" i="4" s="1"/>
  <c r="Z42" i="4"/>
  <c r="Z38" i="4"/>
  <c r="Z34" i="4"/>
  <c r="Z31" i="4"/>
  <c r="Z13" i="4"/>
  <c r="Z8" i="4"/>
  <c r="Z7" i="4"/>
  <c r="Z3" i="4"/>
  <c r="Z2"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E103" i="4"/>
  <c r="E102" i="4"/>
  <c r="E101" i="4"/>
  <c r="E100" i="4"/>
  <c r="E84" i="4"/>
  <c r="E99" i="4"/>
  <c r="E98" i="4"/>
  <c r="E97" i="4"/>
  <c r="E96" i="4"/>
  <c r="E95" i="4"/>
  <c r="E94" i="4"/>
  <c r="E83" i="4"/>
  <c r="E93" i="4"/>
  <c r="E92" i="4"/>
  <c r="E91" i="4"/>
  <c r="E90" i="4"/>
  <c r="E89" i="4"/>
  <c r="E88" i="4"/>
  <c r="E87" i="4"/>
  <c r="E86" i="4"/>
  <c r="E2" i="4"/>
  <c r="E8" i="4"/>
  <c r="E53" i="4"/>
  <c r="E77" i="4"/>
  <c r="E48" i="4"/>
  <c r="E7" i="4"/>
  <c r="E13" i="4"/>
  <c r="E67" i="4"/>
  <c r="E34" i="4"/>
  <c r="E74" i="4"/>
  <c r="E42" i="4"/>
  <c r="E31" i="4"/>
  <c r="E81" i="4"/>
  <c r="E3" i="4"/>
  <c r="E75" i="4"/>
  <c r="AA102" i="4"/>
  <c r="AB102" i="4"/>
  <c r="AC102" i="4"/>
  <c r="AE102" i="4"/>
  <c r="AF102" i="4"/>
  <c r="AH102" i="4"/>
  <c r="AI102" i="4"/>
  <c r="AJ102" i="4"/>
  <c r="AN102" i="4"/>
  <c r="AP102" i="4"/>
  <c r="Y102" i="4" s="1"/>
  <c r="P63" i="4"/>
  <c r="Z63" i="4"/>
  <c r="AA63" i="4"/>
  <c r="AB63" i="4"/>
  <c r="AC63" i="4"/>
  <c r="AD63" i="4"/>
  <c r="AE63" i="4"/>
  <c r="AF63" i="4"/>
  <c r="AG63" i="4"/>
  <c r="AH63" i="4"/>
  <c r="AI63" i="4"/>
  <c r="AJ63" i="4"/>
  <c r="AL63" i="4"/>
  <c r="AM63" i="4"/>
  <c r="AN63" i="4"/>
  <c r="AO63" i="4"/>
  <c r="AP63" i="4"/>
  <c r="Y63" i="4" s="1"/>
  <c r="AP173" i="4"/>
  <c r="AQ173" i="4" s="1"/>
  <c r="AN173" i="4"/>
  <c r="AJ173" i="4"/>
  <c r="AI173" i="4"/>
  <c r="AH173" i="4"/>
  <c r="AF173" i="4"/>
  <c r="AE173" i="4"/>
  <c r="AC173" i="4"/>
  <c r="AB173" i="4"/>
  <c r="AA173" i="4"/>
  <c r="AP172" i="4"/>
  <c r="Y172" i="4" s="1"/>
  <c r="AN172" i="4"/>
  <c r="AJ172" i="4"/>
  <c r="AI172" i="4"/>
  <c r="AH172" i="4"/>
  <c r="AF172" i="4"/>
  <c r="AE172" i="4"/>
  <c r="AC172" i="4"/>
  <c r="AB172" i="4"/>
  <c r="AA172" i="4"/>
  <c r="AP171" i="4"/>
  <c r="AQ171" i="4" s="1"/>
  <c r="AN171" i="4"/>
  <c r="AJ171" i="4"/>
  <c r="AI171" i="4"/>
  <c r="AH171" i="4"/>
  <c r="AF171" i="4"/>
  <c r="AE171" i="4"/>
  <c r="AC171" i="4"/>
  <c r="AB171" i="4"/>
  <c r="AA171" i="4"/>
  <c r="AP170" i="4"/>
  <c r="Y170" i="4" s="1"/>
  <c r="AN170" i="4"/>
  <c r="AJ170" i="4"/>
  <c r="AI170" i="4"/>
  <c r="AH170" i="4"/>
  <c r="AF170" i="4"/>
  <c r="AE170" i="4"/>
  <c r="AC170" i="4"/>
  <c r="AB170" i="4"/>
  <c r="AA170" i="4"/>
  <c r="AP103" i="4"/>
  <c r="Y103" i="4" s="1"/>
  <c r="AN103" i="4"/>
  <c r="AJ103" i="4"/>
  <c r="AI103" i="4"/>
  <c r="AH103" i="4"/>
  <c r="AF103" i="4"/>
  <c r="AE103" i="4"/>
  <c r="AC103" i="4"/>
  <c r="AB103" i="4"/>
  <c r="AA103" i="4"/>
  <c r="AP168" i="4"/>
  <c r="Y168" i="4" s="1"/>
  <c r="AN168" i="4"/>
  <c r="AJ168" i="4"/>
  <c r="AI168" i="4"/>
  <c r="AH168" i="4"/>
  <c r="AF168" i="4"/>
  <c r="AE168" i="4"/>
  <c r="AC168" i="4"/>
  <c r="AB168" i="4"/>
  <c r="AA168" i="4"/>
  <c r="AP167" i="4"/>
  <c r="Y167" i="4" s="1"/>
  <c r="AN167" i="4"/>
  <c r="AJ167" i="4"/>
  <c r="AI167" i="4"/>
  <c r="AH167" i="4"/>
  <c r="AF167" i="4"/>
  <c r="AE167" i="4"/>
  <c r="AC167" i="4"/>
  <c r="AB167" i="4"/>
  <c r="AA167" i="4"/>
  <c r="AP166" i="4"/>
  <c r="Y166" i="4" s="1"/>
  <c r="AN166" i="4"/>
  <c r="AK166" i="4"/>
  <c r="AJ166" i="4"/>
  <c r="AI166" i="4"/>
  <c r="AH166" i="4"/>
  <c r="AF166" i="4"/>
  <c r="AE166" i="4"/>
  <c r="AC166" i="4"/>
  <c r="AB166" i="4"/>
  <c r="AA166" i="4"/>
  <c r="AP165" i="4"/>
  <c r="Y165" i="4" s="1"/>
  <c r="AN165" i="4"/>
  <c r="AK165" i="4"/>
  <c r="AJ165" i="4"/>
  <c r="AI165" i="4"/>
  <c r="AH165" i="4"/>
  <c r="AF165" i="4"/>
  <c r="AE165" i="4"/>
  <c r="AC165" i="4"/>
  <c r="AB165" i="4"/>
  <c r="AA165" i="4"/>
  <c r="AP116" i="4"/>
  <c r="Y116" i="4" s="1"/>
  <c r="AN116" i="4"/>
  <c r="AJ116" i="4"/>
  <c r="AI116" i="4"/>
  <c r="AH116" i="4"/>
  <c r="AF116" i="4"/>
  <c r="AE116" i="4"/>
  <c r="AC116" i="4"/>
  <c r="AB116" i="4"/>
  <c r="AA116" i="4"/>
  <c r="AP164" i="4"/>
  <c r="AQ164" i="4" s="1"/>
  <c r="AN164" i="4"/>
  <c r="AJ164" i="4"/>
  <c r="AI164" i="4"/>
  <c r="AH164" i="4"/>
  <c r="AF164" i="4"/>
  <c r="AE164" i="4"/>
  <c r="AC164" i="4"/>
  <c r="AB164" i="4"/>
  <c r="AA164" i="4"/>
  <c r="AP51" i="4"/>
  <c r="Y51" i="4" s="1"/>
  <c r="AN51" i="4"/>
  <c r="AK51" i="4"/>
  <c r="AJ51" i="4"/>
  <c r="AI51" i="4"/>
  <c r="AH51" i="4"/>
  <c r="AF51" i="4"/>
  <c r="AE51" i="4"/>
  <c r="AC51" i="4"/>
  <c r="AB51" i="4"/>
  <c r="AA51" i="4"/>
  <c r="AP38" i="4"/>
  <c r="Y38" i="4" s="1"/>
  <c r="AN38" i="4"/>
  <c r="AJ38" i="4"/>
  <c r="AI38" i="4"/>
  <c r="AH38" i="4"/>
  <c r="AF38" i="4"/>
  <c r="AE38" i="4"/>
  <c r="AC38" i="4"/>
  <c r="AB38" i="4"/>
  <c r="AA38" i="4"/>
  <c r="AP163" i="4"/>
  <c r="Y163" i="4" s="1"/>
  <c r="AN163" i="4"/>
  <c r="AJ163" i="4"/>
  <c r="AI163" i="4"/>
  <c r="AH163" i="4"/>
  <c r="AF163" i="4"/>
  <c r="AE163" i="4"/>
  <c r="AC163" i="4"/>
  <c r="AB163" i="4"/>
  <c r="AA163" i="4"/>
  <c r="AP162" i="4"/>
  <c r="AQ162" i="4" s="1"/>
  <c r="AN162" i="4"/>
  <c r="AJ162" i="4"/>
  <c r="AI162" i="4"/>
  <c r="AH162" i="4"/>
  <c r="AF162" i="4"/>
  <c r="AE162" i="4"/>
  <c r="AC162" i="4"/>
  <c r="AB162" i="4"/>
  <c r="AA162" i="4"/>
  <c r="AP99" i="4"/>
  <c r="AQ99" i="4" s="1"/>
  <c r="AN99" i="4"/>
  <c r="AJ99" i="4"/>
  <c r="AI99" i="4"/>
  <c r="AH99" i="4"/>
  <c r="AF99" i="4"/>
  <c r="AE99" i="4"/>
  <c r="AC99" i="4"/>
  <c r="AB99" i="4"/>
  <c r="AA99" i="4"/>
  <c r="AP161" i="4"/>
  <c r="AQ161" i="4" s="1"/>
  <c r="AN161" i="4"/>
  <c r="AJ161" i="4"/>
  <c r="AI161" i="4"/>
  <c r="AH161" i="4"/>
  <c r="AF161" i="4"/>
  <c r="AE161" i="4"/>
  <c r="AC161" i="4"/>
  <c r="AB161" i="4"/>
  <c r="AA161" i="4"/>
  <c r="AP160" i="4"/>
  <c r="Y160" i="4" s="1"/>
  <c r="AN160" i="4"/>
  <c r="AJ160" i="4"/>
  <c r="AI160" i="4"/>
  <c r="AH160" i="4"/>
  <c r="AF160" i="4"/>
  <c r="AE160" i="4"/>
  <c r="AC160" i="4"/>
  <c r="AB160" i="4"/>
  <c r="AA160" i="4"/>
  <c r="AP98" i="4"/>
  <c r="AQ98" i="4" s="1"/>
  <c r="AN98" i="4"/>
  <c r="AJ98" i="4"/>
  <c r="AI98" i="4"/>
  <c r="AH98" i="4"/>
  <c r="AF98" i="4"/>
  <c r="AE98" i="4"/>
  <c r="AC98" i="4"/>
  <c r="AB98" i="4"/>
  <c r="AA98" i="4"/>
  <c r="AP97" i="4"/>
  <c r="Y97" i="4" s="1"/>
  <c r="AN97" i="4"/>
  <c r="AK97" i="4"/>
  <c r="AJ97" i="4"/>
  <c r="AI97" i="4"/>
  <c r="AH97" i="4"/>
  <c r="AF97" i="4"/>
  <c r="AE97" i="4"/>
  <c r="AC97" i="4"/>
  <c r="AB97" i="4"/>
  <c r="AA97" i="4"/>
  <c r="AP159" i="4"/>
  <c r="AQ159" i="4" s="1"/>
  <c r="AN159" i="4"/>
  <c r="AJ159" i="4"/>
  <c r="AI159" i="4"/>
  <c r="AH159" i="4"/>
  <c r="AF159" i="4"/>
  <c r="AE159" i="4"/>
  <c r="AC159" i="4"/>
  <c r="AB159" i="4"/>
  <c r="AA159" i="4"/>
  <c r="AP121" i="4"/>
  <c r="Y121" i="4" s="1"/>
  <c r="AN121" i="4"/>
  <c r="AJ121" i="4"/>
  <c r="AI121" i="4"/>
  <c r="AH121" i="4"/>
  <c r="AF121" i="4"/>
  <c r="AE121" i="4"/>
  <c r="AC121" i="4"/>
  <c r="AB121" i="4"/>
  <c r="AA121" i="4"/>
  <c r="AP96" i="4"/>
  <c r="Y96" i="4" s="1"/>
  <c r="AN96" i="4"/>
  <c r="AK96" i="4"/>
  <c r="AJ96" i="4"/>
  <c r="AI96" i="4"/>
  <c r="AH96" i="4"/>
  <c r="AF96" i="4"/>
  <c r="AE96" i="4"/>
  <c r="AC96" i="4"/>
  <c r="AB96" i="4"/>
  <c r="AA96" i="4"/>
  <c r="AP95" i="4"/>
  <c r="AQ95" i="4" s="1"/>
  <c r="AN95" i="4"/>
  <c r="AK95" i="4"/>
  <c r="AJ95" i="4"/>
  <c r="AI95" i="4"/>
  <c r="AH95" i="4"/>
  <c r="AF95" i="4"/>
  <c r="AE95" i="4"/>
  <c r="AC95" i="4"/>
  <c r="AB95" i="4"/>
  <c r="AA95" i="4"/>
  <c r="AP158" i="4"/>
  <c r="Y158" i="4" s="1"/>
  <c r="AN158" i="4"/>
  <c r="AJ158" i="4"/>
  <c r="AI158" i="4"/>
  <c r="AH158" i="4"/>
  <c r="AF158" i="4"/>
  <c r="AE158" i="4"/>
  <c r="AC158" i="4"/>
  <c r="AB158" i="4"/>
  <c r="AA158" i="4"/>
  <c r="AP157" i="4"/>
  <c r="AQ157" i="4" s="1"/>
  <c r="AN157" i="4"/>
  <c r="AK157" i="4"/>
  <c r="AJ157" i="4"/>
  <c r="AI157" i="4"/>
  <c r="AH157" i="4"/>
  <c r="AF157" i="4"/>
  <c r="AE157" i="4"/>
  <c r="AC157" i="4"/>
  <c r="AB157" i="4"/>
  <c r="AA157" i="4"/>
  <c r="AP94" i="4"/>
  <c r="Y94" i="4" s="1"/>
  <c r="AN94" i="4"/>
  <c r="AK94" i="4"/>
  <c r="AJ94" i="4"/>
  <c r="AI94" i="4"/>
  <c r="AH94" i="4"/>
  <c r="AF94" i="4"/>
  <c r="AE94" i="4"/>
  <c r="AC94" i="4"/>
  <c r="AB94" i="4"/>
  <c r="AA94" i="4"/>
  <c r="AP156" i="4"/>
  <c r="AQ156" i="4" s="1"/>
  <c r="AN156" i="4"/>
  <c r="AK156" i="4"/>
  <c r="AJ156" i="4"/>
  <c r="AI156" i="4"/>
  <c r="AH156" i="4"/>
  <c r="AF156" i="4"/>
  <c r="AE156" i="4"/>
  <c r="AC156" i="4"/>
  <c r="AB156" i="4"/>
  <c r="AA156" i="4"/>
  <c r="AP155" i="4"/>
  <c r="Y155" i="4" s="1"/>
  <c r="AN155" i="4"/>
  <c r="AJ155" i="4"/>
  <c r="AI155" i="4"/>
  <c r="AH155" i="4"/>
  <c r="AF155" i="4"/>
  <c r="AE155" i="4"/>
  <c r="AC155" i="4"/>
  <c r="AB155" i="4"/>
  <c r="AA155" i="4"/>
  <c r="AP154" i="4"/>
  <c r="AQ154" i="4" s="1"/>
  <c r="AN154" i="4"/>
  <c r="AJ154" i="4"/>
  <c r="AI154" i="4"/>
  <c r="AH154" i="4"/>
  <c r="AF154" i="4"/>
  <c r="AE154" i="4"/>
  <c r="AC154" i="4"/>
  <c r="AB154" i="4"/>
  <c r="AA154" i="4"/>
  <c r="AP169" i="4"/>
  <c r="AQ169" i="4" s="1"/>
  <c r="AN169" i="4"/>
  <c r="AJ169" i="4"/>
  <c r="AI169" i="4"/>
  <c r="AH169" i="4"/>
  <c r="AF169" i="4"/>
  <c r="AE169" i="4"/>
  <c r="AC169" i="4"/>
  <c r="AB169" i="4"/>
  <c r="AA169" i="4"/>
  <c r="AP128" i="4"/>
  <c r="Y128" i="4" s="1"/>
  <c r="AN128" i="4"/>
  <c r="AK128" i="4"/>
  <c r="AJ128" i="4"/>
  <c r="AI128" i="4"/>
  <c r="AH128" i="4"/>
  <c r="AF128" i="4"/>
  <c r="AE128" i="4"/>
  <c r="AC128" i="4"/>
  <c r="AB128" i="4"/>
  <c r="AA128" i="4"/>
  <c r="AP153" i="4"/>
  <c r="AQ153" i="4" s="1"/>
  <c r="AN153" i="4"/>
  <c r="AK153" i="4"/>
  <c r="AJ153" i="4"/>
  <c r="AI153" i="4"/>
  <c r="AH153" i="4"/>
  <c r="AF153" i="4"/>
  <c r="AE153" i="4"/>
  <c r="AC153" i="4"/>
  <c r="AB153" i="4"/>
  <c r="AA153" i="4"/>
  <c r="AP152" i="4"/>
  <c r="AQ152" i="4" s="1"/>
  <c r="AN152" i="4"/>
  <c r="AJ152" i="4"/>
  <c r="AI152" i="4"/>
  <c r="AH152" i="4"/>
  <c r="AF152" i="4"/>
  <c r="AE152" i="4"/>
  <c r="AC152" i="4"/>
  <c r="AB152" i="4"/>
  <c r="AA152" i="4"/>
  <c r="AP151" i="4"/>
  <c r="AQ151" i="4" s="1"/>
  <c r="AN151" i="4"/>
  <c r="AJ151" i="4"/>
  <c r="AI151" i="4"/>
  <c r="AH151" i="4"/>
  <c r="AF151" i="4"/>
  <c r="AE151" i="4"/>
  <c r="AC151" i="4"/>
  <c r="AB151" i="4"/>
  <c r="AA151" i="4"/>
  <c r="AP150" i="4"/>
  <c r="AQ150" i="4" s="1"/>
  <c r="AN150" i="4"/>
  <c r="AJ150" i="4"/>
  <c r="AI150" i="4"/>
  <c r="AH150" i="4"/>
  <c r="AF150" i="4"/>
  <c r="AE150" i="4"/>
  <c r="AC150" i="4"/>
  <c r="AB150" i="4"/>
  <c r="AA150" i="4"/>
  <c r="AP106" i="4"/>
  <c r="Y106" i="4" s="1"/>
  <c r="AN106" i="4"/>
  <c r="AK106" i="4"/>
  <c r="AJ106" i="4"/>
  <c r="AI106" i="4"/>
  <c r="AH106" i="4"/>
  <c r="AF106" i="4"/>
  <c r="AE106" i="4"/>
  <c r="AC106" i="4"/>
  <c r="AB106" i="4"/>
  <c r="AA106" i="4"/>
  <c r="AP148" i="4"/>
  <c r="Y148" i="4" s="1"/>
  <c r="AN148" i="4"/>
  <c r="AK148" i="4"/>
  <c r="AJ148" i="4"/>
  <c r="AI148" i="4"/>
  <c r="AH148" i="4"/>
  <c r="AF148" i="4"/>
  <c r="AE148" i="4"/>
  <c r="AC148" i="4"/>
  <c r="AB148" i="4"/>
  <c r="AA148" i="4"/>
  <c r="AP120" i="4"/>
  <c r="Y120" i="4" s="1"/>
  <c r="AN120" i="4"/>
  <c r="AK120" i="4"/>
  <c r="AJ120" i="4"/>
  <c r="AI120" i="4"/>
  <c r="AH120" i="4"/>
  <c r="AF120" i="4"/>
  <c r="AE120" i="4"/>
  <c r="AC120" i="4"/>
  <c r="AB120" i="4"/>
  <c r="AA120" i="4"/>
  <c r="AP93" i="4"/>
  <c r="Y93" i="4" s="1"/>
  <c r="AN93" i="4"/>
  <c r="AK93" i="4"/>
  <c r="AJ93" i="4"/>
  <c r="AI93" i="4"/>
  <c r="AH93" i="4"/>
  <c r="AF93" i="4"/>
  <c r="AE93" i="4"/>
  <c r="AC93" i="4"/>
  <c r="AB93" i="4"/>
  <c r="AA93" i="4"/>
  <c r="AP147" i="4"/>
  <c r="Y147" i="4" s="1"/>
  <c r="AN147" i="4"/>
  <c r="AJ147" i="4"/>
  <c r="AI147" i="4"/>
  <c r="AH147" i="4"/>
  <c r="AF147" i="4"/>
  <c r="AE147" i="4"/>
  <c r="AC147" i="4"/>
  <c r="AB147" i="4"/>
  <c r="AA147" i="4"/>
  <c r="AP92" i="4"/>
  <c r="AQ92" i="4" s="1"/>
  <c r="AN92" i="4"/>
  <c r="AJ92" i="4"/>
  <c r="AI92" i="4"/>
  <c r="AH92" i="4"/>
  <c r="AF92" i="4"/>
  <c r="AE92" i="4"/>
  <c r="AC92" i="4"/>
  <c r="AB92" i="4"/>
  <c r="AA92" i="4"/>
  <c r="AP146" i="4"/>
  <c r="Y146" i="4" s="1"/>
  <c r="AN146" i="4"/>
  <c r="AJ146" i="4"/>
  <c r="AI146" i="4"/>
  <c r="AH146" i="4"/>
  <c r="AF146" i="4"/>
  <c r="AE146" i="4"/>
  <c r="AC146" i="4"/>
  <c r="AB146" i="4"/>
  <c r="AA146" i="4"/>
  <c r="AP91" i="4"/>
  <c r="Y91" i="4" s="1"/>
  <c r="AN91" i="4"/>
  <c r="AJ91" i="4"/>
  <c r="AI91" i="4"/>
  <c r="AH91" i="4"/>
  <c r="AF91" i="4"/>
  <c r="AE91" i="4"/>
  <c r="AC91" i="4"/>
  <c r="AB91" i="4"/>
  <c r="AA91" i="4"/>
  <c r="AP127" i="4"/>
  <c r="AQ127" i="4" s="1"/>
  <c r="AN127" i="4"/>
  <c r="AJ127" i="4"/>
  <c r="AI127" i="4"/>
  <c r="AH127" i="4"/>
  <c r="AF127" i="4"/>
  <c r="AE127" i="4"/>
  <c r="AC127" i="4"/>
  <c r="AB127" i="4"/>
  <c r="AA127" i="4"/>
  <c r="AP145" i="4"/>
  <c r="AQ145" i="4" s="1"/>
  <c r="AN145" i="4"/>
  <c r="AJ145" i="4"/>
  <c r="AI145" i="4"/>
  <c r="AH145" i="4"/>
  <c r="AF145" i="4"/>
  <c r="AE145" i="4"/>
  <c r="AC145" i="4"/>
  <c r="AB145" i="4"/>
  <c r="AA145" i="4"/>
  <c r="AP89" i="4"/>
  <c r="AQ89" i="4" s="1"/>
  <c r="AN89" i="4"/>
  <c r="AJ89" i="4"/>
  <c r="AI89" i="4"/>
  <c r="AH89" i="4"/>
  <c r="AF89" i="4"/>
  <c r="AE89" i="4"/>
  <c r="AC89" i="4"/>
  <c r="AB89" i="4"/>
  <c r="AA89" i="4"/>
  <c r="AP90" i="4"/>
  <c r="Y90" i="4" s="1"/>
  <c r="AN90" i="4"/>
  <c r="AJ90" i="4"/>
  <c r="AI90" i="4"/>
  <c r="AH90" i="4"/>
  <c r="AF90" i="4"/>
  <c r="AE90" i="4"/>
  <c r="AC90" i="4"/>
  <c r="AB90" i="4"/>
  <c r="AA90" i="4"/>
  <c r="AP88" i="4"/>
  <c r="Y88" i="4" s="1"/>
  <c r="AN88" i="4"/>
  <c r="AJ88" i="4"/>
  <c r="AI88" i="4"/>
  <c r="AH88" i="4"/>
  <c r="AF88" i="4"/>
  <c r="AE88" i="4"/>
  <c r="AC88" i="4"/>
  <c r="AB88" i="4"/>
  <c r="AA88" i="4"/>
  <c r="AP143" i="4"/>
  <c r="AQ143" i="4" s="1"/>
  <c r="AN143" i="4"/>
  <c r="AK143" i="4"/>
  <c r="AJ143" i="4"/>
  <c r="AI143" i="4"/>
  <c r="AH143" i="4"/>
  <c r="AF143" i="4"/>
  <c r="AE143" i="4"/>
  <c r="AC143" i="4"/>
  <c r="AB143" i="4"/>
  <c r="AA143" i="4"/>
  <c r="AP142" i="4"/>
  <c r="AQ142" i="4" s="1"/>
  <c r="AN142" i="4"/>
  <c r="AK142" i="4"/>
  <c r="AJ142" i="4"/>
  <c r="AI142" i="4"/>
  <c r="AH142" i="4"/>
  <c r="AF142" i="4"/>
  <c r="AE142" i="4"/>
  <c r="AC142" i="4"/>
  <c r="AB142" i="4"/>
  <c r="AA142" i="4"/>
  <c r="AP141" i="4"/>
  <c r="AQ141" i="4" s="1"/>
  <c r="AN141" i="4"/>
  <c r="AK141" i="4"/>
  <c r="AJ141" i="4"/>
  <c r="AI141" i="4"/>
  <c r="AH141" i="4"/>
  <c r="AF141" i="4"/>
  <c r="AE141" i="4"/>
  <c r="AC141" i="4"/>
  <c r="AB141" i="4"/>
  <c r="AA141" i="4"/>
  <c r="AP140" i="4"/>
  <c r="AQ140" i="4" s="1"/>
  <c r="AN140" i="4"/>
  <c r="AJ140" i="4"/>
  <c r="AI140" i="4"/>
  <c r="AH140" i="4"/>
  <c r="AF140" i="4"/>
  <c r="AE140" i="4"/>
  <c r="AC140" i="4"/>
  <c r="AB140" i="4"/>
  <c r="AA140" i="4"/>
  <c r="AP115" i="4"/>
  <c r="Y115" i="4" s="1"/>
  <c r="AN115" i="4"/>
  <c r="AJ115" i="4"/>
  <c r="AI115" i="4"/>
  <c r="AH115" i="4"/>
  <c r="AF115" i="4"/>
  <c r="AE115" i="4"/>
  <c r="AC115" i="4"/>
  <c r="AB115" i="4"/>
  <c r="AA115" i="4"/>
  <c r="AP139" i="4"/>
  <c r="AQ139" i="4" s="1"/>
  <c r="AN139" i="4"/>
  <c r="AJ139" i="4"/>
  <c r="AI139" i="4"/>
  <c r="AH139" i="4"/>
  <c r="AF139" i="4"/>
  <c r="AE139" i="4"/>
  <c r="AC139" i="4"/>
  <c r="AB139" i="4"/>
  <c r="AA139" i="4"/>
  <c r="AP138" i="4"/>
  <c r="Y138" i="4" s="1"/>
  <c r="AN138" i="4"/>
  <c r="AJ138" i="4"/>
  <c r="AI138" i="4"/>
  <c r="AH138" i="4"/>
  <c r="AF138" i="4"/>
  <c r="AE138" i="4"/>
  <c r="AC138" i="4"/>
  <c r="AB138" i="4"/>
  <c r="AA138" i="4"/>
  <c r="AP144" i="4"/>
  <c r="Y144" i="4" s="1"/>
  <c r="AN144" i="4"/>
  <c r="AK144" i="4"/>
  <c r="AJ144" i="4"/>
  <c r="AI144" i="4"/>
  <c r="AH144" i="4"/>
  <c r="AF144" i="4"/>
  <c r="AE144" i="4"/>
  <c r="AC144" i="4"/>
  <c r="AB144" i="4"/>
  <c r="AA144" i="4"/>
  <c r="AP137" i="4"/>
  <c r="Y137" i="4" s="1"/>
  <c r="AN137" i="4"/>
  <c r="AK137" i="4"/>
  <c r="AJ137" i="4"/>
  <c r="AI137" i="4"/>
  <c r="AH137" i="4"/>
  <c r="AF137" i="4"/>
  <c r="AE137" i="4"/>
  <c r="AC137" i="4"/>
  <c r="AB137" i="4"/>
  <c r="AA137" i="4"/>
  <c r="AP136" i="4"/>
  <c r="Y136" i="4" s="1"/>
  <c r="AN136" i="4"/>
  <c r="AJ136" i="4"/>
  <c r="AI136" i="4"/>
  <c r="AH136" i="4"/>
  <c r="AF136" i="4"/>
  <c r="AE136" i="4"/>
  <c r="AC136" i="4"/>
  <c r="AB136" i="4"/>
  <c r="AA136" i="4"/>
  <c r="AP129" i="4"/>
  <c r="AQ129" i="4" s="1"/>
  <c r="AN129" i="4"/>
  <c r="AK129" i="4"/>
  <c r="AJ129" i="4"/>
  <c r="AI129" i="4"/>
  <c r="AH129" i="4"/>
  <c r="AF129" i="4"/>
  <c r="AE129" i="4"/>
  <c r="AC129" i="4"/>
  <c r="AB129" i="4"/>
  <c r="AA129" i="4"/>
  <c r="AP135" i="4"/>
  <c r="AQ135" i="4" s="1"/>
  <c r="AN135" i="4"/>
  <c r="AJ135" i="4"/>
  <c r="AI135" i="4"/>
  <c r="AH135" i="4"/>
  <c r="AF135" i="4"/>
  <c r="AE135" i="4"/>
  <c r="AC135" i="4"/>
  <c r="AB135" i="4"/>
  <c r="AA135" i="4"/>
  <c r="AP134" i="4"/>
  <c r="Y134" i="4" s="1"/>
  <c r="AN134" i="4"/>
  <c r="AJ134" i="4"/>
  <c r="AI134" i="4"/>
  <c r="AH134" i="4"/>
  <c r="AF134" i="4"/>
  <c r="AE134" i="4"/>
  <c r="AC134" i="4"/>
  <c r="AB134" i="4"/>
  <c r="AA134" i="4"/>
  <c r="AP87" i="4"/>
  <c r="AQ87" i="4" s="1"/>
  <c r="AN87" i="4"/>
  <c r="AJ87" i="4"/>
  <c r="AI87" i="4"/>
  <c r="AH87" i="4"/>
  <c r="AF87" i="4"/>
  <c r="AE87" i="4"/>
  <c r="AC87" i="4"/>
  <c r="AB87" i="4"/>
  <c r="AA87" i="4"/>
  <c r="AP133" i="4"/>
  <c r="AQ133" i="4" s="1"/>
  <c r="AN133" i="4"/>
  <c r="AK133" i="4"/>
  <c r="AJ133" i="4"/>
  <c r="AI133" i="4"/>
  <c r="AH133" i="4"/>
  <c r="AF133" i="4"/>
  <c r="AE133" i="4"/>
  <c r="AC133" i="4"/>
  <c r="AB133" i="4"/>
  <c r="AA133" i="4"/>
  <c r="AP149" i="4"/>
  <c r="Y149" i="4" s="1"/>
  <c r="AN149" i="4"/>
  <c r="AK149" i="4"/>
  <c r="AJ149" i="4"/>
  <c r="AI149" i="4"/>
  <c r="AH149" i="4"/>
  <c r="AF149" i="4"/>
  <c r="AE149" i="4"/>
  <c r="AC149" i="4"/>
  <c r="AB149" i="4"/>
  <c r="AA149" i="4"/>
  <c r="AP86" i="4"/>
  <c r="Y86" i="4" s="1"/>
  <c r="AN86" i="4"/>
  <c r="AK86" i="4"/>
  <c r="AJ86" i="4"/>
  <c r="AI86" i="4"/>
  <c r="AH86" i="4"/>
  <c r="AF86" i="4"/>
  <c r="AE86" i="4"/>
  <c r="AC86" i="4"/>
  <c r="AB86" i="4"/>
  <c r="AA86" i="4"/>
  <c r="AP123" i="4"/>
  <c r="Y123" i="4" s="1"/>
  <c r="AN123" i="4"/>
  <c r="AK123" i="4"/>
  <c r="AJ123" i="4"/>
  <c r="AI123" i="4"/>
  <c r="AH123" i="4"/>
  <c r="AF123" i="4"/>
  <c r="AE123" i="4"/>
  <c r="AC123" i="4"/>
  <c r="AB123" i="4"/>
  <c r="AA123" i="4"/>
  <c r="AP131" i="4"/>
  <c r="Y131" i="4" s="1"/>
  <c r="AN131" i="4"/>
  <c r="AJ131" i="4"/>
  <c r="AI131" i="4"/>
  <c r="AH131" i="4"/>
  <c r="AF131" i="4"/>
  <c r="AE131" i="4"/>
  <c r="AC131" i="4"/>
  <c r="AB131" i="4"/>
  <c r="AA131" i="4"/>
  <c r="AP2" i="4"/>
  <c r="Y2" i="4" s="1"/>
  <c r="AN2" i="4"/>
  <c r="AK2" i="4"/>
  <c r="AJ2" i="4"/>
  <c r="AI2" i="4"/>
  <c r="AH2" i="4"/>
  <c r="AF2" i="4"/>
  <c r="AE2" i="4"/>
  <c r="AC2" i="4"/>
  <c r="AB2" i="4"/>
  <c r="AA2" i="4"/>
  <c r="AP130" i="4"/>
  <c r="Y130" i="4" s="1"/>
  <c r="AN130" i="4"/>
  <c r="AK130" i="4"/>
  <c r="AJ130" i="4"/>
  <c r="AI130" i="4"/>
  <c r="AH130" i="4"/>
  <c r="AF130" i="4"/>
  <c r="AE130" i="4"/>
  <c r="AC130" i="4"/>
  <c r="AB130" i="4"/>
  <c r="AA130" i="4"/>
  <c r="AP110" i="4"/>
  <c r="AQ110" i="4" s="1"/>
  <c r="AN110" i="4"/>
  <c r="AJ110" i="4"/>
  <c r="AI110" i="4"/>
  <c r="AH110" i="4"/>
  <c r="AF110" i="4"/>
  <c r="AE110" i="4"/>
  <c r="AC110" i="4"/>
  <c r="AB110" i="4"/>
  <c r="AA110" i="4"/>
  <c r="AP112" i="4"/>
  <c r="Y112" i="4" s="1"/>
  <c r="AN112" i="4"/>
  <c r="AK112" i="4"/>
  <c r="AJ112" i="4"/>
  <c r="AI112" i="4"/>
  <c r="AH112" i="4"/>
  <c r="AF112" i="4"/>
  <c r="AE112" i="4"/>
  <c r="AC112" i="4"/>
  <c r="AB112" i="4"/>
  <c r="AA112" i="4"/>
  <c r="AP8" i="4"/>
  <c r="AQ8" i="4" s="1"/>
  <c r="AN8" i="4"/>
  <c r="AK8" i="4"/>
  <c r="AJ8" i="4"/>
  <c r="AI8" i="4"/>
  <c r="AH8" i="4"/>
  <c r="AF8" i="4"/>
  <c r="AE8" i="4"/>
  <c r="AC8" i="4"/>
  <c r="AB8" i="4"/>
  <c r="AA8" i="4"/>
  <c r="AP53" i="4"/>
  <c r="AQ53" i="4" s="1"/>
  <c r="AN53" i="4"/>
  <c r="AK53" i="4"/>
  <c r="AJ53" i="4"/>
  <c r="AI53" i="4"/>
  <c r="AH53" i="4"/>
  <c r="AF53" i="4"/>
  <c r="AE53" i="4"/>
  <c r="AC53" i="4"/>
  <c r="AB53" i="4"/>
  <c r="AA53" i="4"/>
  <c r="AP77" i="4"/>
  <c r="Y77" i="4" s="1"/>
  <c r="AN77" i="4"/>
  <c r="AK77" i="4"/>
  <c r="AJ77" i="4"/>
  <c r="AI77" i="4"/>
  <c r="AH77" i="4"/>
  <c r="AF77" i="4"/>
  <c r="AE77" i="4"/>
  <c r="AC77" i="4"/>
  <c r="AB77" i="4"/>
  <c r="AA77" i="4"/>
  <c r="AP48" i="4"/>
  <c r="Y48" i="4" s="1"/>
  <c r="AN48" i="4"/>
  <c r="AK48" i="4"/>
  <c r="AJ48" i="4"/>
  <c r="AI48" i="4"/>
  <c r="AH48" i="4"/>
  <c r="AF48" i="4"/>
  <c r="AE48" i="4"/>
  <c r="AC48" i="4"/>
  <c r="AB48" i="4"/>
  <c r="AP7" i="4"/>
  <c r="Y7" i="4" s="1"/>
  <c r="AN7" i="4"/>
  <c r="AJ7" i="4"/>
  <c r="AI7" i="4"/>
  <c r="AH7" i="4"/>
  <c r="AF7" i="4"/>
  <c r="AE7" i="4"/>
  <c r="AC7" i="4"/>
  <c r="AB7" i="4"/>
  <c r="AA7" i="4"/>
  <c r="AP132" i="4"/>
  <c r="AQ132" i="4" s="1"/>
  <c r="AN132" i="4"/>
  <c r="AK132" i="4"/>
  <c r="AJ132" i="4"/>
  <c r="AI132" i="4"/>
  <c r="AH132" i="4"/>
  <c r="AF132" i="4"/>
  <c r="AE132" i="4"/>
  <c r="AC132" i="4"/>
  <c r="AB132" i="4"/>
  <c r="AA132" i="4"/>
  <c r="AP126" i="4"/>
  <c r="AQ126" i="4" s="1"/>
  <c r="AN126" i="4"/>
  <c r="AJ126" i="4"/>
  <c r="AI126" i="4"/>
  <c r="AH126" i="4"/>
  <c r="AF126" i="4"/>
  <c r="AE126" i="4"/>
  <c r="AC126" i="4"/>
  <c r="AB126" i="4"/>
  <c r="AA126" i="4"/>
  <c r="AP125" i="4"/>
  <c r="AQ125" i="4" s="1"/>
  <c r="AN125" i="4"/>
  <c r="AK125" i="4"/>
  <c r="AJ125" i="4"/>
  <c r="AI125" i="4"/>
  <c r="AH125" i="4"/>
  <c r="AF125" i="4"/>
  <c r="AE125" i="4"/>
  <c r="AC125" i="4"/>
  <c r="AB125" i="4"/>
  <c r="AA125" i="4"/>
  <c r="AP124" i="4"/>
  <c r="Y124" i="4" s="1"/>
  <c r="AN124" i="4"/>
  <c r="AK124" i="4"/>
  <c r="AJ124" i="4"/>
  <c r="AI124" i="4"/>
  <c r="AH124" i="4"/>
  <c r="AF124" i="4"/>
  <c r="AE124" i="4"/>
  <c r="AC124" i="4"/>
  <c r="AB124" i="4"/>
  <c r="AA124" i="4"/>
  <c r="AP13" i="4"/>
  <c r="Y13" i="4" s="1"/>
  <c r="AN13" i="4"/>
  <c r="AK13" i="4"/>
  <c r="AJ13" i="4"/>
  <c r="AI13" i="4"/>
  <c r="AH13" i="4"/>
  <c r="AF13" i="4"/>
  <c r="AE13" i="4"/>
  <c r="AC13" i="4"/>
  <c r="AB13" i="4"/>
  <c r="AA13" i="4"/>
  <c r="AP67" i="4"/>
  <c r="Y67" i="4" s="1"/>
  <c r="AN67" i="4"/>
  <c r="AK67" i="4"/>
  <c r="AJ67" i="4"/>
  <c r="AI67" i="4"/>
  <c r="AH67" i="4"/>
  <c r="AF67" i="4"/>
  <c r="AE67" i="4"/>
  <c r="AC67" i="4"/>
  <c r="AB67" i="4"/>
  <c r="AA67" i="4"/>
  <c r="AP122" i="4"/>
  <c r="Y122" i="4" s="1"/>
  <c r="AN122" i="4"/>
  <c r="AK122" i="4"/>
  <c r="AJ122" i="4"/>
  <c r="AI122" i="4"/>
  <c r="AH122" i="4"/>
  <c r="AF122" i="4"/>
  <c r="AE122" i="4"/>
  <c r="AC122" i="4"/>
  <c r="AB122" i="4"/>
  <c r="AA122" i="4"/>
  <c r="AP107" i="4"/>
  <c r="Y107" i="4" s="1"/>
  <c r="AN107" i="4"/>
  <c r="AK107" i="4"/>
  <c r="AJ107" i="4"/>
  <c r="AI107" i="4"/>
  <c r="AH107" i="4"/>
  <c r="AF107" i="4"/>
  <c r="AE107" i="4"/>
  <c r="AC107" i="4"/>
  <c r="AB107" i="4"/>
  <c r="AA107" i="4"/>
  <c r="AP34" i="4"/>
  <c r="Y34" i="4" s="1"/>
  <c r="AN34" i="4"/>
  <c r="AK34" i="4"/>
  <c r="AJ34" i="4"/>
  <c r="AI34" i="4"/>
  <c r="AH34" i="4"/>
  <c r="AF34" i="4"/>
  <c r="AE34" i="4"/>
  <c r="AC34" i="4"/>
  <c r="AB34" i="4"/>
  <c r="AA34" i="4"/>
  <c r="AP119" i="4"/>
  <c r="Y119" i="4" s="1"/>
  <c r="AN119" i="4"/>
  <c r="AK119" i="4"/>
  <c r="AJ119" i="4"/>
  <c r="AI119" i="4"/>
  <c r="AH119" i="4"/>
  <c r="AF119" i="4"/>
  <c r="AE119" i="4"/>
  <c r="AC119" i="4"/>
  <c r="AB119" i="4"/>
  <c r="AA119" i="4"/>
  <c r="AP109" i="4"/>
  <c r="Y109" i="4" s="1"/>
  <c r="AN109" i="4"/>
  <c r="AK109" i="4"/>
  <c r="AJ109" i="4"/>
  <c r="AI109" i="4"/>
  <c r="AH109" i="4"/>
  <c r="AF109" i="4"/>
  <c r="AE109" i="4"/>
  <c r="AC109" i="4"/>
  <c r="AB109" i="4"/>
  <c r="AA109" i="4"/>
  <c r="AP118" i="4"/>
  <c r="Y118" i="4" s="1"/>
  <c r="AN118" i="4"/>
  <c r="AK118" i="4"/>
  <c r="AJ118" i="4"/>
  <c r="AI118" i="4"/>
  <c r="AH118" i="4"/>
  <c r="AF118" i="4"/>
  <c r="AE118" i="4"/>
  <c r="AC118" i="4"/>
  <c r="AB118" i="4"/>
  <c r="AA118" i="4"/>
  <c r="AP114" i="4"/>
  <c r="AQ114" i="4" s="1"/>
  <c r="AN114" i="4"/>
  <c r="AJ114" i="4"/>
  <c r="AI114" i="4"/>
  <c r="AH114" i="4"/>
  <c r="AF114" i="4"/>
  <c r="AE114" i="4"/>
  <c r="AC114" i="4"/>
  <c r="AB114" i="4"/>
  <c r="AA114" i="4"/>
  <c r="AP74" i="4"/>
  <c r="Y74" i="4" s="1"/>
  <c r="AN74" i="4"/>
  <c r="AK74" i="4"/>
  <c r="AJ74" i="4"/>
  <c r="AI74" i="4"/>
  <c r="AH74" i="4"/>
  <c r="AF74" i="4"/>
  <c r="AE74" i="4"/>
  <c r="AC74" i="4"/>
  <c r="AB74" i="4"/>
  <c r="AA74" i="4"/>
  <c r="AP42" i="4"/>
  <c r="AQ42" i="4" s="1"/>
  <c r="AN42" i="4"/>
  <c r="AK42" i="4"/>
  <c r="AJ42" i="4"/>
  <c r="AI42" i="4"/>
  <c r="AH42" i="4"/>
  <c r="AF42" i="4"/>
  <c r="AE42" i="4"/>
  <c r="AC42" i="4"/>
  <c r="AB42" i="4"/>
  <c r="AA42" i="4"/>
  <c r="AP31" i="4"/>
  <c r="AQ31" i="4" s="1"/>
  <c r="AN31" i="4"/>
  <c r="AK31" i="4"/>
  <c r="AJ31" i="4"/>
  <c r="AI31" i="4"/>
  <c r="AH31" i="4"/>
  <c r="AF31" i="4"/>
  <c r="AE31" i="4"/>
  <c r="AC31" i="4"/>
  <c r="AB31" i="4"/>
  <c r="AA31" i="4"/>
  <c r="AP81" i="4"/>
  <c r="AQ81" i="4" s="1"/>
  <c r="AN81" i="4"/>
  <c r="AK81" i="4"/>
  <c r="AJ81" i="4"/>
  <c r="AI81" i="4"/>
  <c r="AH81" i="4"/>
  <c r="AF81" i="4"/>
  <c r="AE81" i="4"/>
  <c r="AC81" i="4"/>
  <c r="AB81" i="4"/>
  <c r="AA81" i="4"/>
  <c r="AP105" i="4"/>
  <c r="Y105" i="4" s="1"/>
  <c r="AN105" i="4"/>
  <c r="AK105" i="4"/>
  <c r="AJ105" i="4"/>
  <c r="AI105" i="4"/>
  <c r="AH105" i="4"/>
  <c r="AF105" i="4"/>
  <c r="AE105" i="4"/>
  <c r="AC105" i="4"/>
  <c r="AB105" i="4"/>
  <c r="AA105" i="4"/>
  <c r="AP108" i="4"/>
  <c r="Y108" i="4" s="1"/>
  <c r="AN108" i="4"/>
  <c r="AK108" i="4"/>
  <c r="AJ108" i="4"/>
  <c r="AI108" i="4"/>
  <c r="AH108" i="4"/>
  <c r="AF108" i="4"/>
  <c r="AE108" i="4"/>
  <c r="AC108" i="4"/>
  <c r="AB108" i="4"/>
  <c r="AA108" i="4"/>
  <c r="AP3" i="4"/>
  <c r="AQ3" i="4" s="1"/>
  <c r="AN3" i="4"/>
  <c r="AK3" i="4"/>
  <c r="AJ3" i="4"/>
  <c r="AI3" i="4"/>
  <c r="AH3" i="4"/>
  <c r="AF3" i="4"/>
  <c r="AE3" i="4"/>
  <c r="AC3" i="4"/>
  <c r="AB3" i="4"/>
  <c r="AA3" i="4"/>
  <c r="AP75" i="4"/>
  <c r="AQ75" i="4" s="1"/>
  <c r="AN75" i="4"/>
  <c r="AK75" i="4"/>
  <c r="AJ75" i="4"/>
  <c r="AI75" i="4"/>
  <c r="AH75" i="4"/>
  <c r="AF75" i="4"/>
  <c r="AE75" i="4"/>
  <c r="AC75" i="4"/>
  <c r="AB75" i="4"/>
  <c r="AA75" i="4"/>
  <c r="AP117" i="4"/>
  <c r="Y117" i="4" s="1"/>
  <c r="AN117" i="4"/>
  <c r="AK117" i="4"/>
  <c r="AJ117" i="4"/>
  <c r="AI117" i="4"/>
  <c r="AH117" i="4"/>
  <c r="AF117" i="4"/>
  <c r="AE117" i="4"/>
  <c r="AC117" i="4"/>
  <c r="AB117" i="4"/>
  <c r="AA117" i="4"/>
  <c r="AP113" i="4"/>
  <c r="Y113" i="4" s="1"/>
  <c r="AN113" i="4"/>
  <c r="AK113" i="4"/>
  <c r="AJ113" i="4"/>
  <c r="AI113" i="4"/>
  <c r="AH113" i="4"/>
  <c r="AF113" i="4"/>
  <c r="AE113" i="4"/>
  <c r="AC113" i="4"/>
  <c r="AB113" i="4"/>
  <c r="AA113" i="4"/>
  <c r="AP104" i="4"/>
  <c r="Y104" i="4" s="1"/>
  <c r="AN104" i="4"/>
  <c r="AK104" i="4"/>
  <c r="AJ104" i="4"/>
  <c r="AI104" i="4"/>
  <c r="AH104" i="4"/>
  <c r="AF104" i="4"/>
  <c r="AE104" i="4"/>
  <c r="AC104" i="4"/>
  <c r="AB104" i="4"/>
  <c r="AA104" i="4"/>
  <c r="AP101" i="4"/>
  <c r="Y101" i="4" s="1"/>
  <c r="AN101" i="4"/>
  <c r="AK101" i="4"/>
  <c r="AJ101" i="4"/>
  <c r="AI101" i="4"/>
  <c r="AH101" i="4"/>
  <c r="AF101" i="4"/>
  <c r="AE101" i="4"/>
  <c r="AC101" i="4"/>
  <c r="AB101" i="4"/>
  <c r="AA101" i="4"/>
  <c r="AP111" i="4"/>
  <c r="Y111" i="4" s="1"/>
  <c r="AN111" i="4"/>
  <c r="AJ111" i="4"/>
  <c r="AI111" i="4"/>
  <c r="AH111" i="4"/>
  <c r="AF111" i="4"/>
  <c r="AE111" i="4"/>
  <c r="AC111" i="4"/>
  <c r="AB111" i="4"/>
  <c r="AA111" i="4"/>
  <c r="AP100" i="4"/>
  <c r="Y100" i="4" s="1"/>
  <c r="AN100" i="4"/>
  <c r="AK100" i="4"/>
  <c r="AJ100" i="4"/>
  <c r="AI100" i="4"/>
  <c r="AH100" i="4"/>
  <c r="AF100" i="4"/>
  <c r="AE100" i="4"/>
  <c r="AC100" i="4"/>
  <c r="AB100" i="4"/>
  <c r="AA100" i="4"/>
  <c r="AP85" i="4"/>
  <c r="Y85" i="4" s="1"/>
  <c r="AN85" i="4"/>
  <c r="AL85" i="4"/>
  <c r="AK85" i="4" s="1"/>
  <c r="AJ85" i="4"/>
  <c r="AI85" i="4"/>
  <c r="AH85" i="4"/>
  <c r="AF85" i="4"/>
  <c r="AE85" i="4"/>
  <c r="AC85" i="4"/>
  <c r="AB85" i="4"/>
  <c r="AA85" i="4"/>
  <c r="AP84" i="4"/>
  <c r="AQ84" i="4" s="1"/>
  <c r="AN84" i="4"/>
  <c r="AL84" i="4"/>
  <c r="AK84" i="4" s="1"/>
  <c r="AJ84" i="4"/>
  <c r="AI84" i="4"/>
  <c r="AH84" i="4"/>
  <c r="AF84" i="4"/>
  <c r="AE84" i="4"/>
  <c r="AC84" i="4"/>
  <c r="AB84" i="4"/>
  <c r="AA84" i="4"/>
  <c r="AL174" i="4"/>
  <c r="AL37" i="4"/>
  <c r="Z37" i="4"/>
  <c r="AP11" i="4"/>
  <c r="Y11" i="4" s="1"/>
  <c r="AN11" i="4"/>
  <c r="AL11" i="4"/>
  <c r="AK11" i="4" s="1"/>
  <c r="AJ11" i="4"/>
  <c r="AI11" i="4"/>
  <c r="AH11" i="4"/>
  <c r="AF11" i="4"/>
  <c r="AE11" i="4"/>
  <c r="AC11" i="4"/>
  <c r="AB11" i="4"/>
  <c r="AA11" i="4"/>
  <c r="Z11" i="4"/>
  <c r="AP66" i="4"/>
  <c r="Y66" i="4" s="1"/>
  <c r="AN66" i="4"/>
  <c r="AL66" i="4"/>
  <c r="AK66" i="4" s="1"/>
  <c r="AJ66" i="4"/>
  <c r="AI66" i="4"/>
  <c r="AH66" i="4"/>
  <c r="AF66" i="4"/>
  <c r="AE66" i="4"/>
  <c r="AC66" i="4"/>
  <c r="AB66" i="4"/>
  <c r="AA66" i="4"/>
  <c r="Z66" i="4"/>
  <c r="AP43" i="4"/>
  <c r="AQ43" i="4" s="1"/>
  <c r="AN43" i="4"/>
  <c r="AL43" i="4"/>
  <c r="AK43" i="4" s="1"/>
  <c r="AJ43" i="4"/>
  <c r="AI43" i="4"/>
  <c r="AH43" i="4"/>
  <c r="AF43" i="4"/>
  <c r="AE43" i="4"/>
  <c r="AC43" i="4"/>
  <c r="AB43" i="4"/>
  <c r="Z43" i="4"/>
  <c r="AA43" i="4" s="1"/>
  <c r="AP25" i="4"/>
  <c r="Y25" i="4" s="1"/>
  <c r="AO25" i="4"/>
  <c r="AN25" i="4"/>
  <c r="AM25" i="4"/>
  <c r="AL25" i="4"/>
  <c r="AK25" i="4" s="1"/>
  <c r="AJ25" i="4"/>
  <c r="AI25" i="4"/>
  <c r="AH25" i="4"/>
  <c r="AF25" i="4"/>
  <c r="AE25" i="4"/>
  <c r="AD25" i="4"/>
  <c r="AC25" i="4"/>
  <c r="AB25" i="4"/>
  <c r="AA25" i="4"/>
  <c r="Z25" i="4"/>
  <c r="AP64" i="4"/>
  <c r="AQ64" i="4" s="1"/>
  <c r="AO64" i="4"/>
  <c r="AN64" i="4"/>
  <c r="AM64" i="4"/>
  <c r="AL64" i="4"/>
  <c r="AK64" i="4" s="1"/>
  <c r="AJ64" i="4"/>
  <c r="AI64" i="4"/>
  <c r="AH64" i="4"/>
  <c r="AF64" i="4"/>
  <c r="AE64" i="4"/>
  <c r="AD64" i="4"/>
  <c r="AC64" i="4"/>
  <c r="AB64" i="4"/>
  <c r="AA64" i="4"/>
  <c r="Z64" i="4"/>
  <c r="AP83" i="4"/>
  <c r="AQ83" i="4" s="1"/>
  <c r="AO83" i="4"/>
  <c r="AN83" i="4"/>
  <c r="AM83" i="4"/>
  <c r="AL83" i="4"/>
  <c r="AK83" i="4" s="1"/>
  <c r="AJ83" i="4"/>
  <c r="AI83" i="4"/>
  <c r="AH83" i="4"/>
  <c r="AF83" i="4"/>
  <c r="AE83" i="4"/>
  <c r="AD83" i="4"/>
  <c r="AC83" i="4"/>
  <c r="AB83" i="4"/>
  <c r="AA83" i="4"/>
  <c r="AP62" i="4"/>
  <c r="Y62" i="4" s="1"/>
  <c r="AO62" i="4"/>
  <c r="AN62" i="4"/>
  <c r="AM62" i="4"/>
  <c r="AL62" i="4"/>
  <c r="AK62" i="4" s="1"/>
  <c r="AJ62" i="4"/>
  <c r="AI62" i="4"/>
  <c r="AH62" i="4"/>
  <c r="AF62" i="4"/>
  <c r="AE62" i="4"/>
  <c r="AD62" i="4"/>
  <c r="AC62" i="4"/>
  <c r="AB62" i="4"/>
  <c r="AA62" i="4"/>
  <c r="Z62" i="4"/>
  <c r="AP52" i="4"/>
  <c r="Y52" i="4" s="1"/>
  <c r="AO52" i="4"/>
  <c r="AN52" i="4"/>
  <c r="AM52" i="4"/>
  <c r="AL52" i="4"/>
  <c r="AK52" i="4" s="1"/>
  <c r="AJ52" i="4"/>
  <c r="AI52" i="4"/>
  <c r="AH52" i="4"/>
  <c r="AF52" i="4"/>
  <c r="AE52" i="4"/>
  <c r="AD52" i="4"/>
  <c r="AC52" i="4"/>
  <c r="AB52" i="4"/>
  <c r="AA52" i="4"/>
  <c r="Z52" i="4"/>
  <c r="AP40" i="4"/>
  <c r="AQ40" i="4" s="1"/>
  <c r="AO40" i="4"/>
  <c r="AN40" i="4"/>
  <c r="AM40" i="4"/>
  <c r="AL40" i="4"/>
  <c r="AK40" i="4" s="1"/>
  <c r="AJ40" i="4"/>
  <c r="AI40" i="4"/>
  <c r="AH40" i="4"/>
  <c r="AF40" i="4"/>
  <c r="AE40" i="4"/>
  <c r="AD40" i="4"/>
  <c r="AC40" i="4"/>
  <c r="AB40" i="4"/>
  <c r="AA40" i="4"/>
  <c r="Z40" i="4"/>
  <c r="AP49" i="4"/>
  <c r="Y49" i="4" s="1"/>
  <c r="AO49" i="4"/>
  <c r="AN49" i="4"/>
  <c r="AM49" i="4"/>
  <c r="AL49" i="4"/>
  <c r="AK49" i="4" s="1"/>
  <c r="AJ49" i="4"/>
  <c r="AI49" i="4"/>
  <c r="AH49" i="4"/>
  <c r="AF49" i="4"/>
  <c r="AE49" i="4"/>
  <c r="AD49" i="4"/>
  <c r="AC49" i="4"/>
  <c r="AB49" i="4"/>
  <c r="AA49" i="4"/>
  <c r="Z49" i="4"/>
  <c r="AP44" i="4"/>
  <c r="AQ44" i="4" s="1"/>
  <c r="AO44" i="4"/>
  <c r="AN44" i="4"/>
  <c r="AM44" i="4"/>
  <c r="AL44" i="4"/>
  <c r="AK44" i="4" s="1"/>
  <c r="AJ44" i="4"/>
  <c r="AI44" i="4"/>
  <c r="AH44" i="4"/>
  <c r="AF44" i="4"/>
  <c r="AE44" i="4"/>
  <c r="AD44" i="4"/>
  <c r="AC44" i="4"/>
  <c r="AB44" i="4"/>
  <c r="AA44" i="4"/>
  <c r="Z44" i="4"/>
  <c r="AP30" i="4"/>
  <c r="AQ30" i="4" s="1"/>
  <c r="AO30" i="4"/>
  <c r="AN30" i="4"/>
  <c r="AM30" i="4"/>
  <c r="AL30" i="4"/>
  <c r="AK30" i="4" s="1"/>
  <c r="AJ30" i="4"/>
  <c r="AI30" i="4"/>
  <c r="AH30" i="4"/>
  <c r="AF30" i="4"/>
  <c r="AE30" i="4"/>
  <c r="AD30" i="4"/>
  <c r="AC30" i="4"/>
  <c r="AB30" i="4"/>
  <c r="AA30" i="4"/>
  <c r="Z30" i="4"/>
  <c r="AP12" i="4"/>
  <c r="Y12" i="4" s="1"/>
  <c r="AO12" i="4"/>
  <c r="AN12" i="4"/>
  <c r="AM12" i="4"/>
  <c r="AL12" i="4"/>
  <c r="AK12" i="4" s="1"/>
  <c r="AJ12" i="4"/>
  <c r="AI12" i="4"/>
  <c r="AH12" i="4"/>
  <c r="AF12" i="4"/>
  <c r="AE12" i="4"/>
  <c r="AD12" i="4"/>
  <c r="AC12" i="4"/>
  <c r="AB12" i="4"/>
  <c r="AA12" i="4"/>
  <c r="Z12" i="4"/>
  <c r="AP58" i="4"/>
  <c r="Y58" i="4" s="1"/>
  <c r="AO58" i="4"/>
  <c r="AN58" i="4"/>
  <c r="AM58" i="4"/>
  <c r="AL58" i="4"/>
  <c r="AK58" i="4" s="1"/>
  <c r="AJ58" i="4"/>
  <c r="AI58" i="4"/>
  <c r="AH58" i="4"/>
  <c r="AF58" i="4"/>
  <c r="AE58" i="4"/>
  <c r="AD58" i="4"/>
  <c r="AC58" i="4"/>
  <c r="AB58" i="4"/>
  <c r="AA58" i="4"/>
  <c r="Z58" i="4"/>
  <c r="AP41" i="4"/>
  <c r="AQ41" i="4" s="1"/>
  <c r="AO41" i="4"/>
  <c r="AN41" i="4"/>
  <c r="AM41" i="4"/>
  <c r="AL41" i="4"/>
  <c r="AK41" i="4" s="1"/>
  <c r="AJ41" i="4"/>
  <c r="AI41" i="4"/>
  <c r="AH41" i="4"/>
  <c r="AF41" i="4"/>
  <c r="AE41" i="4"/>
  <c r="AD41" i="4"/>
  <c r="AC41" i="4"/>
  <c r="AB41" i="4"/>
  <c r="AA41" i="4"/>
  <c r="Z41" i="4"/>
  <c r="AP36" i="4"/>
  <c r="Y36" i="4" s="1"/>
  <c r="AO36" i="4"/>
  <c r="AN36" i="4"/>
  <c r="AM36" i="4"/>
  <c r="AL36" i="4"/>
  <c r="AK36" i="4" s="1"/>
  <c r="AJ36" i="4"/>
  <c r="AI36" i="4"/>
  <c r="AH36" i="4"/>
  <c r="AF36" i="4"/>
  <c r="AE36" i="4"/>
  <c r="AD36" i="4"/>
  <c r="AC36" i="4"/>
  <c r="AB36" i="4"/>
  <c r="AA36" i="4"/>
  <c r="Z36" i="4"/>
  <c r="AP54" i="4"/>
  <c r="Y54" i="4" s="1"/>
  <c r="AO54" i="4"/>
  <c r="AN54" i="4"/>
  <c r="AM54" i="4"/>
  <c r="AL54" i="4"/>
  <c r="AK54" i="4" s="1"/>
  <c r="AJ54" i="4"/>
  <c r="AI54" i="4"/>
  <c r="AH54" i="4"/>
  <c r="AF54" i="4"/>
  <c r="AE54" i="4"/>
  <c r="AD54" i="4"/>
  <c r="AC54" i="4"/>
  <c r="AB54" i="4"/>
  <c r="Z54" i="4"/>
  <c r="AA54" i="4" s="1"/>
  <c r="AP33" i="4"/>
  <c r="Y33" i="4" s="1"/>
  <c r="AO33" i="4"/>
  <c r="AN33" i="4"/>
  <c r="AM33" i="4"/>
  <c r="AL33" i="4"/>
  <c r="AK33" i="4" s="1"/>
  <c r="AJ33" i="4"/>
  <c r="AI33" i="4"/>
  <c r="AH33" i="4"/>
  <c r="AF33" i="4"/>
  <c r="AE33" i="4"/>
  <c r="AD33" i="4"/>
  <c r="AC33" i="4"/>
  <c r="AB33" i="4"/>
  <c r="AA33" i="4"/>
  <c r="Z33" i="4"/>
  <c r="AP15" i="4"/>
  <c r="AQ15" i="4" s="1"/>
  <c r="AO15" i="4"/>
  <c r="AN15" i="4"/>
  <c r="AM15" i="4"/>
  <c r="AL15" i="4"/>
  <c r="AJ15" i="4"/>
  <c r="AI15" i="4"/>
  <c r="AH15" i="4"/>
  <c r="AG15" i="4"/>
  <c r="AF15" i="4"/>
  <c r="AE15" i="4"/>
  <c r="AD15" i="4"/>
  <c r="AC15" i="4"/>
  <c r="AB15" i="4"/>
  <c r="AA15" i="4"/>
  <c r="Z15" i="4"/>
  <c r="AP78" i="4"/>
  <c r="AQ78" i="4" s="1"/>
  <c r="AO78" i="4"/>
  <c r="AN78" i="4"/>
  <c r="AM78" i="4"/>
  <c r="AL78" i="4"/>
  <c r="AJ78" i="4"/>
  <c r="AI78" i="4"/>
  <c r="AH78" i="4"/>
  <c r="AG78" i="4"/>
  <c r="AF78" i="4"/>
  <c r="AE78" i="4"/>
  <c r="AD78" i="4"/>
  <c r="AC78" i="4"/>
  <c r="AB78" i="4"/>
  <c r="AA78" i="4"/>
  <c r="Z78" i="4"/>
  <c r="AP14" i="4"/>
  <c r="AQ14" i="4" s="1"/>
  <c r="AO14" i="4"/>
  <c r="AN14" i="4"/>
  <c r="AM14" i="4"/>
  <c r="AL14" i="4"/>
  <c r="AJ14" i="4"/>
  <c r="AI14" i="4"/>
  <c r="AH14" i="4"/>
  <c r="AG14" i="4"/>
  <c r="AF14" i="4"/>
  <c r="AE14" i="4"/>
  <c r="AD14" i="4"/>
  <c r="AC14" i="4"/>
  <c r="AB14" i="4"/>
  <c r="AA14" i="4"/>
  <c r="Z14" i="4"/>
  <c r="AP80" i="4"/>
  <c r="Y80" i="4" s="1"/>
  <c r="AO80" i="4"/>
  <c r="AN80" i="4"/>
  <c r="AM80" i="4"/>
  <c r="AL80" i="4"/>
  <c r="AJ80" i="4"/>
  <c r="AI80" i="4"/>
  <c r="AH80" i="4"/>
  <c r="AG80" i="4"/>
  <c r="AF80" i="4"/>
  <c r="AE80" i="4"/>
  <c r="AD80" i="4"/>
  <c r="AC80" i="4"/>
  <c r="AB80" i="4"/>
  <c r="Z80" i="4"/>
  <c r="AA80" i="4" s="1"/>
  <c r="AP55" i="4"/>
  <c r="Y55" i="4" s="1"/>
  <c r="AN55" i="4"/>
  <c r="AL55" i="4"/>
  <c r="AK55" i="4" s="1"/>
  <c r="AJ55" i="4"/>
  <c r="AI55" i="4"/>
  <c r="AH55" i="4"/>
  <c r="AF55" i="4"/>
  <c r="AE55" i="4"/>
  <c r="AD55" i="4"/>
  <c r="AC55" i="4"/>
  <c r="AB55" i="4"/>
  <c r="AA55" i="4"/>
  <c r="Z55" i="4"/>
  <c r="AP39" i="4"/>
  <c r="Y39" i="4" s="1"/>
  <c r="AO39" i="4"/>
  <c r="AN39" i="4"/>
  <c r="AM39" i="4"/>
  <c r="AL39" i="4"/>
  <c r="AJ39" i="4"/>
  <c r="AI39" i="4"/>
  <c r="AH39" i="4"/>
  <c r="AG39" i="4"/>
  <c r="AF39" i="4"/>
  <c r="AE39" i="4"/>
  <c r="AD39" i="4"/>
  <c r="AC39" i="4"/>
  <c r="AB39" i="4"/>
  <c r="Z39" i="4"/>
  <c r="AA39" i="4" s="1"/>
  <c r="AP70" i="4"/>
  <c r="Y70" i="4" s="1"/>
  <c r="AO70" i="4"/>
  <c r="AN70" i="4"/>
  <c r="AM70" i="4"/>
  <c r="AL70" i="4"/>
  <c r="AJ70" i="4"/>
  <c r="AI70" i="4"/>
  <c r="AH70" i="4"/>
  <c r="AG70" i="4"/>
  <c r="AF70" i="4"/>
  <c r="AE70" i="4"/>
  <c r="AD70" i="4"/>
  <c r="AC70" i="4"/>
  <c r="AB70" i="4"/>
  <c r="AA70" i="4"/>
  <c r="Z70" i="4"/>
  <c r="AP46" i="4"/>
  <c r="Y46" i="4" s="1"/>
  <c r="AO46" i="4"/>
  <c r="AN46" i="4"/>
  <c r="AM46" i="4"/>
  <c r="AL46" i="4"/>
  <c r="AJ46" i="4"/>
  <c r="AI46" i="4"/>
  <c r="AH46" i="4"/>
  <c r="AG46" i="4"/>
  <c r="AF46" i="4"/>
  <c r="AE46" i="4"/>
  <c r="AD46" i="4"/>
  <c r="AC46" i="4"/>
  <c r="AB46" i="4"/>
  <c r="AA46" i="4"/>
  <c r="Z46" i="4"/>
  <c r="AP32" i="4"/>
  <c r="Y32" i="4" s="1"/>
  <c r="AO32" i="4"/>
  <c r="AN32" i="4"/>
  <c r="AM32" i="4"/>
  <c r="AL32" i="4"/>
  <c r="AJ32" i="4"/>
  <c r="AI32" i="4"/>
  <c r="AH32" i="4"/>
  <c r="AG32" i="4"/>
  <c r="AF32" i="4"/>
  <c r="AE32" i="4"/>
  <c r="AD32" i="4"/>
  <c r="AC32" i="4"/>
  <c r="AB32" i="4"/>
  <c r="Z32" i="4"/>
  <c r="AA32" i="4" s="1"/>
  <c r="AP20" i="4"/>
  <c r="Y20" i="4" s="1"/>
  <c r="AO20" i="4"/>
  <c r="AN20" i="4"/>
  <c r="AM20" i="4"/>
  <c r="AL20" i="4"/>
  <c r="AJ20" i="4"/>
  <c r="AI20" i="4"/>
  <c r="AH20" i="4"/>
  <c r="AG20" i="4"/>
  <c r="AF20" i="4"/>
  <c r="AE20" i="4"/>
  <c r="AD20" i="4"/>
  <c r="AC20" i="4"/>
  <c r="AB20" i="4"/>
  <c r="Z20" i="4"/>
  <c r="AA20" i="4" s="1"/>
  <c r="AP65" i="4"/>
  <c r="Y65" i="4" s="1"/>
  <c r="AO65" i="4"/>
  <c r="AN65" i="4"/>
  <c r="AM65" i="4"/>
  <c r="AL65" i="4"/>
  <c r="AJ65" i="4"/>
  <c r="AI65" i="4"/>
  <c r="AH65" i="4"/>
  <c r="AG65" i="4"/>
  <c r="AF65" i="4"/>
  <c r="AE65" i="4"/>
  <c r="AD65" i="4"/>
  <c r="AC65" i="4"/>
  <c r="AB65" i="4"/>
  <c r="AA65" i="4"/>
  <c r="Z65" i="4"/>
  <c r="AP60" i="4"/>
  <c r="Y60" i="4" s="1"/>
  <c r="AO60" i="4"/>
  <c r="AN60" i="4"/>
  <c r="AM60" i="4"/>
  <c r="AL60" i="4"/>
  <c r="AJ60" i="4"/>
  <c r="AI60" i="4"/>
  <c r="AH60" i="4"/>
  <c r="AG60" i="4"/>
  <c r="AF60" i="4"/>
  <c r="AE60" i="4"/>
  <c r="AD60" i="4"/>
  <c r="AC60" i="4"/>
  <c r="AB60" i="4"/>
  <c r="AA60" i="4"/>
  <c r="Z60" i="4"/>
  <c r="AP61" i="4"/>
  <c r="Y61" i="4" s="1"/>
  <c r="AO61" i="4"/>
  <c r="AN61" i="4"/>
  <c r="AM61" i="4"/>
  <c r="AL61" i="4"/>
  <c r="AJ61" i="4"/>
  <c r="AI61" i="4"/>
  <c r="AH61" i="4"/>
  <c r="AG61" i="4"/>
  <c r="AF61" i="4"/>
  <c r="AE61" i="4"/>
  <c r="AD61" i="4"/>
  <c r="AC61" i="4"/>
  <c r="AB61" i="4"/>
  <c r="AA61" i="4"/>
  <c r="Z61" i="4"/>
  <c r="AP19" i="4"/>
  <c r="AQ19" i="4" s="1"/>
  <c r="AO19" i="4"/>
  <c r="AN19" i="4"/>
  <c r="AM19" i="4"/>
  <c r="AL19" i="4"/>
  <c r="AJ19" i="4"/>
  <c r="AI19" i="4"/>
  <c r="AH19" i="4"/>
  <c r="AG19" i="4"/>
  <c r="AF19" i="4"/>
  <c r="AE19" i="4"/>
  <c r="AD19" i="4"/>
  <c r="AC19" i="4"/>
  <c r="AB19" i="4"/>
  <c r="AA19" i="4"/>
  <c r="Z19" i="4"/>
  <c r="AP35" i="4"/>
  <c r="AQ35" i="4" s="1"/>
  <c r="AO35" i="4"/>
  <c r="AN35" i="4"/>
  <c r="AM35" i="4"/>
  <c r="AL35" i="4"/>
  <c r="AJ35" i="4"/>
  <c r="AI35" i="4"/>
  <c r="AH35" i="4"/>
  <c r="AG35" i="4"/>
  <c r="AF35" i="4"/>
  <c r="AE35" i="4"/>
  <c r="AD35" i="4"/>
  <c r="AC35" i="4"/>
  <c r="AB35" i="4"/>
  <c r="AA35" i="4"/>
  <c r="Z35" i="4"/>
  <c r="AP79" i="4"/>
  <c r="Y79" i="4" s="1"/>
  <c r="AO79" i="4"/>
  <c r="AN79" i="4"/>
  <c r="AM79" i="4"/>
  <c r="AL79" i="4"/>
  <c r="AJ79" i="4"/>
  <c r="AI79" i="4"/>
  <c r="AH79" i="4"/>
  <c r="AG79" i="4"/>
  <c r="AF79" i="4"/>
  <c r="AE79" i="4"/>
  <c r="AD79" i="4"/>
  <c r="AC79" i="4"/>
  <c r="AB79" i="4"/>
  <c r="AA79" i="4"/>
  <c r="Z79" i="4"/>
  <c r="AP59" i="4"/>
  <c r="AQ59" i="4" s="1"/>
  <c r="AO59" i="4"/>
  <c r="AN59" i="4"/>
  <c r="AM59" i="4"/>
  <c r="AL59" i="4"/>
  <c r="AJ59" i="4"/>
  <c r="AI59" i="4"/>
  <c r="AH59" i="4"/>
  <c r="AG59" i="4"/>
  <c r="AF59" i="4"/>
  <c r="AE59" i="4"/>
  <c r="AD59" i="4"/>
  <c r="AC59" i="4"/>
  <c r="AB59" i="4"/>
  <c r="AA59" i="4"/>
  <c r="Z59" i="4"/>
  <c r="AP24" i="4"/>
  <c r="Y24" i="4" s="1"/>
  <c r="AO24" i="4"/>
  <c r="AN24" i="4"/>
  <c r="AM24" i="4"/>
  <c r="AL24" i="4"/>
  <c r="AJ24" i="4"/>
  <c r="AI24" i="4"/>
  <c r="AH24" i="4"/>
  <c r="AG24" i="4"/>
  <c r="AF24" i="4"/>
  <c r="AE24" i="4"/>
  <c r="AD24" i="4"/>
  <c r="AC24" i="4"/>
  <c r="AB24" i="4"/>
  <c r="AA24" i="4"/>
  <c r="Z24" i="4"/>
  <c r="AP29" i="4"/>
  <c r="Y29" i="4" s="1"/>
  <c r="AO29" i="4"/>
  <c r="AN29" i="4"/>
  <c r="AM29" i="4"/>
  <c r="AL29" i="4"/>
  <c r="AJ29" i="4"/>
  <c r="AI29" i="4"/>
  <c r="AH29" i="4"/>
  <c r="AG29" i="4"/>
  <c r="AF29" i="4"/>
  <c r="AE29" i="4"/>
  <c r="AD29" i="4"/>
  <c r="AC29" i="4"/>
  <c r="AB29" i="4"/>
  <c r="AA29" i="4"/>
  <c r="Z29" i="4"/>
  <c r="AP50" i="4"/>
  <c r="Y50" i="4" s="1"/>
  <c r="AO50" i="4"/>
  <c r="AN50" i="4"/>
  <c r="AM50" i="4"/>
  <c r="AL50" i="4"/>
  <c r="AJ50" i="4"/>
  <c r="AI50" i="4"/>
  <c r="AH50" i="4"/>
  <c r="AG50" i="4"/>
  <c r="AF50" i="4"/>
  <c r="AE50" i="4"/>
  <c r="AD50" i="4"/>
  <c r="AC50" i="4"/>
  <c r="AB50" i="4"/>
  <c r="AA50" i="4"/>
  <c r="Z50" i="4"/>
  <c r="AP18" i="4"/>
  <c r="AQ18" i="4" s="1"/>
  <c r="AO18" i="4"/>
  <c r="AN18" i="4"/>
  <c r="AM18" i="4"/>
  <c r="AL18" i="4"/>
  <c r="AJ18" i="4"/>
  <c r="AI18" i="4"/>
  <c r="AH18" i="4"/>
  <c r="AG18" i="4"/>
  <c r="AF18" i="4"/>
  <c r="AE18" i="4"/>
  <c r="AD18" i="4"/>
  <c r="AC18" i="4"/>
  <c r="AB18" i="4"/>
  <c r="AA18" i="4"/>
  <c r="Z18" i="4"/>
  <c r="AP68" i="4"/>
  <c r="Y68" i="4" s="1"/>
  <c r="AO68" i="4"/>
  <c r="AN68" i="4"/>
  <c r="AM68" i="4"/>
  <c r="AL68" i="4"/>
  <c r="AJ68" i="4"/>
  <c r="AI68" i="4"/>
  <c r="AH68" i="4"/>
  <c r="AG68" i="4"/>
  <c r="AF68" i="4"/>
  <c r="AE68" i="4"/>
  <c r="AD68" i="4"/>
  <c r="AC68" i="4"/>
  <c r="AB68" i="4"/>
  <c r="Z68" i="4"/>
  <c r="AA68" i="4" s="1"/>
  <c r="AP22" i="4"/>
  <c r="AQ22" i="4" s="1"/>
  <c r="AO22" i="4"/>
  <c r="AN22" i="4"/>
  <c r="AM22" i="4"/>
  <c r="AL22" i="4"/>
  <c r="AJ22" i="4"/>
  <c r="AI22" i="4"/>
  <c r="AH22" i="4"/>
  <c r="AG22" i="4"/>
  <c r="AF22" i="4"/>
  <c r="AE22" i="4"/>
  <c r="AD22" i="4"/>
  <c r="AC22" i="4"/>
  <c r="AB22" i="4"/>
  <c r="AA22" i="4"/>
  <c r="Z22" i="4"/>
  <c r="AP9" i="4"/>
  <c r="Y9" i="4" s="1"/>
  <c r="AO9" i="4"/>
  <c r="AN9" i="4"/>
  <c r="AM9" i="4"/>
  <c r="AL9" i="4"/>
  <c r="AJ9" i="4"/>
  <c r="AI9" i="4"/>
  <c r="AH9" i="4"/>
  <c r="AG9" i="4"/>
  <c r="AF9" i="4"/>
  <c r="AE9" i="4"/>
  <c r="AD9" i="4"/>
  <c r="AC9" i="4"/>
  <c r="AB9" i="4"/>
  <c r="AA9" i="4"/>
  <c r="Z9" i="4"/>
  <c r="AP27" i="4"/>
  <c r="AQ27" i="4" s="1"/>
  <c r="AO27" i="4"/>
  <c r="AN27" i="4"/>
  <c r="AM27" i="4"/>
  <c r="AL27" i="4"/>
  <c r="AJ27" i="4"/>
  <c r="AI27" i="4"/>
  <c r="AH27" i="4"/>
  <c r="AG27" i="4"/>
  <c r="AD27" i="4"/>
  <c r="AC27" i="4"/>
  <c r="AB27" i="4"/>
  <c r="AA27" i="4"/>
  <c r="Z27" i="4"/>
  <c r="Q27" i="4"/>
  <c r="AP28" i="4"/>
  <c r="AQ28" i="4" s="1"/>
  <c r="AO28" i="4"/>
  <c r="AN28" i="4"/>
  <c r="AM28" i="4"/>
  <c r="AL28" i="4"/>
  <c r="AJ28" i="4"/>
  <c r="AI28" i="4"/>
  <c r="AH28" i="4"/>
  <c r="AG28" i="4"/>
  <c r="AF28" i="4"/>
  <c r="AE28" i="4"/>
  <c r="AD28" i="4"/>
  <c r="AC28" i="4"/>
  <c r="AB28" i="4"/>
  <c r="Z28" i="4"/>
  <c r="AA28" i="4" s="1"/>
  <c r="AP57" i="4"/>
  <c r="Y57" i="4" s="1"/>
  <c r="AO57" i="4"/>
  <c r="AN57" i="4"/>
  <c r="AM57" i="4"/>
  <c r="AL57" i="4"/>
  <c r="AJ57" i="4"/>
  <c r="AI57" i="4"/>
  <c r="AH57" i="4"/>
  <c r="AG57" i="4"/>
  <c r="AF57" i="4"/>
  <c r="AE57" i="4"/>
  <c r="AD57" i="4"/>
  <c r="AC57" i="4"/>
  <c r="AB57" i="4"/>
  <c r="AA57" i="4"/>
  <c r="Z57" i="4"/>
  <c r="AP23" i="4"/>
  <c r="Y23" i="4" s="1"/>
  <c r="AO23" i="4"/>
  <c r="AN23" i="4"/>
  <c r="AM23" i="4"/>
  <c r="AL23" i="4"/>
  <c r="AJ23" i="4"/>
  <c r="AI23" i="4"/>
  <c r="AH23" i="4"/>
  <c r="AG23" i="4"/>
  <c r="AF23" i="4"/>
  <c r="AE23" i="4"/>
  <c r="AD23" i="4"/>
  <c r="AC23" i="4"/>
  <c r="AB23" i="4"/>
  <c r="AA23" i="4"/>
  <c r="Z23" i="4"/>
  <c r="AP10" i="4"/>
  <c r="AQ10" i="4" s="1"/>
  <c r="AO10" i="4"/>
  <c r="AN10" i="4"/>
  <c r="AM10" i="4"/>
  <c r="AL10" i="4"/>
  <c r="AJ10" i="4"/>
  <c r="AI10" i="4"/>
  <c r="AH10" i="4"/>
  <c r="AG10" i="4"/>
  <c r="AF10" i="4"/>
  <c r="AE10" i="4"/>
  <c r="AD10" i="4"/>
  <c r="AC10" i="4"/>
  <c r="AB10" i="4"/>
  <c r="AA10" i="4"/>
  <c r="Z10" i="4"/>
  <c r="AP56" i="4"/>
  <c r="AQ56" i="4" s="1"/>
  <c r="AO56" i="4"/>
  <c r="AN56" i="4"/>
  <c r="AM56" i="4"/>
  <c r="AL56" i="4"/>
  <c r="AJ56" i="4"/>
  <c r="AI56" i="4"/>
  <c r="AH56" i="4"/>
  <c r="AG56" i="4"/>
  <c r="AF56" i="4"/>
  <c r="AE56" i="4"/>
  <c r="AD56" i="4"/>
  <c r="AC56" i="4"/>
  <c r="AB56" i="4"/>
  <c r="AA56" i="4"/>
  <c r="Z56" i="4"/>
  <c r="AP47" i="4"/>
  <c r="Y47" i="4" s="1"/>
  <c r="AO47" i="4"/>
  <c r="AN47" i="4"/>
  <c r="AM47" i="4"/>
  <c r="AL47" i="4"/>
  <c r="AJ47" i="4"/>
  <c r="AI47" i="4"/>
  <c r="AH47" i="4"/>
  <c r="AG47" i="4"/>
  <c r="AF47" i="4"/>
  <c r="AE47" i="4"/>
  <c r="AD47" i="4"/>
  <c r="AC47" i="4"/>
  <c r="AB47" i="4"/>
  <c r="AA47" i="4"/>
  <c r="Z47" i="4"/>
  <c r="AP72" i="4"/>
  <c r="Y72" i="4" s="1"/>
  <c r="AO72" i="4"/>
  <c r="AN72" i="4"/>
  <c r="AM72" i="4"/>
  <c r="AL72" i="4"/>
  <c r="AJ72" i="4"/>
  <c r="AI72" i="4"/>
  <c r="AH72" i="4"/>
  <c r="AG72" i="4"/>
  <c r="AF72" i="4"/>
  <c r="AE72" i="4"/>
  <c r="AD72" i="4"/>
  <c r="AC72" i="4"/>
  <c r="AB72" i="4"/>
  <c r="AA72" i="4"/>
  <c r="Z72" i="4"/>
  <c r="AP26" i="4"/>
  <c r="Y26" i="4" s="1"/>
  <c r="AO26" i="4"/>
  <c r="AN26" i="4"/>
  <c r="AM26" i="4"/>
  <c r="AL26" i="4"/>
  <c r="AJ26" i="4"/>
  <c r="AI26" i="4"/>
  <c r="AH26" i="4"/>
  <c r="AG26" i="4"/>
  <c r="AF26" i="4"/>
  <c r="AE26" i="4"/>
  <c r="AD26" i="4"/>
  <c r="AC26" i="4"/>
  <c r="AB26" i="4"/>
  <c r="AA26" i="4"/>
  <c r="Z26" i="4"/>
  <c r="AP45" i="4"/>
  <c r="Y45" i="4" s="1"/>
  <c r="AO45" i="4"/>
  <c r="AN45" i="4"/>
  <c r="AM45" i="4"/>
  <c r="AL45" i="4"/>
  <c r="AJ45" i="4"/>
  <c r="AI45" i="4"/>
  <c r="AH45" i="4"/>
  <c r="AG45" i="4"/>
  <c r="AF45" i="4"/>
  <c r="AE45" i="4"/>
  <c r="AD45" i="4"/>
  <c r="AC45" i="4"/>
  <c r="AB45" i="4"/>
  <c r="AA45" i="4"/>
  <c r="Z45" i="4"/>
  <c r="AP16" i="4"/>
  <c r="Y16" i="4" s="1"/>
  <c r="AO16" i="4"/>
  <c r="AN16" i="4"/>
  <c r="AM16" i="4"/>
  <c r="AL16" i="4"/>
  <c r="AJ16" i="4"/>
  <c r="AI16" i="4"/>
  <c r="AH16" i="4"/>
  <c r="AG16" i="4"/>
  <c r="AF16" i="4"/>
  <c r="AE16" i="4"/>
  <c r="AD16" i="4"/>
  <c r="AC16" i="4"/>
  <c r="AB16" i="4"/>
  <c r="AA16" i="4"/>
  <c r="Z16" i="4"/>
  <c r="AP5" i="4"/>
  <c r="AQ5" i="4" s="1"/>
  <c r="AO5" i="4"/>
  <c r="AN5" i="4"/>
  <c r="AM5" i="4"/>
  <c r="AL5" i="4"/>
  <c r="AJ5" i="4"/>
  <c r="AI5" i="4"/>
  <c r="AH5" i="4"/>
  <c r="AG5" i="4"/>
  <c r="AF5" i="4"/>
  <c r="AE5" i="4"/>
  <c r="AD5" i="4"/>
  <c r="AC5" i="4"/>
  <c r="AB5" i="4"/>
  <c r="AA5" i="4"/>
  <c r="Z5" i="4"/>
  <c r="AP6" i="4"/>
  <c r="Y6" i="4" s="1"/>
  <c r="AO6" i="4"/>
  <c r="AN6" i="4"/>
  <c r="AM6" i="4"/>
  <c r="AL6" i="4"/>
  <c r="AJ6" i="4"/>
  <c r="AI6" i="4"/>
  <c r="AH6" i="4"/>
  <c r="AG6" i="4"/>
  <c r="AF6" i="4"/>
  <c r="AE6" i="4"/>
  <c r="AD6" i="4"/>
  <c r="AC6" i="4"/>
  <c r="AB6" i="4"/>
  <c r="AA6" i="4"/>
  <c r="Z6" i="4"/>
  <c r="AP17" i="4"/>
  <c r="Y17" i="4" s="1"/>
  <c r="AO17" i="4"/>
  <c r="AN17" i="4"/>
  <c r="AM17" i="4"/>
  <c r="AL17" i="4"/>
  <c r="AJ17" i="4"/>
  <c r="AI17" i="4"/>
  <c r="AH17" i="4"/>
  <c r="AG17" i="4"/>
  <c r="AF17" i="4"/>
  <c r="AE17" i="4"/>
  <c r="AD17" i="4"/>
  <c r="AC17" i="4"/>
  <c r="AB17" i="4"/>
  <c r="AA17" i="4"/>
  <c r="Z17" i="4"/>
  <c r="AP4" i="4"/>
  <c r="Y4" i="4" s="1"/>
  <c r="AO4" i="4"/>
  <c r="AN4" i="4"/>
  <c r="AM4" i="4"/>
  <c r="AL4" i="4"/>
  <c r="AJ4" i="4"/>
  <c r="AI4" i="4"/>
  <c r="AH4" i="4"/>
  <c r="AG4" i="4"/>
  <c r="AF4" i="4"/>
  <c r="AE4" i="4"/>
  <c r="AD4" i="4"/>
  <c r="AC4" i="4"/>
  <c r="AB4" i="4"/>
  <c r="AA4" i="4"/>
  <c r="Z4" i="4"/>
  <c r="AP82" i="4"/>
  <c r="Y82" i="4" s="1"/>
  <c r="AO82" i="4"/>
  <c r="AN82" i="4"/>
  <c r="AM82" i="4"/>
  <c r="AL82" i="4"/>
  <c r="AJ82" i="4"/>
  <c r="AI82" i="4"/>
  <c r="AH82" i="4"/>
  <c r="AG82" i="4"/>
  <c r="AF82" i="4"/>
  <c r="AE82" i="4"/>
  <c r="AD82" i="4"/>
  <c r="AC82" i="4"/>
  <c r="AB82" i="4"/>
  <c r="AA82" i="4"/>
  <c r="Z82" i="4"/>
  <c r="AP76" i="4"/>
  <c r="Y76" i="4" s="1"/>
  <c r="AO76" i="4"/>
  <c r="AN76" i="4"/>
  <c r="AM76" i="4"/>
  <c r="AL76" i="4"/>
  <c r="AJ76" i="4"/>
  <c r="AI76" i="4"/>
  <c r="AH76" i="4"/>
  <c r="AG76" i="4"/>
  <c r="AF76" i="4"/>
  <c r="AE76" i="4"/>
  <c r="AD76" i="4"/>
  <c r="AC76" i="4"/>
  <c r="AB76" i="4"/>
  <c r="AA76" i="4"/>
  <c r="Z76" i="4"/>
  <c r="AP71" i="4"/>
  <c r="Y71" i="4" s="1"/>
  <c r="AO71" i="4"/>
  <c r="AN71" i="4"/>
  <c r="AM71" i="4"/>
  <c r="AL71" i="4"/>
  <c r="AJ71" i="4"/>
  <c r="AI71" i="4"/>
  <c r="AH71" i="4"/>
  <c r="AG71" i="4"/>
  <c r="AF71" i="4"/>
  <c r="AE71" i="4"/>
  <c r="AD71" i="4"/>
  <c r="AC71" i="4"/>
  <c r="AB71" i="4"/>
  <c r="AA71" i="4"/>
  <c r="Z71" i="4"/>
  <c r="AP73" i="4"/>
  <c r="AQ73" i="4" s="1"/>
  <c r="AO73" i="4"/>
  <c r="AN73" i="4"/>
  <c r="AM73" i="4"/>
  <c r="AL73" i="4"/>
  <c r="AJ73" i="4"/>
  <c r="AI73" i="4"/>
  <c r="AH73" i="4"/>
  <c r="AG73" i="4"/>
  <c r="AF73" i="4"/>
  <c r="AE73" i="4"/>
  <c r="AD73" i="4"/>
  <c r="AC73" i="4"/>
  <c r="AB73" i="4"/>
  <c r="AA73" i="4"/>
  <c r="Z73" i="4"/>
  <c r="AP69" i="4"/>
  <c r="AQ69" i="4" s="1"/>
  <c r="AO69" i="4"/>
  <c r="AN69" i="4"/>
  <c r="AM69" i="4"/>
  <c r="AL69" i="4"/>
  <c r="AJ69" i="4"/>
  <c r="AI69" i="4"/>
  <c r="AH69" i="4"/>
  <c r="AG69" i="4"/>
  <c r="AF69" i="4"/>
  <c r="AE69" i="4"/>
  <c r="AD69" i="4"/>
  <c r="AC69" i="4"/>
  <c r="AB69" i="4"/>
  <c r="Z69" i="4"/>
  <c r="AA69" i="4" s="1"/>
  <c r="P69" i="4"/>
  <c r="AP21" i="4"/>
  <c r="Y21" i="4" s="1"/>
  <c r="AO21" i="4"/>
  <c r="AN21" i="4"/>
  <c r="AM21" i="4"/>
  <c r="AL21" i="4"/>
  <c r="AJ21" i="4"/>
  <c r="AI21" i="4"/>
  <c r="AH21" i="4"/>
  <c r="AG21" i="4"/>
  <c r="AF21" i="4"/>
  <c r="AE21" i="4"/>
  <c r="AD21" i="4"/>
  <c r="AC21" i="4"/>
  <c r="AB21" i="4"/>
  <c r="AA21" i="4"/>
  <c r="Z21" i="4"/>
  <c r="AB258" i="1"/>
  <c r="AB259" i="1"/>
  <c r="AB260" i="1"/>
  <c r="AB261" i="1"/>
  <c r="AB262" i="1"/>
  <c r="AC258" i="1"/>
  <c r="AC259" i="1"/>
  <c r="AC260" i="1"/>
  <c r="AC261" i="1"/>
  <c r="AC262" i="1"/>
  <c r="AD258" i="1"/>
  <c r="AD259" i="1"/>
  <c r="AD260" i="1"/>
  <c r="AD261" i="1"/>
  <c r="AD262" i="1"/>
  <c r="AF258" i="1"/>
  <c r="AF259" i="1"/>
  <c r="AF260" i="1"/>
  <c r="AF261" i="1"/>
  <c r="AF262" i="1"/>
  <c r="AG258" i="1"/>
  <c r="AG259" i="1"/>
  <c r="AG260" i="1"/>
  <c r="AG261" i="1"/>
  <c r="AG262" i="1"/>
  <c r="AI258" i="1"/>
  <c r="AI259" i="1"/>
  <c r="AI260" i="1"/>
  <c r="AI261" i="1"/>
  <c r="AI262" i="1"/>
  <c r="AJ258" i="1"/>
  <c r="AJ259" i="1"/>
  <c r="AJ260" i="1"/>
  <c r="AJ261" i="1"/>
  <c r="AJ262" i="1"/>
  <c r="AK258" i="1"/>
  <c r="AK259" i="1"/>
  <c r="AK260" i="1"/>
  <c r="AK261" i="1"/>
  <c r="AK262" i="1"/>
  <c r="AL258" i="1"/>
  <c r="AL259" i="1"/>
  <c r="AL260" i="1"/>
  <c r="AL261" i="1"/>
  <c r="AL262" i="1"/>
  <c r="AO258" i="1"/>
  <c r="AO259" i="1"/>
  <c r="AO260" i="1"/>
  <c r="AO261" i="1"/>
  <c r="AO262" i="1"/>
  <c r="AQ258" i="1"/>
  <c r="Z258" i="1" s="1"/>
  <c r="AQ259" i="1"/>
  <c r="Z259" i="1" s="1"/>
  <c r="AQ260" i="1"/>
  <c r="Z260" i="1" s="1"/>
  <c r="AQ261" i="1"/>
  <c r="Z261" i="1" s="1"/>
  <c r="AQ262" i="1"/>
  <c r="Z262" i="1" s="1"/>
  <c r="AB120" i="1"/>
  <c r="AC120" i="1"/>
  <c r="AD120" i="1"/>
  <c r="AF120" i="1"/>
  <c r="AG120" i="1"/>
  <c r="AI120" i="1"/>
  <c r="AJ120" i="1"/>
  <c r="AK120" i="1"/>
  <c r="AL120" i="1"/>
  <c r="AO120" i="1"/>
  <c r="AQ120" i="1"/>
  <c r="Z120" i="1" s="1"/>
  <c r="AB243" i="1"/>
  <c r="AB244" i="1"/>
  <c r="AB245" i="1"/>
  <c r="AB246" i="1"/>
  <c r="AB247" i="1"/>
  <c r="AB248" i="1"/>
  <c r="AB249" i="1"/>
  <c r="AB250" i="1"/>
  <c r="AB251" i="1"/>
  <c r="AB252" i="1"/>
  <c r="AB253" i="1"/>
  <c r="AB254" i="1"/>
  <c r="AB255" i="1"/>
  <c r="AB256" i="1"/>
  <c r="AB257" i="1"/>
  <c r="AC243" i="1"/>
  <c r="AC244" i="1"/>
  <c r="AC245" i="1"/>
  <c r="AC246" i="1"/>
  <c r="AC247" i="1"/>
  <c r="AC248" i="1"/>
  <c r="AC249" i="1"/>
  <c r="AC250" i="1"/>
  <c r="AC251" i="1"/>
  <c r="AC252" i="1"/>
  <c r="AC253" i="1"/>
  <c r="AC254" i="1"/>
  <c r="AC255" i="1"/>
  <c r="AC256" i="1"/>
  <c r="AC257" i="1"/>
  <c r="AD243" i="1"/>
  <c r="AD244" i="1"/>
  <c r="AD245" i="1"/>
  <c r="AD246" i="1"/>
  <c r="AD247" i="1"/>
  <c r="AD248" i="1"/>
  <c r="AD249" i="1"/>
  <c r="AD250" i="1"/>
  <c r="AD251" i="1"/>
  <c r="AD252" i="1"/>
  <c r="AD253" i="1"/>
  <c r="AD254" i="1"/>
  <c r="AD255" i="1"/>
  <c r="AD256" i="1"/>
  <c r="AD257" i="1"/>
  <c r="AF243" i="1"/>
  <c r="AF244" i="1"/>
  <c r="AF245" i="1"/>
  <c r="AF246" i="1"/>
  <c r="AF247" i="1"/>
  <c r="AF248" i="1"/>
  <c r="AF249" i="1"/>
  <c r="AF250" i="1"/>
  <c r="AF251" i="1"/>
  <c r="AF252" i="1"/>
  <c r="AF253" i="1"/>
  <c r="AF254" i="1"/>
  <c r="AF255" i="1"/>
  <c r="AF256" i="1"/>
  <c r="AF257" i="1"/>
  <c r="AG243" i="1"/>
  <c r="AG244" i="1"/>
  <c r="AG245" i="1"/>
  <c r="AG246" i="1"/>
  <c r="AG247" i="1"/>
  <c r="AG248" i="1"/>
  <c r="AG249" i="1"/>
  <c r="AG250" i="1"/>
  <c r="AG251" i="1"/>
  <c r="AG252" i="1"/>
  <c r="AG253" i="1"/>
  <c r="AG254" i="1"/>
  <c r="AG255" i="1"/>
  <c r="AG256" i="1"/>
  <c r="AG257" i="1"/>
  <c r="AI243" i="1"/>
  <c r="AI244" i="1"/>
  <c r="AI245" i="1"/>
  <c r="AI246" i="1"/>
  <c r="AI247" i="1"/>
  <c r="AI248" i="1"/>
  <c r="AI249" i="1"/>
  <c r="AI250" i="1"/>
  <c r="AI251" i="1"/>
  <c r="AI252" i="1"/>
  <c r="AI253" i="1"/>
  <c r="AI254" i="1"/>
  <c r="AI255" i="1"/>
  <c r="AI256" i="1"/>
  <c r="AI257" i="1"/>
  <c r="AJ243" i="1"/>
  <c r="AJ244" i="1"/>
  <c r="AJ245" i="1"/>
  <c r="AJ246" i="1"/>
  <c r="AJ247" i="1"/>
  <c r="AJ248" i="1"/>
  <c r="AJ249" i="1"/>
  <c r="AJ250" i="1"/>
  <c r="AJ251" i="1"/>
  <c r="AJ252" i="1"/>
  <c r="AJ253" i="1"/>
  <c r="AJ254" i="1"/>
  <c r="AJ255" i="1"/>
  <c r="AJ256" i="1"/>
  <c r="AJ257" i="1"/>
  <c r="AK243" i="1"/>
  <c r="AK244" i="1"/>
  <c r="AK245" i="1"/>
  <c r="AK246" i="1"/>
  <c r="AK247" i="1"/>
  <c r="AK248" i="1"/>
  <c r="AK249" i="1"/>
  <c r="AK250" i="1"/>
  <c r="AK251" i="1"/>
  <c r="AK252" i="1"/>
  <c r="AK253" i="1"/>
  <c r="AK254" i="1"/>
  <c r="AK255" i="1"/>
  <c r="AK256" i="1"/>
  <c r="AK257" i="1"/>
  <c r="AL243" i="1"/>
  <c r="AL244" i="1"/>
  <c r="AL245" i="1"/>
  <c r="AL246" i="1"/>
  <c r="AL247" i="1"/>
  <c r="AL248" i="1"/>
  <c r="AL249" i="1"/>
  <c r="AL250" i="1"/>
  <c r="AL251" i="1"/>
  <c r="AL252" i="1"/>
  <c r="AL253" i="1"/>
  <c r="AL254" i="1"/>
  <c r="AL255" i="1"/>
  <c r="AL256" i="1"/>
  <c r="AL257" i="1"/>
  <c r="AO243" i="1"/>
  <c r="AO244" i="1"/>
  <c r="AO245" i="1"/>
  <c r="AO246" i="1"/>
  <c r="AO247" i="1"/>
  <c r="AO248" i="1"/>
  <c r="AO249" i="1"/>
  <c r="AO250" i="1"/>
  <c r="AO251" i="1"/>
  <c r="AO252" i="1"/>
  <c r="AO253" i="1"/>
  <c r="AO254" i="1"/>
  <c r="AO255" i="1"/>
  <c r="AO256" i="1"/>
  <c r="AO257" i="1"/>
  <c r="AQ243" i="1"/>
  <c r="Z243" i="1" s="1"/>
  <c r="AQ244" i="1"/>
  <c r="Z244" i="1" s="1"/>
  <c r="AQ245" i="1"/>
  <c r="Z245" i="1" s="1"/>
  <c r="AQ246" i="1"/>
  <c r="Z246" i="1" s="1"/>
  <c r="AQ247" i="1"/>
  <c r="Z247" i="1" s="1"/>
  <c r="AQ248" i="1"/>
  <c r="Z248" i="1" s="1"/>
  <c r="AQ249" i="1"/>
  <c r="Z249" i="1" s="1"/>
  <c r="AQ250" i="1"/>
  <c r="Z250" i="1" s="1"/>
  <c r="AQ251" i="1"/>
  <c r="Z251" i="1" s="1"/>
  <c r="AQ252" i="1"/>
  <c r="Z252" i="1" s="1"/>
  <c r="AQ253" i="1"/>
  <c r="Z253" i="1" s="1"/>
  <c r="AQ254" i="1"/>
  <c r="Z254" i="1" s="1"/>
  <c r="AQ255" i="1"/>
  <c r="AR255" i="1" s="1"/>
  <c r="AQ256" i="1"/>
  <c r="AR256" i="1" s="1"/>
  <c r="AQ257" i="1"/>
  <c r="AR257" i="1" s="1"/>
  <c r="AB231" i="1"/>
  <c r="AB232" i="1"/>
  <c r="AB233" i="1"/>
  <c r="AB234" i="1"/>
  <c r="AB235" i="1"/>
  <c r="AB236" i="1"/>
  <c r="AB237" i="1"/>
  <c r="AB238" i="1"/>
  <c r="AB239" i="1"/>
  <c r="AB240" i="1"/>
  <c r="AB241" i="1"/>
  <c r="AB242" i="1"/>
  <c r="AC231" i="1"/>
  <c r="AC232" i="1"/>
  <c r="AC233" i="1"/>
  <c r="AC234" i="1"/>
  <c r="AC235" i="1"/>
  <c r="AC236" i="1"/>
  <c r="AC237" i="1"/>
  <c r="AC238" i="1"/>
  <c r="AC239" i="1"/>
  <c r="AC240" i="1"/>
  <c r="AC241" i="1"/>
  <c r="AC242" i="1"/>
  <c r="AD231" i="1"/>
  <c r="AD232" i="1"/>
  <c r="AD233" i="1"/>
  <c r="AD234" i="1"/>
  <c r="AD235" i="1"/>
  <c r="AD236" i="1"/>
  <c r="AD237" i="1"/>
  <c r="AD238" i="1"/>
  <c r="AD239" i="1"/>
  <c r="AD240" i="1"/>
  <c r="AD241" i="1"/>
  <c r="AD242" i="1"/>
  <c r="AF231" i="1"/>
  <c r="AF232" i="1"/>
  <c r="AF233" i="1"/>
  <c r="AF234" i="1"/>
  <c r="AF235" i="1"/>
  <c r="AF236" i="1"/>
  <c r="AF237" i="1"/>
  <c r="AF238" i="1"/>
  <c r="AF239" i="1"/>
  <c r="AF240" i="1"/>
  <c r="AF241" i="1"/>
  <c r="AF242" i="1"/>
  <c r="AG231" i="1"/>
  <c r="AG232" i="1"/>
  <c r="AG233" i="1"/>
  <c r="AG234" i="1"/>
  <c r="AG235" i="1"/>
  <c r="AG236" i="1"/>
  <c r="AG237" i="1"/>
  <c r="AG238" i="1"/>
  <c r="AG239" i="1"/>
  <c r="AG240" i="1"/>
  <c r="AG241" i="1"/>
  <c r="AG242" i="1"/>
  <c r="AI231" i="1"/>
  <c r="AI232" i="1"/>
  <c r="AI233" i="1"/>
  <c r="AI234" i="1"/>
  <c r="AI235" i="1"/>
  <c r="AI236" i="1"/>
  <c r="AI237" i="1"/>
  <c r="AI238" i="1"/>
  <c r="AI239" i="1"/>
  <c r="AI240" i="1"/>
  <c r="AI241" i="1"/>
  <c r="AI242" i="1"/>
  <c r="AJ231" i="1"/>
  <c r="AJ232" i="1"/>
  <c r="AJ233" i="1"/>
  <c r="AJ234" i="1"/>
  <c r="AJ235" i="1"/>
  <c r="AJ236" i="1"/>
  <c r="AJ237" i="1"/>
  <c r="AJ238" i="1"/>
  <c r="AJ239" i="1"/>
  <c r="AJ240" i="1"/>
  <c r="AJ241" i="1"/>
  <c r="AJ242" i="1"/>
  <c r="AK231" i="1"/>
  <c r="AK232" i="1"/>
  <c r="AK233" i="1"/>
  <c r="AK234" i="1"/>
  <c r="AK235" i="1"/>
  <c r="AK236" i="1"/>
  <c r="AK237" i="1"/>
  <c r="AK238" i="1"/>
  <c r="AK239" i="1"/>
  <c r="AK240" i="1"/>
  <c r="AK241" i="1"/>
  <c r="AK242" i="1"/>
  <c r="AL231" i="1"/>
  <c r="AL232" i="1"/>
  <c r="AL233" i="1"/>
  <c r="AL234" i="1"/>
  <c r="AL235" i="1"/>
  <c r="AL236" i="1"/>
  <c r="AL237" i="1"/>
  <c r="AL238" i="1"/>
  <c r="AL239" i="1"/>
  <c r="AL240" i="1"/>
  <c r="AL241" i="1"/>
  <c r="AL242" i="1"/>
  <c r="AO231" i="1"/>
  <c r="AO232" i="1"/>
  <c r="AO233" i="1"/>
  <c r="AO234" i="1"/>
  <c r="AO235" i="1"/>
  <c r="AO236" i="1"/>
  <c r="AO237" i="1"/>
  <c r="AO238" i="1"/>
  <c r="AO239" i="1"/>
  <c r="AO240" i="1"/>
  <c r="AO241" i="1"/>
  <c r="AO242" i="1"/>
  <c r="AQ231" i="1"/>
  <c r="Z231" i="1" s="1"/>
  <c r="AQ232" i="1"/>
  <c r="Z232" i="1" s="1"/>
  <c r="AQ233" i="1"/>
  <c r="Z233" i="1" s="1"/>
  <c r="AQ234" i="1"/>
  <c r="Z234" i="1" s="1"/>
  <c r="AQ235" i="1"/>
  <c r="AR235" i="1" s="1"/>
  <c r="AQ236" i="1"/>
  <c r="AR236" i="1" s="1"/>
  <c r="AQ237" i="1"/>
  <c r="AR237" i="1" s="1"/>
  <c r="AQ238" i="1"/>
  <c r="AR238" i="1" s="1"/>
  <c r="AQ239" i="1"/>
  <c r="AR239" i="1" s="1"/>
  <c r="AQ240" i="1"/>
  <c r="AR240" i="1" s="1"/>
  <c r="AQ241" i="1"/>
  <c r="Z241" i="1" s="1"/>
  <c r="AQ242" i="1"/>
  <c r="Z242" i="1" s="1"/>
  <c r="AB222" i="1"/>
  <c r="AB223" i="1"/>
  <c r="AB224" i="1"/>
  <c r="AB225" i="1"/>
  <c r="AB226" i="1"/>
  <c r="AB227" i="1"/>
  <c r="AB228" i="1"/>
  <c r="AB229" i="1"/>
  <c r="AB230" i="1"/>
  <c r="AC222" i="1"/>
  <c r="AC223" i="1"/>
  <c r="AC224" i="1"/>
  <c r="AC225" i="1"/>
  <c r="AC226" i="1"/>
  <c r="AC227" i="1"/>
  <c r="AC228" i="1"/>
  <c r="AC229" i="1"/>
  <c r="AC230" i="1"/>
  <c r="AD222" i="1"/>
  <c r="AD223" i="1"/>
  <c r="AD224" i="1"/>
  <c r="AD225" i="1"/>
  <c r="AD226" i="1"/>
  <c r="AD227" i="1"/>
  <c r="AD228" i="1"/>
  <c r="AD229" i="1"/>
  <c r="AD230" i="1"/>
  <c r="AF222" i="1"/>
  <c r="AF223" i="1"/>
  <c r="AF224" i="1"/>
  <c r="AF225" i="1"/>
  <c r="AF226" i="1"/>
  <c r="AF227" i="1"/>
  <c r="AF228" i="1"/>
  <c r="AF229" i="1"/>
  <c r="AF230" i="1"/>
  <c r="AG222" i="1"/>
  <c r="AG223" i="1"/>
  <c r="AG224" i="1"/>
  <c r="AG225" i="1"/>
  <c r="AG226" i="1"/>
  <c r="AG227" i="1"/>
  <c r="AG228" i="1"/>
  <c r="AG229" i="1"/>
  <c r="AG230" i="1"/>
  <c r="AI222" i="1"/>
  <c r="AI223" i="1"/>
  <c r="AI224" i="1"/>
  <c r="AI225" i="1"/>
  <c r="AI226" i="1"/>
  <c r="AI227" i="1"/>
  <c r="AI228" i="1"/>
  <c r="AI229" i="1"/>
  <c r="AI230" i="1"/>
  <c r="AJ222" i="1"/>
  <c r="AJ223" i="1"/>
  <c r="AJ224" i="1"/>
  <c r="AJ225" i="1"/>
  <c r="AJ226" i="1"/>
  <c r="AJ227" i="1"/>
  <c r="AJ228" i="1"/>
  <c r="AJ229" i="1"/>
  <c r="AJ230" i="1"/>
  <c r="AK222" i="1"/>
  <c r="AK223" i="1"/>
  <c r="AK224" i="1"/>
  <c r="AK225" i="1"/>
  <c r="AK226" i="1"/>
  <c r="AK227" i="1"/>
  <c r="AK228" i="1"/>
  <c r="AK229" i="1"/>
  <c r="AK230" i="1"/>
  <c r="AL222" i="1"/>
  <c r="AL223" i="1"/>
  <c r="AL224" i="1"/>
  <c r="AL225" i="1"/>
  <c r="AL226" i="1"/>
  <c r="AL227" i="1"/>
  <c r="AL228" i="1"/>
  <c r="AL229" i="1"/>
  <c r="AL230" i="1"/>
  <c r="AO222" i="1"/>
  <c r="AO223" i="1"/>
  <c r="AO224" i="1"/>
  <c r="AO225" i="1"/>
  <c r="AO226" i="1"/>
  <c r="AO227" i="1"/>
  <c r="AO228" i="1"/>
  <c r="AO229" i="1"/>
  <c r="AO230" i="1"/>
  <c r="AQ222" i="1"/>
  <c r="Z222" i="1" s="1"/>
  <c r="AQ223" i="1"/>
  <c r="Z223" i="1" s="1"/>
  <c r="AQ224" i="1"/>
  <c r="Z224" i="1" s="1"/>
  <c r="AQ225" i="1"/>
  <c r="Z225" i="1" s="1"/>
  <c r="AQ226" i="1"/>
  <c r="AR226" i="1" s="1"/>
  <c r="AQ227" i="1"/>
  <c r="AR227" i="1" s="1"/>
  <c r="AQ228" i="1"/>
  <c r="AR228" i="1" s="1"/>
  <c r="AQ229" i="1"/>
  <c r="AR229" i="1" s="1"/>
  <c r="AQ230" i="1"/>
  <c r="AR230" i="1" s="1"/>
  <c r="AB211" i="1"/>
  <c r="AB212" i="1"/>
  <c r="AB213" i="1"/>
  <c r="AB214" i="1"/>
  <c r="AB215" i="1"/>
  <c r="AB216" i="1"/>
  <c r="AB217" i="1"/>
  <c r="AB218" i="1"/>
  <c r="AB219" i="1"/>
  <c r="AB220" i="1"/>
  <c r="AB221" i="1"/>
  <c r="AC211" i="1"/>
  <c r="AC212" i="1"/>
  <c r="AC213" i="1"/>
  <c r="AC214" i="1"/>
  <c r="AC215" i="1"/>
  <c r="AC216" i="1"/>
  <c r="AC217" i="1"/>
  <c r="AC218" i="1"/>
  <c r="AC219" i="1"/>
  <c r="AC220" i="1"/>
  <c r="AC221" i="1"/>
  <c r="AD211" i="1"/>
  <c r="AD212" i="1"/>
  <c r="AD213" i="1"/>
  <c r="AD214" i="1"/>
  <c r="AD215" i="1"/>
  <c r="AD216" i="1"/>
  <c r="AD217" i="1"/>
  <c r="AD218" i="1"/>
  <c r="AD219" i="1"/>
  <c r="AD220" i="1"/>
  <c r="AD221" i="1"/>
  <c r="AF211" i="1"/>
  <c r="AF212" i="1"/>
  <c r="AF213" i="1"/>
  <c r="AF214" i="1"/>
  <c r="AF215" i="1"/>
  <c r="AF216" i="1"/>
  <c r="AF217" i="1"/>
  <c r="AF218" i="1"/>
  <c r="AF219" i="1"/>
  <c r="AF220" i="1"/>
  <c r="AF221" i="1"/>
  <c r="AG211" i="1"/>
  <c r="AG212" i="1"/>
  <c r="AG213" i="1"/>
  <c r="AG214" i="1"/>
  <c r="AG215" i="1"/>
  <c r="AG216" i="1"/>
  <c r="AG217" i="1"/>
  <c r="AG218" i="1"/>
  <c r="AG219" i="1"/>
  <c r="AG220" i="1"/>
  <c r="AG221" i="1"/>
  <c r="AI211" i="1"/>
  <c r="AI212" i="1"/>
  <c r="AI213" i="1"/>
  <c r="AI214" i="1"/>
  <c r="AI215" i="1"/>
  <c r="AI216" i="1"/>
  <c r="AI217" i="1"/>
  <c r="AI218" i="1"/>
  <c r="AI219" i="1"/>
  <c r="AI220" i="1"/>
  <c r="AI221" i="1"/>
  <c r="AJ211" i="1"/>
  <c r="AJ212" i="1"/>
  <c r="AJ213" i="1"/>
  <c r="AJ214" i="1"/>
  <c r="AJ215" i="1"/>
  <c r="AJ216" i="1"/>
  <c r="AJ217" i="1"/>
  <c r="AJ218" i="1"/>
  <c r="AJ219" i="1"/>
  <c r="AJ220" i="1"/>
  <c r="AJ221" i="1"/>
  <c r="AK211" i="1"/>
  <c r="AK212" i="1"/>
  <c r="AK213" i="1"/>
  <c r="AK214" i="1"/>
  <c r="AK215" i="1"/>
  <c r="AK216" i="1"/>
  <c r="AK217" i="1"/>
  <c r="AK218" i="1"/>
  <c r="AK219" i="1"/>
  <c r="AK220" i="1"/>
  <c r="AK221" i="1"/>
  <c r="AL211" i="1"/>
  <c r="AL212" i="1"/>
  <c r="AL213" i="1"/>
  <c r="AL214" i="1"/>
  <c r="AL215" i="1"/>
  <c r="AL216" i="1"/>
  <c r="AL217" i="1"/>
  <c r="AL218" i="1"/>
  <c r="AL219" i="1"/>
  <c r="AL220" i="1"/>
  <c r="AL221" i="1"/>
  <c r="AO211" i="1"/>
  <c r="AO212" i="1"/>
  <c r="AO213" i="1"/>
  <c r="AO214" i="1"/>
  <c r="AO215" i="1"/>
  <c r="AO216" i="1"/>
  <c r="AO217" i="1"/>
  <c r="AO218" i="1"/>
  <c r="AO219" i="1"/>
  <c r="AO220" i="1"/>
  <c r="AO221" i="1"/>
  <c r="AQ211" i="1"/>
  <c r="Z211" i="1" s="1"/>
  <c r="AQ212" i="1"/>
  <c r="Z212" i="1" s="1"/>
  <c r="AQ213" i="1"/>
  <c r="Z213" i="1" s="1"/>
  <c r="AQ214" i="1"/>
  <c r="Z214" i="1" s="1"/>
  <c r="AQ215" i="1"/>
  <c r="Z215" i="1" s="1"/>
  <c r="AQ216" i="1"/>
  <c r="Z216" i="1" s="1"/>
  <c r="AQ217" i="1"/>
  <c r="Z217" i="1" s="1"/>
  <c r="AQ218" i="1"/>
  <c r="Z218" i="1" s="1"/>
  <c r="AQ219" i="1"/>
  <c r="Z219" i="1" s="1"/>
  <c r="AQ220" i="1"/>
  <c r="Z220" i="1" s="1"/>
  <c r="AQ221" i="1"/>
  <c r="Z221" i="1" s="1"/>
  <c r="AB200" i="1"/>
  <c r="AB201" i="1"/>
  <c r="AB202" i="1"/>
  <c r="AB203" i="1"/>
  <c r="AB204" i="1"/>
  <c r="AB205" i="1"/>
  <c r="AB206" i="1"/>
  <c r="AB207" i="1"/>
  <c r="AB208" i="1"/>
  <c r="AB209" i="1"/>
  <c r="AB210" i="1"/>
  <c r="AC200" i="1"/>
  <c r="AC201" i="1"/>
  <c r="AC202" i="1"/>
  <c r="AC203" i="1"/>
  <c r="AC204" i="1"/>
  <c r="AC205" i="1"/>
  <c r="AC206" i="1"/>
  <c r="AC207" i="1"/>
  <c r="AC208" i="1"/>
  <c r="AC209" i="1"/>
  <c r="AC210" i="1"/>
  <c r="AD200" i="1"/>
  <c r="AD201" i="1"/>
  <c r="AD202" i="1"/>
  <c r="AD203" i="1"/>
  <c r="AD204" i="1"/>
  <c r="AD205" i="1"/>
  <c r="AD206" i="1"/>
  <c r="AD207" i="1"/>
  <c r="AD208" i="1"/>
  <c r="AD209" i="1"/>
  <c r="AD210" i="1"/>
  <c r="AF200" i="1"/>
  <c r="AF201" i="1"/>
  <c r="AF202" i="1"/>
  <c r="AF203" i="1"/>
  <c r="AF204" i="1"/>
  <c r="AF205" i="1"/>
  <c r="AF206" i="1"/>
  <c r="AF207" i="1"/>
  <c r="AF208" i="1"/>
  <c r="AF209" i="1"/>
  <c r="AF210" i="1"/>
  <c r="AG200" i="1"/>
  <c r="AG201" i="1"/>
  <c r="AG202" i="1"/>
  <c r="AG203" i="1"/>
  <c r="AG204" i="1"/>
  <c r="AG205" i="1"/>
  <c r="AG206" i="1"/>
  <c r="AG207" i="1"/>
  <c r="AG208" i="1"/>
  <c r="AG209" i="1"/>
  <c r="AG210" i="1"/>
  <c r="AI200" i="1"/>
  <c r="AI201" i="1"/>
  <c r="AI202" i="1"/>
  <c r="AI203" i="1"/>
  <c r="AI204" i="1"/>
  <c r="AI205" i="1"/>
  <c r="AI206" i="1"/>
  <c r="AI207" i="1"/>
  <c r="AI208" i="1"/>
  <c r="AI209" i="1"/>
  <c r="AI210" i="1"/>
  <c r="AJ200" i="1"/>
  <c r="AJ201" i="1"/>
  <c r="AJ202" i="1"/>
  <c r="AJ203" i="1"/>
  <c r="AJ204" i="1"/>
  <c r="AJ205" i="1"/>
  <c r="AJ206" i="1"/>
  <c r="AJ207" i="1"/>
  <c r="AJ208" i="1"/>
  <c r="AJ209" i="1"/>
  <c r="AJ210" i="1"/>
  <c r="AK200" i="1"/>
  <c r="AK201" i="1"/>
  <c r="AK202" i="1"/>
  <c r="AK203" i="1"/>
  <c r="AK204" i="1"/>
  <c r="AK205" i="1"/>
  <c r="AK206" i="1"/>
  <c r="AK207" i="1"/>
  <c r="AK208" i="1"/>
  <c r="AK209" i="1"/>
  <c r="AK210" i="1"/>
  <c r="AL200" i="1"/>
  <c r="AL201" i="1"/>
  <c r="AL202" i="1"/>
  <c r="AL203" i="1"/>
  <c r="AL204" i="1"/>
  <c r="AL205" i="1"/>
  <c r="AL206" i="1"/>
  <c r="AL207" i="1"/>
  <c r="AL208" i="1"/>
  <c r="AL209" i="1"/>
  <c r="AL210" i="1"/>
  <c r="AO200" i="1"/>
  <c r="AO201" i="1"/>
  <c r="AO202" i="1"/>
  <c r="AO203" i="1"/>
  <c r="AO204" i="1"/>
  <c r="AO205" i="1"/>
  <c r="AO206" i="1"/>
  <c r="AO207" i="1"/>
  <c r="AO208" i="1"/>
  <c r="AO209" i="1"/>
  <c r="AO210" i="1"/>
  <c r="AQ200" i="1"/>
  <c r="Z200" i="1" s="1"/>
  <c r="AQ201" i="1"/>
  <c r="Z201" i="1" s="1"/>
  <c r="AQ202" i="1"/>
  <c r="Z202" i="1" s="1"/>
  <c r="AQ203" i="1"/>
  <c r="Z203" i="1" s="1"/>
  <c r="AQ204" i="1"/>
  <c r="Z204" i="1" s="1"/>
  <c r="AQ205" i="1"/>
  <c r="Z205" i="1" s="1"/>
  <c r="AQ206" i="1"/>
  <c r="Z206" i="1" s="1"/>
  <c r="AQ207" i="1"/>
  <c r="Z207" i="1" s="1"/>
  <c r="AQ208" i="1"/>
  <c r="Z208" i="1" s="1"/>
  <c r="AQ209" i="1"/>
  <c r="Z209" i="1" s="1"/>
  <c r="AQ210" i="1"/>
  <c r="Z210" i="1" s="1"/>
  <c r="AB192" i="1"/>
  <c r="AB193" i="1"/>
  <c r="AB194" i="1"/>
  <c r="AB195" i="1"/>
  <c r="AB196" i="1"/>
  <c r="AB197" i="1"/>
  <c r="AB198" i="1"/>
  <c r="AB199" i="1"/>
  <c r="AC192" i="1"/>
  <c r="AC193" i="1"/>
  <c r="AC194" i="1"/>
  <c r="AC195" i="1"/>
  <c r="AC196" i="1"/>
  <c r="AC197" i="1"/>
  <c r="AC198" i="1"/>
  <c r="AC199" i="1"/>
  <c r="AD192" i="1"/>
  <c r="AD193" i="1"/>
  <c r="AD194" i="1"/>
  <c r="AD195" i="1"/>
  <c r="AD196" i="1"/>
  <c r="AD197" i="1"/>
  <c r="AD198" i="1"/>
  <c r="AD199" i="1"/>
  <c r="AF192" i="1"/>
  <c r="AF193" i="1"/>
  <c r="AF194" i="1"/>
  <c r="AF195" i="1"/>
  <c r="AF196" i="1"/>
  <c r="AF197" i="1"/>
  <c r="AF198" i="1"/>
  <c r="AF199" i="1"/>
  <c r="AG192" i="1"/>
  <c r="AG193" i="1"/>
  <c r="AG194" i="1"/>
  <c r="AG195" i="1"/>
  <c r="AG196" i="1"/>
  <c r="AG197" i="1"/>
  <c r="AG198" i="1"/>
  <c r="AG199" i="1"/>
  <c r="AI192" i="1"/>
  <c r="AI193" i="1"/>
  <c r="AI194" i="1"/>
  <c r="AI195" i="1"/>
  <c r="AI196" i="1"/>
  <c r="AI197" i="1"/>
  <c r="AI198" i="1"/>
  <c r="AI199" i="1"/>
  <c r="AJ192" i="1"/>
  <c r="AJ193" i="1"/>
  <c r="AJ194" i="1"/>
  <c r="AJ195" i="1"/>
  <c r="AJ196" i="1"/>
  <c r="AJ197" i="1"/>
  <c r="AJ198" i="1"/>
  <c r="AJ199" i="1"/>
  <c r="AK192" i="1"/>
  <c r="AK193" i="1"/>
  <c r="AK194" i="1"/>
  <c r="AK195" i="1"/>
  <c r="AK196" i="1"/>
  <c r="AK197" i="1"/>
  <c r="AK198" i="1"/>
  <c r="AK199" i="1"/>
  <c r="AL192" i="1"/>
  <c r="AL193" i="1"/>
  <c r="AL194" i="1"/>
  <c r="AL195" i="1"/>
  <c r="AL196" i="1"/>
  <c r="AL197" i="1"/>
  <c r="AL198" i="1"/>
  <c r="AL199" i="1"/>
  <c r="AO192" i="1"/>
  <c r="AO193" i="1"/>
  <c r="AO194" i="1"/>
  <c r="AO195" i="1"/>
  <c r="AO196" i="1"/>
  <c r="AO197" i="1"/>
  <c r="AO198" i="1"/>
  <c r="AO199" i="1"/>
  <c r="AQ192" i="1"/>
  <c r="Z192" i="1" s="1"/>
  <c r="AQ193" i="1"/>
  <c r="Z193" i="1" s="1"/>
  <c r="AQ194" i="1"/>
  <c r="Z194" i="1" s="1"/>
  <c r="AQ195" i="1"/>
  <c r="Z195" i="1" s="1"/>
  <c r="AQ196" i="1"/>
  <c r="Z196" i="1" s="1"/>
  <c r="AQ197" i="1"/>
  <c r="Z197" i="1" s="1"/>
  <c r="AQ198" i="1"/>
  <c r="Z198" i="1" s="1"/>
  <c r="AQ199" i="1"/>
  <c r="Z199" i="1" s="1"/>
  <c r="AB186" i="1"/>
  <c r="AB187" i="1"/>
  <c r="AB188" i="1"/>
  <c r="AB189" i="1"/>
  <c r="AB190" i="1"/>
  <c r="AB191" i="1"/>
  <c r="AC186" i="1"/>
  <c r="AC187" i="1"/>
  <c r="AC188" i="1"/>
  <c r="AC189" i="1"/>
  <c r="AC190" i="1"/>
  <c r="AC191" i="1"/>
  <c r="AD186" i="1"/>
  <c r="AD187" i="1"/>
  <c r="AD188" i="1"/>
  <c r="AD189" i="1"/>
  <c r="AD190" i="1"/>
  <c r="AD191" i="1"/>
  <c r="AF186" i="1"/>
  <c r="AF187" i="1"/>
  <c r="AF188" i="1"/>
  <c r="AF189" i="1"/>
  <c r="AF190" i="1"/>
  <c r="AF191" i="1"/>
  <c r="AG186" i="1"/>
  <c r="AG187" i="1"/>
  <c r="AG188" i="1"/>
  <c r="AG189" i="1"/>
  <c r="AG190" i="1"/>
  <c r="AG191" i="1"/>
  <c r="AI186" i="1"/>
  <c r="AI187" i="1"/>
  <c r="AI188" i="1"/>
  <c r="AI189" i="1"/>
  <c r="AI190" i="1"/>
  <c r="AI191" i="1"/>
  <c r="AJ186" i="1"/>
  <c r="AJ187" i="1"/>
  <c r="AJ188" i="1"/>
  <c r="AJ189" i="1"/>
  <c r="AJ190" i="1"/>
  <c r="AJ191" i="1"/>
  <c r="AK186" i="1"/>
  <c r="AK187" i="1"/>
  <c r="AK188" i="1"/>
  <c r="AK189" i="1"/>
  <c r="AK190" i="1"/>
  <c r="AK191" i="1"/>
  <c r="AL186" i="1"/>
  <c r="AL187" i="1"/>
  <c r="AL188" i="1"/>
  <c r="AL189" i="1"/>
  <c r="AL190" i="1"/>
  <c r="AL191" i="1"/>
  <c r="AO186" i="1"/>
  <c r="AO187" i="1"/>
  <c r="AO188" i="1"/>
  <c r="AO189" i="1"/>
  <c r="AO190" i="1"/>
  <c r="AO191" i="1"/>
  <c r="AQ186" i="1"/>
  <c r="Z186" i="1" s="1"/>
  <c r="AQ187" i="1"/>
  <c r="Z187" i="1" s="1"/>
  <c r="AQ188" i="1"/>
  <c r="Z188" i="1" s="1"/>
  <c r="AQ189" i="1"/>
  <c r="Z189" i="1" s="1"/>
  <c r="AQ190" i="1"/>
  <c r="Z190" i="1" s="1"/>
  <c r="AQ191" i="1"/>
  <c r="Z191" i="1" s="1"/>
  <c r="AB181" i="1"/>
  <c r="AB182" i="1"/>
  <c r="AB183" i="1"/>
  <c r="AB184" i="1"/>
  <c r="AB185" i="1"/>
  <c r="AC181" i="1"/>
  <c r="AC182" i="1"/>
  <c r="AC183" i="1"/>
  <c r="AC184" i="1"/>
  <c r="AC185" i="1"/>
  <c r="AD181" i="1"/>
  <c r="AD182" i="1"/>
  <c r="AD183" i="1"/>
  <c r="AD184" i="1"/>
  <c r="AD185" i="1"/>
  <c r="AF181" i="1"/>
  <c r="AF182" i="1"/>
  <c r="AF183" i="1"/>
  <c r="AF184" i="1"/>
  <c r="AF185" i="1"/>
  <c r="AG181" i="1"/>
  <c r="AG182" i="1"/>
  <c r="AG183" i="1"/>
  <c r="AG184" i="1"/>
  <c r="AG185" i="1"/>
  <c r="AI181" i="1"/>
  <c r="AI182" i="1"/>
  <c r="AI183" i="1"/>
  <c r="AI184" i="1"/>
  <c r="AI185" i="1"/>
  <c r="AJ181" i="1"/>
  <c r="AJ182" i="1"/>
  <c r="AJ183" i="1"/>
  <c r="AJ184" i="1"/>
  <c r="AJ185" i="1"/>
  <c r="AK181" i="1"/>
  <c r="AK182" i="1"/>
  <c r="AK183" i="1"/>
  <c r="AK184" i="1"/>
  <c r="AK185" i="1"/>
  <c r="AL181" i="1"/>
  <c r="AL182" i="1"/>
  <c r="AL183" i="1"/>
  <c r="AL184" i="1"/>
  <c r="AL185" i="1"/>
  <c r="AO181" i="1"/>
  <c r="AO182" i="1"/>
  <c r="AO183" i="1"/>
  <c r="AO184" i="1"/>
  <c r="AO185" i="1"/>
  <c r="AQ181" i="1"/>
  <c r="Z181" i="1" s="1"/>
  <c r="AQ182" i="1"/>
  <c r="Z182" i="1" s="1"/>
  <c r="AQ183" i="1"/>
  <c r="Z183" i="1" s="1"/>
  <c r="AQ184" i="1"/>
  <c r="Z184" i="1" s="1"/>
  <c r="AQ185" i="1"/>
  <c r="Z185" i="1" s="1"/>
  <c r="AB172" i="1"/>
  <c r="AB173" i="1"/>
  <c r="AB174" i="1"/>
  <c r="AB175" i="1"/>
  <c r="AB176" i="1"/>
  <c r="AB177" i="1"/>
  <c r="AB178" i="1"/>
  <c r="AB179" i="1"/>
  <c r="AB180" i="1"/>
  <c r="AC172" i="1"/>
  <c r="AC173" i="1"/>
  <c r="AC174" i="1"/>
  <c r="AC175" i="1"/>
  <c r="AC176" i="1"/>
  <c r="AC177" i="1"/>
  <c r="AC178" i="1"/>
  <c r="AC179" i="1"/>
  <c r="AC180" i="1"/>
  <c r="AD172" i="1"/>
  <c r="AD173" i="1"/>
  <c r="AD174" i="1"/>
  <c r="AD175" i="1"/>
  <c r="AD176" i="1"/>
  <c r="AD177" i="1"/>
  <c r="AD178" i="1"/>
  <c r="AD179" i="1"/>
  <c r="AD180" i="1"/>
  <c r="AF172" i="1"/>
  <c r="AF173" i="1"/>
  <c r="AF174" i="1"/>
  <c r="AF175" i="1"/>
  <c r="AF176" i="1"/>
  <c r="AF177" i="1"/>
  <c r="AF178" i="1"/>
  <c r="AF179" i="1"/>
  <c r="AF180" i="1"/>
  <c r="AG172" i="1"/>
  <c r="AG173" i="1"/>
  <c r="AG174" i="1"/>
  <c r="AG175" i="1"/>
  <c r="AG176" i="1"/>
  <c r="AG177" i="1"/>
  <c r="AG178" i="1"/>
  <c r="AG179" i="1"/>
  <c r="AG180" i="1"/>
  <c r="AI172" i="1"/>
  <c r="AI173" i="1"/>
  <c r="AI174" i="1"/>
  <c r="AI175" i="1"/>
  <c r="AI176" i="1"/>
  <c r="AI177" i="1"/>
  <c r="AI178" i="1"/>
  <c r="AI179" i="1"/>
  <c r="AI180" i="1"/>
  <c r="AJ172" i="1"/>
  <c r="AJ173" i="1"/>
  <c r="AJ174" i="1"/>
  <c r="AJ175" i="1"/>
  <c r="AJ176" i="1"/>
  <c r="AJ177" i="1"/>
  <c r="AJ178" i="1"/>
  <c r="AJ179" i="1"/>
  <c r="AJ180" i="1"/>
  <c r="AK172" i="1"/>
  <c r="AK173" i="1"/>
  <c r="AK174" i="1"/>
  <c r="AK175" i="1"/>
  <c r="AK176" i="1"/>
  <c r="AK177" i="1"/>
  <c r="AK178" i="1"/>
  <c r="AK179" i="1"/>
  <c r="AK180" i="1"/>
  <c r="AL172" i="1"/>
  <c r="AL173" i="1"/>
  <c r="AL174" i="1"/>
  <c r="AL175" i="1"/>
  <c r="AL176" i="1"/>
  <c r="AL177" i="1"/>
  <c r="AL178" i="1"/>
  <c r="AL179" i="1"/>
  <c r="AL180" i="1"/>
  <c r="AO172" i="1"/>
  <c r="AO173" i="1"/>
  <c r="AO174" i="1"/>
  <c r="AO175" i="1"/>
  <c r="AO176" i="1"/>
  <c r="AO177" i="1"/>
  <c r="AO178" i="1"/>
  <c r="AO179" i="1"/>
  <c r="AO180" i="1"/>
  <c r="AQ172" i="1"/>
  <c r="Z172" i="1" s="1"/>
  <c r="AQ173" i="1"/>
  <c r="Z173" i="1" s="1"/>
  <c r="AQ174" i="1"/>
  <c r="Z174" i="1" s="1"/>
  <c r="AQ175" i="1"/>
  <c r="Z175" i="1" s="1"/>
  <c r="AQ176" i="1"/>
  <c r="Z176" i="1" s="1"/>
  <c r="AQ177" i="1"/>
  <c r="Z177" i="1" s="1"/>
  <c r="AQ178" i="1"/>
  <c r="Z178" i="1" s="1"/>
  <c r="AQ179" i="1"/>
  <c r="Z179" i="1" s="1"/>
  <c r="AQ180" i="1"/>
  <c r="AR180" i="1" s="1"/>
  <c r="AR120" i="1" l="1"/>
  <c r="AD26" i="6"/>
  <c r="AC26" i="6"/>
  <c r="AB26" i="6"/>
  <c r="AA26" i="6"/>
  <c r="AF27" i="4"/>
  <c r="B26" i="6"/>
  <c r="E26" i="6"/>
  <c r="C26" i="6"/>
  <c r="N26" i="6"/>
  <c r="Q26" i="6"/>
  <c r="P26" i="6"/>
  <c r="O26" i="6"/>
  <c r="AR209" i="1"/>
  <c r="AR241" i="1"/>
  <c r="AR210" i="1"/>
  <c r="AR262" i="1"/>
  <c r="AR242" i="1"/>
  <c r="AR261" i="1"/>
  <c r="AQ63" i="4"/>
  <c r="AQ102" i="4"/>
  <c r="AK63" i="4"/>
  <c r="Y173" i="4"/>
  <c r="Y84" i="4"/>
  <c r="AK46" i="4"/>
  <c r="Y27" i="4"/>
  <c r="AQ50" i="4"/>
  <c r="Y15" i="4"/>
  <c r="Y28" i="4"/>
  <c r="Y143" i="4"/>
  <c r="Y142" i="4"/>
  <c r="Y140" i="4"/>
  <c r="AK24" i="4"/>
  <c r="AK6" i="4"/>
  <c r="AK82" i="4"/>
  <c r="AK21" i="4"/>
  <c r="Y89" i="4"/>
  <c r="Y95" i="4"/>
  <c r="Y69" i="4"/>
  <c r="AK32" i="4"/>
  <c r="AQ128" i="4"/>
  <c r="Y98" i="4"/>
  <c r="Y159" i="4"/>
  <c r="AQ94" i="4"/>
  <c r="AK69" i="4"/>
  <c r="Y10" i="4"/>
  <c r="Y35" i="4"/>
  <c r="AK19" i="4"/>
  <c r="AK14" i="4"/>
  <c r="Y78" i="4"/>
  <c r="Y43" i="4"/>
  <c r="Y114" i="4"/>
  <c r="Y110" i="4"/>
  <c r="Y64" i="4"/>
  <c r="AK15" i="4"/>
  <c r="AQ34" i="4"/>
  <c r="AQ119" i="4"/>
  <c r="AK22" i="4"/>
  <c r="AK78" i="4"/>
  <c r="AQ101" i="4"/>
  <c r="AK56" i="4"/>
  <c r="AQ45" i="4"/>
  <c r="Y8" i="4"/>
  <c r="Y157" i="4"/>
  <c r="AK9" i="4"/>
  <c r="AQ62" i="4"/>
  <c r="AQ91" i="4"/>
  <c r="Y162" i="4"/>
  <c r="Y127" i="4"/>
  <c r="AK27" i="4"/>
  <c r="Y145" i="4"/>
  <c r="AQ26" i="4"/>
  <c r="AQ67" i="4"/>
  <c r="AQ103" i="4"/>
  <c r="AQ33" i="4"/>
  <c r="AQ85" i="4"/>
  <c r="AK60" i="4"/>
  <c r="Y53" i="4"/>
  <c r="AK4" i="4"/>
  <c r="AK72" i="4"/>
  <c r="AK28" i="4"/>
  <c r="AK71" i="4"/>
  <c r="AK45" i="4"/>
  <c r="Y56" i="4"/>
  <c r="Y22" i="4"/>
  <c r="Y19" i="4"/>
  <c r="AK79" i="4"/>
  <c r="Y40" i="4"/>
  <c r="AQ68" i="4"/>
  <c r="AQ60" i="4"/>
  <c r="Y83" i="4"/>
  <c r="AQ122" i="4"/>
  <c r="Y171" i="4"/>
  <c r="Y5" i="4"/>
  <c r="Y18" i="4"/>
  <c r="Y156" i="4"/>
  <c r="Y129" i="4"/>
  <c r="Y154" i="4"/>
  <c r="AK10" i="4"/>
  <c r="AQ29" i="4"/>
  <c r="AQ118" i="4"/>
  <c r="Y135" i="4"/>
  <c r="Y153" i="4"/>
  <c r="Y42" i="4"/>
  <c r="Y87" i="4"/>
  <c r="Y151" i="4"/>
  <c r="AQ108" i="4"/>
  <c r="Y81" i="4"/>
  <c r="AQ86" i="4"/>
  <c r="Y133" i="4"/>
  <c r="AQ148" i="4"/>
  <c r="AK59" i="4"/>
  <c r="AQ49" i="4"/>
  <c r="AQ82" i="4"/>
  <c r="AK17" i="4"/>
  <c r="AK65" i="4"/>
  <c r="Y44" i="4"/>
  <c r="Y75" i="4"/>
  <c r="AK23" i="4"/>
  <c r="AQ97" i="4"/>
  <c r="AQ71" i="4"/>
  <c r="AQ93" i="4"/>
  <c r="AQ21" i="4"/>
  <c r="AQ58" i="4"/>
  <c r="AQ104" i="4"/>
  <c r="AQ117" i="4"/>
  <c r="AQ13" i="4"/>
  <c r="AQ48" i="4"/>
  <c r="AQ149" i="4"/>
  <c r="AQ137" i="4"/>
  <c r="AQ115" i="4"/>
  <c r="AQ88" i="4"/>
  <c r="AQ23" i="4"/>
  <c r="AK18" i="4"/>
  <c r="AQ66" i="4"/>
  <c r="Y125" i="4"/>
  <c r="Y132" i="4"/>
  <c r="AK16" i="4"/>
  <c r="AK68" i="4"/>
  <c r="AK35" i="4"/>
  <c r="AK76" i="4"/>
  <c r="AQ54" i="4"/>
  <c r="AQ165" i="4"/>
  <c r="AQ170" i="4"/>
  <c r="AQ172" i="4"/>
  <c r="AK73" i="4"/>
  <c r="AQ16" i="4"/>
  <c r="AK26" i="4"/>
  <c r="AQ72" i="4"/>
  <c r="AQ160" i="4"/>
  <c r="AK70" i="4"/>
  <c r="Y161" i="4"/>
  <c r="AK57" i="4"/>
  <c r="AK5" i="4"/>
  <c r="AQ24" i="4"/>
  <c r="AQ55" i="4"/>
  <c r="Y30" i="4"/>
  <c r="AQ123" i="4"/>
  <c r="AQ120" i="4"/>
  <c r="AK29" i="4"/>
  <c r="Y31" i="4"/>
  <c r="Y92" i="4"/>
  <c r="AQ106" i="4"/>
  <c r="AQ113" i="4"/>
  <c r="AQ124" i="4"/>
  <c r="Y150" i="4"/>
  <c r="Y41" i="4"/>
  <c r="AK47" i="4"/>
  <c r="AK80" i="4"/>
  <c r="AK39" i="4"/>
  <c r="AK50" i="4"/>
  <c r="AK61" i="4"/>
  <c r="AK20" i="4"/>
  <c r="AQ38" i="4"/>
  <c r="Y164" i="4"/>
  <c r="AQ39" i="4"/>
  <c r="AQ76" i="4"/>
  <c r="AQ61" i="4"/>
  <c r="AQ109" i="4"/>
  <c r="AQ130" i="4"/>
  <c r="AQ144" i="4"/>
  <c r="AQ158" i="4"/>
  <c r="AQ166" i="4"/>
  <c r="AQ11" i="4"/>
  <c r="AQ7" i="4"/>
  <c r="AQ163" i="4"/>
  <c r="Y73" i="4"/>
  <c r="Y59" i="4"/>
  <c r="Y14" i="4"/>
  <c r="AQ100" i="4"/>
  <c r="Y3" i="4"/>
  <c r="AQ2" i="4"/>
  <c r="AQ146" i="4"/>
  <c r="AQ96" i="4"/>
  <c r="AQ167" i="4"/>
  <c r="AQ32" i="4"/>
  <c r="AQ36" i="4"/>
  <c r="AQ12" i="4"/>
  <c r="AQ52" i="4"/>
  <c r="AQ25" i="4"/>
  <c r="AQ111" i="4"/>
  <c r="AQ107" i="4"/>
  <c r="AQ131" i="4"/>
  <c r="AQ138" i="4"/>
  <c r="AQ147" i="4"/>
  <c r="Y169" i="4"/>
  <c r="AQ121" i="4"/>
  <c r="AQ168" i="4"/>
  <c r="AQ6" i="4"/>
  <c r="AE27" i="4"/>
  <c r="AQ105" i="4"/>
  <c r="AQ77" i="4"/>
  <c r="AQ134" i="4"/>
  <c r="Y139" i="4"/>
  <c r="AQ90" i="4"/>
  <c r="AQ51" i="4"/>
  <c r="AQ155" i="4"/>
  <c r="AQ17" i="4"/>
  <c r="AQ20" i="4"/>
  <c r="AQ70" i="4"/>
  <c r="AQ80" i="4"/>
  <c r="AQ74" i="4"/>
  <c r="AQ112" i="4"/>
  <c r="AQ136" i="4"/>
  <c r="AQ116" i="4"/>
  <c r="Y126" i="4"/>
  <c r="Y141" i="4"/>
  <c r="Y152" i="4"/>
  <c r="Y99" i="4"/>
  <c r="AQ47" i="4"/>
  <c r="AQ57" i="4"/>
  <c r="AQ9" i="4"/>
  <c r="AQ4" i="4"/>
  <c r="AQ65" i="4"/>
  <c r="AQ46" i="4"/>
  <c r="AQ79" i="4"/>
  <c r="Z230" i="1"/>
  <c r="AR260" i="1"/>
  <c r="AR259" i="1"/>
  <c r="AR258" i="1"/>
  <c r="AR254" i="1"/>
  <c r="AR253" i="1"/>
  <c r="AR208" i="1"/>
  <c r="AR252" i="1"/>
  <c r="AR207" i="1"/>
  <c r="AR251" i="1"/>
  <c r="AR250" i="1"/>
  <c r="AR249" i="1"/>
  <c r="AR248" i="1"/>
  <c r="AR247" i="1"/>
  <c r="AR246" i="1"/>
  <c r="AR213" i="1"/>
  <c r="AR212" i="1"/>
  <c r="AR245" i="1"/>
  <c r="Z257" i="1"/>
  <c r="AR244" i="1"/>
  <c r="Z256" i="1"/>
  <c r="AR243" i="1"/>
  <c r="Z255" i="1"/>
  <c r="Z229" i="1"/>
  <c r="Z228" i="1"/>
  <c r="Z227" i="1"/>
  <c r="Z240" i="1"/>
  <c r="Z226" i="1"/>
  <c r="Z239" i="1"/>
  <c r="Z238" i="1"/>
  <c r="Z237" i="1"/>
  <c r="AR221" i="1"/>
  <c r="Z236" i="1"/>
  <c r="AR220" i="1"/>
  <c r="Z235" i="1"/>
  <c r="AR219" i="1"/>
  <c r="AR218" i="1"/>
  <c r="AR217" i="1"/>
  <c r="AR216" i="1"/>
  <c r="AR215" i="1"/>
  <c r="AR214" i="1"/>
  <c r="AR234" i="1"/>
  <c r="AR233" i="1"/>
  <c r="AR232" i="1"/>
  <c r="AR231" i="1"/>
  <c r="AR195" i="1"/>
  <c r="AR203" i="1"/>
  <c r="AR202" i="1"/>
  <c r="AR225" i="1"/>
  <c r="AR224" i="1"/>
  <c r="AR223" i="1"/>
  <c r="AR222" i="1"/>
  <c r="AR184" i="1"/>
  <c r="AR206" i="1"/>
  <c r="AR211" i="1"/>
  <c r="AR205" i="1"/>
  <c r="AR196" i="1"/>
  <c r="AR204" i="1"/>
  <c r="AR201" i="1"/>
  <c r="AR200" i="1"/>
  <c r="AR199" i="1"/>
  <c r="AR198" i="1"/>
  <c r="AR197" i="1"/>
  <c r="AR194" i="1"/>
  <c r="AR193" i="1"/>
  <c r="AR192" i="1"/>
  <c r="AR182" i="1"/>
  <c r="AR191" i="1"/>
  <c r="AR190" i="1"/>
  <c r="AR189" i="1"/>
  <c r="AR188" i="1"/>
  <c r="AR187" i="1"/>
  <c r="AR186" i="1"/>
  <c r="Z180" i="1"/>
  <c r="AR179" i="1"/>
  <c r="AR178" i="1"/>
  <c r="AR183" i="1"/>
  <c r="AR185" i="1"/>
  <c r="AR181" i="1"/>
  <c r="AR175" i="1"/>
  <c r="AR174" i="1"/>
  <c r="AR173" i="1"/>
  <c r="AR172" i="1"/>
  <c r="AR177" i="1"/>
  <c r="AR176" i="1"/>
  <c r="AC57" i="1" l="1"/>
  <c r="AQ171" i="1" l="1"/>
  <c r="AO171" i="1"/>
  <c r="AL171" i="1"/>
  <c r="AK171" i="1"/>
  <c r="AJ171" i="1"/>
  <c r="AI171" i="1"/>
  <c r="AG171" i="1"/>
  <c r="AF171" i="1"/>
  <c r="AD171" i="1"/>
  <c r="AC171" i="1"/>
  <c r="AB171" i="1"/>
  <c r="Z171" i="1"/>
  <c r="AQ170" i="1"/>
  <c r="AO170" i="1"/>
  <c r="AL170" i="1"/>
  <c r="AK170" i="1"/>
  <c r="AJ170" i="1"/>
  <c r="AI170" i="1"/>
  <c r="AG170" i="1"/>
  <c r="AF170" i="1"/>
  <c r="AD170" i="1"/>
  <c r="AC170" i="1"/>
  <c r="AB170" i="1"/>
  <c r="AQ169" i="1"/>
  <c r="AO169" i="1"/>
  <c r="AL169" i="1"/>
  <c r="AK169" i="1"/>
  <c r="AJ169" i="1"/>
  <c r="AI169" i="1"/>
  <c r="AG169" i="1"/>
  <c r="AF169" i="1"/>
  <c r="AD169" i="1"/>
  <c r="AC169" i="1"/>
  <c r="AB169" i="1"/>
  <c r="AQ168" i="1"/>
  <c r="AO168" i="1"/>
  <c r="AL168" i="1"/>
  <c r="AK168" i="1"/>
  <c r="AJ168" i="1"/>
  <c r="AI168" i="1"/>
  <c r="AG168" i="1"/>
  <c r="AF168" i="1"/>
  <c r="AD168" i="1"/>
  <c r="AC168" i="1"/>
  <c r="AB168" i="1"/>
  <c r="AQ167" i="1"/>
  <c r="AO167" i="1"/>
  <c r="AL167" i="1"/>
  <c r="AK167" i="1"/>
  <c r="AJ167" i="1"/>
  <c r="AI167" i="1"/>
  <c r="AG167" i="1"/>
  <c r="AF167" i="1"/>
  <c r="AD167" i="1"/>
  <c r="AC167" i="1"/>
  <c r="AB167" i="1"/>
  <c r="AQ166" i="1"/>
  <c r="AO166" i="1"/>
  <c r="AL166" i="1"/>
  <c r="AK166" i="1"/>
  <c r="AJ166" i="1"/>
  <c r="AI166" i="1"/>
  <c r="AG166" i="1"/>
  <c r="AF166" i="1"/>
  <c r="AD166" i="1"/>
  <c r="AC166" i="1"/>
  <c r="AB166" i="1"/>
  <c r="AQ165" i="1"/>
  <c r="AO165" i="1"/>
  <c r="AL165" i="1"/>
  <c r="AK165" i="1"/>
  <c r="AJ165" i="1"/>
  <c r="AI165" i="1"/>
  <c r="AG165" i="1"/>
  <c r="AF165" i="1"/>
  <c r="AD165" i="1"/>
  <c r="AC165" i="1"/>
  <c r="AB165" i="1"/>
  <c r="AQ164" i="1"/>
  <c r="AO164" i="1"/>
  <c r="AL164" i="1"/>
  <c r="AK164" i="1"/>
  <c r="AJ164" i="1"/>
  <c r="AI164" i="1"/>
  <c r="AG164" i="1"/>
  <c r="AF164" i="1"/>
  <c r="AD164" i="1"/>
  <c r="AC164" i="1"/>
  <c r="AB164" i="1"/>
  <c r="AQ163" i="1"/>
  <c r="AO163" i="1"/>
  <c r="AL163" i="1"/>
  <c r="AK163" i="1"/>
  <c r="AJ163" i="1"/>
  <c r="AI163" i="1"/>
  <c r="AG163" i="1"/>
  <c r="AF163" i="1"/>
  <c r="AD163" i="1"/>
  <c r="AC163" i="1"/>
  <c r="AB163" i="1"/>
  <c r="AQ162" i="1"/>
  <c r="AO162" i="1"/>
  <c r="AL162" i="1"/>
  <c r="AK162" i="1"/>
  <c r="AJ162" i="1"/>
  <c r="AI162" i="1"/>
  <c r="AG162" i="1"/>
  <c r="AF162" i="1"/>
  <c r="AD162" i="1"/>
  <c r="AC162" i="1"/>
  <c r="AB162" i="1"/>
  <c r="AQ161" i="1"/>
  <c r="AO161" i="1"/>
  <c r="AL161" i="1"/>
  <c r="AK161" i="1"/>
  <c r="AJ161" i="1"/>
  <c r="AI161" i="1"/>
  <c r="AG161" i="1"/>
  <c r="AF161" i="1"/>
  <c r="AD161" i="1"/>
  <c r="AC161" i="1"/>
  <c r="AB161" i="1"/>
  <c r="AQ160" i="1"/>
  <c r="AO160" i="1"/>
  <c r="AL160" i="1"/>
  <c r="AK160" i="1"/>
  <c r="AJ160" i="1"/>
  <c r="AI160" i="1"/>
  <c r="AG160" i="1"/>
  <c r="AF160" i="1"/>
  <c r="AD160" i="1"/>
  <c r="AC160" i="1"/>
  <c r="AB160" i="1"/>
  <c r="AQ159" i="1"/>
  <c r="AO159" i="1"/>
  <c r="AL159" i="1"/>
  <c r="AK159" i="1"/>
  <c r="AJ159" i="1"/>
  <c r="AI159" i="1"/>
  <c r="AG159" i="1"/>
  <c r="AF159" i="1"/>
  <c r="AD159" i="1"/>
  <c r="AC159" i="1"/>
  <c r="AB159" i="1"/>
  <c r="AQ158" i="1"/>
  <c r="AO158" i="1"/>
  <c r="AL158" i="1"/>
  <c r="AK158" i="1"/>
  <c r="AJ158" i="1"/>
  <c r="AI158" i="1"/>
  <c r="AG158" i="1"/>
  <c r="AF158" i="1"/>
  <c r="AD158" i="1"/>
  <c r="AC158" i="1"/>
  <c r="AB158" i="1"/>
  <c r="Z158" i="1"/>
  <c r="AQ157" i="1"/>
  <c r="AO157" i="1"/>
  <c r="AL157" i="1"/>
  <c r="AK157" i="1"/>
  <c r="AJ157" i="1"/>
  <c r="AI157" i="1"/>
  <c r="AG157" i="1"/>
  <c r="AF157" i="1"/>
  <c r="AD157" i="1"/>
  <c r="AC157" i="1"/>
  <c r="AB157" i="1"/>
  <c r="AQ156" i="1"/>
  <c r="AO156" i="1"/>
  <c r="AL156" i="1"/>
  <c r="AK156" i="1"/>
  <c r="AJ156" i="1"/>
  <c r="AI156" i="1"/>
  <c r="AG156" i="1"/>
  <c r="AF156" i="1"/>
  <c r="AD156" i="1"/>
  <c r="AC156" i="1"/>
  <c r="AB156" i="1"/>
  <c r="AQ155" i="1"/>
  <c r="AO155" i="1"/>
  <c r="AL155" i="1"/>
  <c r="AK155" i="1"/>
  <c r="AJ155" i="1"/>
  <c r="AI155" i="1"/>
  <c r="AG155" i="1"/>
  <c r="AF155" i="1"/>
  <c r="AD155" i="1"/>
  <c r="AC155" i="1"/>
  <c r="AB155" i="1"/>
  <c r="AQ154" i="1"/>
  <c r="AO154" i="1"/>
  <c r="AL154" i="1"/>
  <c r="AK154" i="1"/>
  <c r="AJ154" i="1"/>
  <c r="AI154" i="1"/>
  <c r="AG154" i="1"/>
  <c r="AF154" i="1"/>
  <c r="AD154" i="1"/>
  <c r="AC154" i="1"/>
  <c r="AB154" i="1"/>
  <c r="AQ153" i="1"/>
  <c r="AO153" i="1"/>
  <c r="AL153" i="1"/>
  <c r="AK153" i="1"/>
  <c r="AJ153" i="1"/>
  <c r="AI153" i="1"/>
  <c r="AG153" i="1"/>
  <c r="AF153" i="1"/>
  <c r="AD153" i="1"/>
  <c r="AC153" i="1"/>
  <c r="AB153" i="1"/>
  <c r="AQ152" i="1"/>
  <c r="AO152" i="1"/>
  <c r="AL152" i="1"/>
  <c r="AK152" i="1"/>
  <c r="AJ152" i="1"/>
  <c r="AI152" i="1"/>
  <c r="AG152" i="1"/>
  <c r="AF152" i="1"/>
  <c r="AD152" i="1"/>
  <c r="AC152" i="1"/>
  <c r="AB152" i="1"/>
  <c r="AQ151" i="1"/>
  <c r="AO151" i="1"/>
  <c r="AL151" i="1"/>
  <c r="AK151" i="1"/>
  <c r="AJ151" i="1"/>
  <c r="AI151" i="1"/>
  <c r="AG151" i="1"/>
  <c r="AF151" i="1"/>
  <c r="AD151" i="1"/>
  <c r="AC151" i="1"/>
  <c r="AB151" i="1"/>
  <c r="AQ150" i="1"/>
  <c r="AO150" i="1"/>
  <c r="AL150" i="1"/>
  <c r="AK150" i="1"/>
  <c r="AJ150" i="1"/>
  <c r="AI150" i="1"/>
  <c r="AG150" i="1"/>
  <c r="AF150" i="1"/>
  <c r="AD150" i="1"/>
  <c r="AC150" i="1"/>
  <c r="AB150" i="1"/>
  <c r="AQ149" i="1"/>
  <c r="AO149" i="1"/>
  <c r="AL149" i="1"/>
  <c r="AK149" i="1"/>
  <c r="AJ149" i="1"/>
  <c r="AI149" i="1"/>
  <c r="AG149" i="1"/>
  <c r="AF149" i="1"/>
  <c r="AD149" i="1"/>
  <c r="AC149" i="1"/>
  <c r="AB149" i="1"/>
  <c r="AQ148" i="1"/>
  <c r="AO148" i="1"/>
  <c r="AL148" i="1"/>
  <c r="AK148" i="1"/>
  <c r="AJ148" i="1"/>
  <c r="AI148" i="1"/>
  <c r="AG148" i="1"/>
  <c r="AF148" i="1"/>
  <c r="AD148" i="1"/>
  <c r="AC148" i="1"/>
  <c r="AB148" i="1"/>
  <c r="AQ147" i="1"/>
  <c r="AO147" i="1"/>
  <c r="AL147" i="1"/>
  <c r="AK147" i="1"/>
  <c r="AJ147" i="1"/>
  <c r="AI147" i="1"/>
  <c r="AG147" i="1"/>
  <c r="AF147" i="1"/>
  <c r="AD147" i="1"/>
  <c r="AC147" i="1"/>
  <c r="AB147" i="1"/>
  <c r="AQ146" i="1"/>
  <c r="AO146" i="1"/>
  <c r="AL146" i="1"/>
  <c r="AK146" i="1"/>
  <c r="AJ146" i="1"/>
  <c r="AI146" i="1"/>
  <c r="AG146" i="1"/>
  <c r="AF146" i="1"/>
  <c r="AD146" i="1"/>
  <c r="AC146" i="1"/>
  <c r="AB146" i="1"/>
  <c r="AQ145" i="1"/>
  <c r="AO145" i="1"/>
  <c r="AL145" i="1"/>
  <c r="AK145" i="1"/>
  <c r="AJ145" i="1"/>
  <c r="AI145" i="1"/>
  <c r="AG145" i="1"/>
  <c r="AF145" i="1"/>
  <c r="AD145" i="1"/>
  <c r="AC145" i="1"/>
  <c r="AB145" i="1"/>
  <c r="AQ144" i="1"/>
  <c r="AO144" i="1"/>
  <c r="AL144" i="1"/>
  <c r="AK144" i="1"/>
  <c r="AJ144" i="1"/>
  <c r="AI144" i="1"/>
  <c r="AG144" i="1"/>
  <c r="AF144" i="1"/>
  <c r="AD144" i="1"/>
  <c r="AC144" i="1"/>
  <c r="AB144" i="1"/>
  <c r="AQ143" i="1"/>
  <c r="AO143" i="1"/>
  <c r="AL143" i="1"/>
  <c r="AK143" i="1"/>
  <c r="AJ143" i="1"/>
  <c r="AI143" i="1"/>
  <c r="AG143" i="1"/>
  <c r="AF143" i="1"/>
  <c r="AD143" i="1"/>
  <c r="AC143" i="1"/>
  <c r="AB143" i="1"/>
  <c r="AQ142" i="1"/>
  <c r="AO142" i="1"/>
  <c r="AL142" i="1"/>
  <c r="AK142" i="1"/>
  <c r="AJ142" i="1"/>
  <c r="AI142" i="1"/>
  <c r="AG142" i="1"/>
  <c r="AF142" i="1"/>
  <c r="AD142" i="1"/>
  <c r="AC142" i="1"/>
  <c r="AB142" i="1"/>
  <c r="AQ141" i="1"/>
  <c r="AO141" i="1"/>
  <c r="AL141" i="1"/>
  <c r="AK141" i="1"/>
  <c r="AJ141" i="1"/>
  <c r="AI141" i="1"/>
  <c r="AG141" i="1"/>
  <c r="AF141" i="1"/>
  <c r="AD141" i="1"/>
  <c r="AC141" i="1"/>
  <c r="AB141" i="1"/>
  <c r="AQ140" i="1"/>
  <c r="AO140" i="1"/>
  <c r="AL140" i="1"/>
  <c r="AK140" i="1"/>
  <c r="AJ140" i="1"/>
  <c r="AI140" i="1"/>
  <c r="AG140" i="1"/>
  <c r="AF140" i="1"/>
  <c r="AD140" i="1"/>
  <c r="AC140" i="1"/>
  <c r="AB140" i="1"/>
  <c r="AQ139" i="1"/>
  <c r="AO139" i="1"/>
  <c r="AL139" i="1"/>
  <c r="AK139" i="1"/>
  <c r="AJ139" i="1"/>
  <c r="AI139" i="1"/>
  <c r="AG139" i="1"/>
  <c r="AF139" i="1"/>
  <c r="AD139" i="1"/>
  <c r="AC139" i="1"/>
  <c r="AB139" i="1"/>
  <c r="AQ138" i="1"/>
  <c r="AO138" i="1"/>
  <c r="AL138" i="1"/>
  <c r="AK138" i="1"/>
  <c r="AJ138" i="1"/>
  <c r="AI138" i="1"/>
  <c r="AG138" i="1"/>
  <c r="AF138" i="1"/>
  <c r="AD138" i="1"/>
  <c r="AC138" i="1"/>
  <c r="AB138" i="1"/>
  <c r="AQ137" i="1"/>
  <c r="AO137" i="1"/>
  <c r="AL137" i="1"/>
  <c r="AK137" i="1"/>
  <c r="AJ137" i="1"/>
  <c r="AI137" i="1"/>
  <c r="AG137" i="1"/>
  <c r="AF137" i="1"/>
  <c r="AD137" i="1"/>
  <c r="AC137" i="1"/>
  <c r="AB137" i="1"/>
  <c r="AQ136" i="1"/>
  <c r="AO136" i="1"/>
  <c r="AL136" i="1"/>
  <c r="AK136" i="1"/>
  <c r="AJ136" i="1"/>
  <c r="AI136" i="1"/>
  <c r="AG136" i="1"/>
  <c r="AF136" i="1"/>
  <c r="AD136" i="1"/>
  <c r="AC136" i="1"/>
  <c r="AB136" i="1"/>
  <c r="AQ135" i="1"/>
  <c r="AO135" i="1"/>
  <c r="AL135" i="1"/>
  <c r="AK135" i="1"/>
  <c r="AJ135" i="1"/>
  <c r="AI135" i="1"/>
  <c r="AG135" i="1"/>
  <c r="AF135" i="1"/>
  <c r="AD135" i="1"/>
  <c r="AC135" i="1"/>
  <c r="AB135" i="1"/>
  <c r="AQ134" i="1"/>
  <c r="AO134" i="1"/>
  <c r="AL134" i="1"/>
  <c r="AK134" i="1"/>
  <c r="AJ134" i="1"/>
  <c r="AI134" i="1"/>
  <c r="AG134" i="1"/>
  <c r="AF134" i="1"/>
  <c r="AD134" i="1"/>
  <c r="AC134" i="1"/>
  <c r="AB134" i="1"/>
  <c r="AQ133" i="1"/>
  <c r="AO133" i="1"/>
  <c r="AL133" i="1"/>
  <c r="AK133" i="1"/>
  <c r="AJ133" i="1"/>
  <c r="AI133" i="1"/>
  <c r="AG133" i="1"/>
  <c r="AF133" i="1"/>
  <c r="AD133" i="1"/>
  <c r="AC133" i="1"/>
  <c r="AB133" i="1"/>
  <c r="AQ132" i="1"/>
  <c r="AO132" i="1"/>
  <c r="AL132" i="1"/>
  <c r="AK132" i="1"/>
  <c r="AJ132" i="1"/>
  <c r="AI132" i="1"/>
  <c r="AG132" i="1"/>
  <c r="AF132" i="1"/>
  <c r="AD132" i="1"/>
  <c r="AC132" i="1"/>
  <c r="AB132" i="1"/>
  <c r="AQ131" i="1"/>
  <c r="AO131" i="1"/>
  <c r="AL131" i="1"/>
  <c r="AK131" i="1"/>
  <c r="AJ131" i="1"/>
  <c r="AI131" i="1"/>
  <c r="AG131" i="1"/>
  <c r="AF131" i="1"/>
  <c r="AD131" i="1"/>
  <c r="AC131" i="1"/>
  <c r="AB131" i="1"/>
  <c r="AQ130" i="1"/>
  <c r="AO130" i="1"/>
  <c r="AL130" i="1"/>
  <c r="AK130" i="1"/>
  <c r="AJ130" i="1"/>
  <c r="AI130" i="1"/>
  <c r="AG130" i="1"/>
  <c r="AF130" i="1"/>
  <c r="AD130" i="1"/>
  <c r="AC130" i="1"/>
  <c r="AB130" i="1"/>
  <c r="AQ129" i="1"/>
  <c r="AO129" i="1"/>
  <c r="AL129" i="1"/>
  <c r="AK129" i="1"/>
  <c r="AJ129" i="1"/>
  <c r="AI129" i="1"/>
  <c r="AG129" i="1"/>
  <c r="AF129" i="1"/>
  <c r="AD129" i="1"/>
  <c r="AC129" i="1"/>
  <c r="AB129" i="1"/>
  <c r="AQ128" i="1"/>
  <c r="AO128" i="1"/>
  <c r="AL128" i="1"/>
  <c r="AK128" i="1"/>
  <c r="AJ128" i="1"/>
  <c r="AI128" i="1"/>
  <c r="AG128" i="1"/>
  <c r="AF128" i="1"/>
  <c r="AD128" i="1"/>
  <c r="AC128" i="1"/>
  <c r="AB128" i="1"/>
  <c r="AQ127" i="1"/>
  <c r="AO127" i="1"/>
  <c r="AL127" i="1"/>
  <c r="AK127" i="1"/>
  <c r="AJ127" i="1"/>
  <c r="AI127" i="1"/>
  <c r="AG127" i="1"/>
  <c r="AF127" i="1"/>
  <c r="AD127" i="1"/>
  <c r="AC127" i="1"/>
  <c r="AB127" i="1"/>
  <c r="AQ126" i="1"/>
  <c r="AO126" i="1"/>
  <c r="AL126" i="1"/>
  <c r="AK126" i="1"/>
  <c r="AJ126" i="1"/>
  <c r="AI126" i="1"/>
  <c r="AG126" i="1"/>
  <c r="AF126" i="1"/>
  <c r="AD126" i="1"/>
  <c r="AC126" i="1"/>
  <c r="AB126" i="1"/>
  <c r="AQ125" i="1"/>
  <c r="AO125" i="1"/>
  <c r="AL125" i="1"/>
  <c r="AK125" i="1"/>
  <c r="AJ125" i="1"/>
  <c r="AI125" i="1"/>
  <c r="AG125" i="1"/>
  <c r="AF125" i="1"/>
  <c r="AD125" i="1"/>
  <c r="AC125" i="1"/>
  <c r="AB125" i="1"/>
  <c r="AQ124" i="1"/>
  <c r="AO124" i="1"/>
  <c r="AL124" i="1"/>
  <c r="AK124" i="1"/>
  <c r="AJ124" i="1"/>
  <c r="AI124" i="1"/>
  <c r="AG124" i="1"/>
  <c r="AF124" i="1"/>
  <c r="AD124" i="1"/>
  <c r="AC124" i="1"/>
  <c r="AB124" i="1"/>
  <c r="AQ123" i="1"/>
  <c r="AO123" i="1"/>
  <c r="AL123" i="1"/>
  <c r="AK123" i="1"/>
  <c r="AJ123" i="1"/>
  <c r="AI123" i="1"/>
  <c r="AG123" i="1"/>
  <c r="AF123" i="1"/>
  <c r="AD123" i="1"/>
  <c r="AC123" i="1"/>
  <c r="AB123" i="1"/>
  <c r="AQ122" i="1"/>
  <c r="AO122" i="1"/>
  <c r="AL122" i="1"/>
  <c r="AK122" i="1"/>
  <c r="AJ122" i="1"/>
  <c r="AI122" i="1"/>
  <c r="AG122" i="1"/>
  <c r="AF122" i="1"/>
  <c r="AD122" i="1"/>
  <c r="AC122" i="1"/>
  <c r="AB122" i="1"/>
  <c r="AQ121" i="1"/>
  <c r="AO121" i="1"/>
  <c r="AL121" i="1"/>
  <c r="AK121" i="1"/>
  <c r="AJ121" i="1"/>
  <c r="AI121" i="1"/>
  <c r="AG121" i="1"/>
  <c r="AF121" i="1"/>
  <c r="AD121" i="1"/>
  <c r="AC121" i="1"/>
  <c r="AB121" i="1"/>
  <c r="AQ119" i="1"/>
  <c r="AO119" i="1"/>
  <c r="AL119" i="1"/>
  <c r="AK119" i="1"/>
  <c r="AJ119" i="1"/>
  <c r="AI119" i="1"/>
  <c r="AG119" i="1"/>
  <c r="AF119" i="1"/>
  <c r="AD119" i="1"/>
  <c r="AC119" i="1"/>
  <c r="AB119" i="1"/>
  <c r="AQ118" i="1"/>
  <c r="AO118" i="1"/>
  <c r="AL118" i="1"/>
  <c r="AK118" i="1"/>
  <c r="AJ118" i="1"/>
  <c r="AI118" i="1"/>
  <c r="AG118" i="1"/>
  <c r="AF118" i="1"/>
  <c r="AD118" i="1"/>
  <c r="AC118" i="1"/>
  <c r="AB118" i="1"/>
  <c r="AQ117" i="1"/>
  <c r="AO117" i="1"/>
  <c r="AL117" i="1"/>
  <c r="AK117" i="1"/>
  <c r="AJ117" i="1"/>
  <c r="AI117" i="1"/>
  <c r="AG117" i="1"/>
  <c r="AF117" i="1"/>
  <c r="AD117" i="1"/>
  <c r="AC117" i="1"/>
  <c r="AB117" i="1"/>
  <c r="AQ116" i="1"/>
  <c r="AO116" i="1"/>
  <c r="AL116" i="1"/>
  <c r="AK116" i="1"/>
  <c r="AJ116" i="1"/>
  <c r="AI116" i="1"/>
  <c r="AG116" i="1"/>
  <c r="AF116" i="1"/>
  <c r="AD116" i="1"/>
  <c r="AC116" i="1"/>
  <c r="AB116" i="1"/>
  <c r="AQ115" i="1"/>
  <c r="AO115" i="1"/>
  <c r="AL115" i="1"/>
  <c r="AK115" i="1"/>
  <c r="AJ115" i="1"/>
  <c r="AI115" i="1"/>
  <c r="AG115" i="1"/>
  <c r="AF115" i="1"/>
  <c r="AD115" i="1"/>
  <c r="AC115" i="1"/>
  <c r="AB115" i="1"/>
  <c r="AQ114" i="1"/>
  <c r="AO114" i="1"/>
  <c r="AL114" i="1"/>
  <c r="AK114" i="1"/>
  <c r="AJ114" i="1"/>
  <c r="AI114" i="1"/>
  <c r="AG114" i="1"/>
  <c r="AF114" i="1"/>
  <c r="AD114" i="1"/>
  <c r="AC114" i="1"/>
  <c r="AB114" i="1"/>
  <c r="AQ113" i="1"/>
  <c r="AO113" i="1"/>
  <c r="AL113" i="1"/>
  <c r="AK113" i="1"/>
  <c r="AJ113" i="1"/>
  <c r="AI113" i="1"/>
  <c r="AG113" i="1"/>
  <c r="AF113" i="1"/>
  <c r="AD113" i="1"/>
  <c r="AC113" i="1"/>
  <c r="AB113" i="1"/>
  <c r="AQ112" i="1"/>
  <c r="AO112" i="1"/>
  <c r="AL112" i="1"/>
  <c r="AK112" i="1"/>
  <c r="AJ112" i="1"/>
  <c r="AI112" i="1"/>
  <c r="AG112" i="1"/>
  <c r="AF112" i="1"/>
  <c r="AD112" i="1"/>
  <c r="AC112" i="1"/>
  <c r="AB112" i="1"/>
  <c r="AQ111" i="1"/>
  <c r="AO111" i="1"/>
  <c r="AL111" i="1"/>
  <c r="AK111" i="1"/>
  <c r="AJ111" i="1"/>
  <c r="AI111" i="1"/>
  <c r="AG111" i="1"/>
  <c r="AF111" i="1"/>
  <c r="AD111" i="1"/>
  <c r="AC111" i="1"/>
  <c r="AB111" i="1"/>
  <c r="AQ110" i="1"/>
  <c r="AO110" i="1"/>
  <c r="AM110" i="1"/>
  <c r="AL110" i="1" s="1"/>
  <c r="AK110" i="1"/>
  <c r="AJ110" i="1"/>
  <c r="AI110" i="1"/>
  <c r="AG110" i="1"/>
  <c r="AF110" i="1"/>
  <c r="AD110" i="1"/>
  <c r="AC110" i="1"/>
  <c r="AB110" i="1"/>
  <c r="AA110" i="1"/>
  <c r="AQ109" i="1"/>
  <c r="AO109" i="1"/>
  <c r="AM109" i="1"/>
  <c r="AL109" i="1" s="1"/>
  <c r="AK109" i="1"/>
  <c r="AJ109" i="1"/>
  <c r="AI109" i="1"/>
  <c r="AG109" i="1"/>
  <c r="AF109" i="1"/>
  <c r="AD109" i="1"/>
  <c r="AC109" i="1"/>
  <c r="AB109" i="1"/>
  <c r="AA109" i="1"/>
  <c r="AM108" i="1"/>
  <c r="AA108" i="1"/>
  <c r="AM107" i="1"/>
  <c r="AA107" i="1"/>
  <c r="AM106" i="1"/>
  <c r="AA106" i="1"/>
  <c r="AQ105" i="1"/>
  <c r="AO105" i="1"/>
  <c r="AM105" i="1"/>
  <c r="AL105" i="1" s="1"/>
  <c r="AK105" i="1"/>
  <c r="AJ105" i="1"/>
  <c r="AI105" i="1"/>
  <c r="AG105" i="1"/>
  <c r="AF105" i="1"/>
  <c r="AD105" i="1"/>
  <c r="AC105" i="1"/>
  <c r="AB105" i="1"/>
  <c r="AA105" i="1"/>
  <c r="AQ104" i="1"/>
  <c r="AO104" i="1"/>
  <c r="AM104" i="1"/>
  <c r="AL104" i="1" s="1"/>
  <c r="AK104" i="1"/>
  <c r="AJ104" i="1"/>
  <c r="AI104" i="1"/>
  <c r="AG104" i="1"/>
  <c r="AF104" i="1"/>
  <c r="AD104" i="1"/>
  <c r="AC104" i="1"/>
  <c r="AB104" i="1"/>
  <c r="AA104" i="1"/>
  <c r="AQ103" i="1"/>
  <c r="AO103" i="1"/>
  <c r="AM103" i="1"/>
  <c r="AL103" i="1" s="1"/>
  <c r="AK103" i="1"/>
  <c r="AJ103" i="1"/>
  <c r="AI103" i="1"/>
  <c r="AG103" i="1"/>
  <c r="AF103" i="1"/>
  <c r="AD103" i="1"/>
  <c r="AC103" i="1"/>
  <c r="AA103" i="1"/>
  <c r="AB103" i="1" s="1"/>
  <c r="AQ102" i="1"/>
  <c r="AP102" i="1"/>
  <c r="AO102" i="1"/>
  <c r="AN102" i="1"/>
  <c r="AM102" i="1"/>
  <c r="AL102" i="1" s="1"/>
  <c r="AK102" i="1"/>
  <c r="AJ102" i="1"/>
  <c r="AI102" i="1"/>
  <c r="AG102" i="1"/>
  <c r="AF102" i="1"/>
  <c r="AE102" i="1"/>
  <c r="AD102" i="1"/>
  <c r="AC102" i="1"/>
  <c r="AB102" i="1"/>
  <c r="AA102" i="1"/>
  <c r="AQ101" i="1"/>
  <c r="AP101" i="1"/>
  <c r="AO101" i="1"/>
  <c r="AN101" i="1"/>
  <c r="AM101" i="1"/>
  <c r="AL101" i="1" s="1"/>
  <c r="AK101" i="1"/>
  <c r="AJ101" i="1"/>
  <c r="AI101" i="1"/>
  <c r="AG101" i="1"/>
  <c r="AF101" i="1"/>
  <c r="AE101" i="1"/>
  <c r="AD101" i="1"/>
  <c r="AC101" i="1"/>
  <c r="AB101" i="1"/>
  <c r="AA101" i="1"/>
  <c r="AQ100" i="1"/>
  <c r="AP100" i="1"/>
  <c r="AO100" i="1"/>
  <c r="AN100" i="1"/>
  <c r="AM100" i="1"/>
  <c r="AL100" i="1" s="1"/>
  <c r="AK100" i="1"/>
  <c r="AJ100" i="1"/>
  <c r="AI100" i="1"/>
  <c r="AG100" i="1"/>
  <c r="AF100" i="1"/>
  <c r="AE100" i="1"/>
  <c r="AD100" i="1"/>
  <c r="AC100" i="1"/>
  <c r="AB100" i="1"/>
  <c r="AA100" i="1"/>
  <c r="AQ99" i="1"/>
  <c r="AP99" i="1"/>
  <c r="AO99" i="1"/>
  <c r="AN99" i="1"/>
  <c r="AM99" i="1"/>
  <c r="AL99" i="1" s="1"/>
  <c r="AK99" i="1"/>
  <c r="AJ99" i="1"/>
  <c r="AI99" i="1"/>
  <c r="AG99" i="1"/>
  <c r="AF99" i="1"/>
  <c r="AE99" i="1"/>
  <c r="AD99" i="1"/>
  <c r="AC99" i="1"/>
  <c r="AB99" i="1"/>
  <c r="AA99" i="1"/>
  <c r="AQ98" i="1"/>
  <c r="AP98" i="1"/>
  <c r="AO98" i="1"/>
  <c r="AN98" i="1"/>
  <c r="AM98" i="1"/>
  <c r="AL98" i="1" s="1"/>
  <c r="AK98" i="1"/>
  <c r="AJ98" i="1"/>
  <c r="AI98" i="1"/>
  <c r="AG98" i="1"/>
  <c r="AF98" i="1"/>
  <c r="AE98" i="1"/>
  <c r="AD98" i="1"/>
  <c r="AC98" i="1"/>
  <c r="AB98" i="1"/>
  <c r="AA98" i="1"/>
  <c r="AQ97" i="1"/>
  <c r="AP97" i="1"/>
  <c r="AO97" i="1"/>
  <c r="AN97" i="1"/>
  <c r="AM97" i="1"/>
  <c r="AL97" i="1" s="1"/>
  <c r="AK97" i="1"/>
  <c r="AJ97" i="1"/>
  <c r="AI97" i="1"/>
  <c r="AG97" i="1"/>
  <c r="AF97" i="1"/>
  <c r="AE97" i="1"/>
  <c r="AD97" i="1"/>
  <c r="AC97" i="1"/>
  <c r="AB97" i="1"/>
  <c r="AA97" i="1"/>
  <c r="AQ96" i="1"/>
  <c r="AP96" i="1"/>
  <c r="AO96" i="1"/>
  <c r="AN96" i="1"/>
  <c r="AM96" i="1"/>
  <c r="AL96" i="1" s="1"/>
  <c r="AK96" i="1"/>
  <c r="AJ96" i="1"/>
  <c r="AI96" i="1"/>
  <c r="AG96" i="1"/>
  <c r="AF96" i="1"/>
  <c r="AE96" i="1"/>
  <c r="AD96" i="1"/>
  <c r="AC96" i="1"/>
  <c r="AB96" i="1"/>
  <c r="AA96" i="1"/>
  <c r="AQ95" i="1"/>
  <c r="AP95" i="1"/>
  <c r="AO95" i="1"/>
  <c r="AN95" i="1"/>
  <c r="AM95" i="1"/>
  <c r="AL95" i="1" s="1"/>
  <c r="AK95" i="1"/>
  <c r="AJ95" i="1"/>
  <c r="AI95" i="1"/>
  <c r="AG95" i="1"/>
  <c r="AF95" i="1"/>
  <c r="AE95" i="1"/>
  <c r="AD95" i="1"/>
  <c r="AC95" i="1"/>
  <c r="AB95" i="1"/>
  <c r="AA95" i="1"/>
  <c r="AQ94" i="1"/>
  <c r="AP94" i="1"/>
  <c r="AO94" i="1"/>
  <c r="AN94" i="1"/>
  <c r="AM94" i="1"/>
  <c r="AL94" i="1" s="1"/>
  <c r="AK94" i="1"/>
  <c r="AJ94" i="1"/>
  <c r="AI94" i="1"/>
  <c r="AG94" i="1"/>
  <c r="AF94" i="1"/>
  <c r="AE94" i="1"/>
  <c r="AD94" i="1"/>
  <c r="AC94" i="1"/>
  <c r="AB94" i="1"/>
  <c r="AA94" i="1"/>
  <c r="AQ93" i="1"/>
  <c r="AP93" i="1"/>
  <c r="AO93" i="1"/>
  <c r="AN93" i="1"/>
  <c r="AM93" i="1"/>
  <c r="AL93" i="1" s="1"/>
  <c r="AK93" i="1"/>
  <c r="AJ93" i="1"/>
  <c r="AI93" i="1"/>
  <c r="AG93" i="1"/>
  <c r="AF93" i="1"/>
  <c r="AE93" i="1"/>
  <c r="AD93" i="1"/>
  <c r="AC93" i="1"/>
  <c r="AB93" i="1"/>
  <c r="AA93" i="1"/>
  <c r="AQ92" i="1"/>
  <c r="AP92" i="1"/>
  <c r="AO92" i="1"/>
  <c r="AN92" i="1"/>
  <c r="AM92" i="1"/>
  <c r="AL92" i="1" s="1"/>
  <c r="AK92" i="1"/>
  <c r="AJ92" i="1"/>
  <c r="AI92" i="1"/>
  <c r="AG92" i="1"/>
  <c r="AF92" i="1"/>
  <c r="AE92" i="1"/>
  <c r="AD92" i="1"/>
  <c r="AC92" i="1"/>
  <c r="AB92" i="1"/>
  <c r="AA92" i="1"/>
  <c r="AQ91" i="1"/>
  <c r="AP91" i="1"/>
  <c r="AO91" i="1"/>
  <c r="AN91" i="1"/>
  <c r="AM91" i="1"/>
  <c r="AL91" i="1" s="1"/>
  <c r="AK91" i="1"/>
  <c r="AJ91" i="1"/>
  <c r="AI91" i="1"/>
  <c r="AG91" i="1"/>
  <c r="AF91" i="1"/>
  <c r="AE91" i="1"/>
  <c r="AD91" i="1"/>
  <c r="AC91" i="1"/>
  <c r="AB91" i="1"/>
  <c r="AA91" i="1"/>
  <c r="AQ90" i="1"/>
  <c r="AP90" i="1"/>
  <c r="AO90" i="1"/>
  <c r="AN90" i="1"/>
  <c r="AM90" i="1"/>
  <c r="AL90" i="1" s="1"/>
  <c r="AK90" i="1"/>
  <c r="AJ90" i="1"/>
  <c r="AI90" i="1"/>
  <c r="AG90" i="1"/>
  <c r="AF90" i="1"/>
  <c r="AE90" i="1"/>
  <c r="AD90" i="1"/>
  <c r="AC90" i="1"/>
  <c r="AB90" i="1"/>
  <c r="AA90" i="1"/>
  <c r="AQ89" i="1"/>
  <c r="AP89" i="1"/>
  <c r="AO89" i="1"/>
  <c r="AN89" i="1"/>
  <c r="AM89" i="1"/>
  <c r="AL89" i="1" s="1"/>
  <c r="AK89" i="1"/>
  <c r="AJ89" i="1"/>
  <c r="AI89" i="1"/>
  <c r="AG89" i="1"/>
  <c r="AF89" i="1"/>
  <c r="AE89" i="1"/>
  <c r="AD89" i="1"/>
  <c r="AC89" i="1"/>
  <c r="AB89" i="1"/>
  <c r="AA89" i="1"/>
  <c r="AQ88" i="1"/>
  <c r="AP88" i="1"/>
  <c r="AO88" i="1"/>
  <c r="AN88" i="1"/>
  <c r="AM88" i="1"/>
  <c r="AL88" i="1" s="1"/>
  <c r="AK88" i="1"/>
  <c r="AJ88" i="1"/>
  <c r="AI88" i="1"/>
  <c r="AG88" i="1"/>
  <c r="AF88" i="1"/>
  <c r="AE88" i="1"/>
  <c r="AD88" i="1"/>
  <c r="AC88" i="1"/>
  <c r="AB88" i="1"/>
  <c r="AA88" i="1"/>
  <c r="AQ87" i="1"/>
  <c r="AP87" i="1"/>
  <c r="AO87" i="1"/>
  <c r="AN87" i="1"/>
  <c r="AM87" i="1"/>
  <c r="AL87" i="1" s="1"/>
  <c r="AK87" i="1"/>
  <c r="AJ87" i="1"/>
  <c r="AI87" i="1"/>
  <c r="AG87" i="1"/>
  <c r="AF87" i="1"/>
  <c r="AE87" i="1"/>
  <c r="AD87" i="1"/>
  <c r="AC87" i="1"/>
  <c r="AB87" i="1"/>
  <c r="AA87" i="1"/>
  <c r="AQ86" i="1"/>
  <c r="AP86" i="1"/>
  <c r="AO86" i="1"/>
  <c r="AN86" i="1"/>
  <c r="AM86" i="1"/>
  <c r="AL86" i="1" s="1"/>
  <c r="AK86" i="1"/>
  <c r="AJ86" i="1"/>
  <c r="AI86" i="1"/>
  <c r="AG86" i="1"/>
  <c r="AF86" i="1"/>
  <c r="AE86" i="1"/>
  <c r="AD86" i="1"/>
  <c r="AC86" i="1"/>
  <c r="AB86" i="1"/>
  <c r="AA86" i="1"/>
  <c r="AQ85" i="1"/>
  <c r="AP85" i="1"/>
  <c r="AO85" i="1"/>
  <c r="AN85" i="1"/>
  <c r="AM85" i="1"/>
  <c r="AL85" i="1" s="1"/>
  <c r="AK85" i="1"/>
  <c r="AJ85" i="1"/>
  <c r="AI85" i="1"/>
  <c r="AG85" i="1"/>
  <c r="AF85" i="1"/>
  <c r="AE85" i="1"/>
  <c r="AD85" i="1"/>
  <c r="AC85" i="1"/>
  <c r="AB85" i="1"/>
  <c r="AA85" i="1"/>
  <c r="AQ84" i="1"/>
  <c r="AP84" i="1"/>
  <c r="AO84" i="1"/>
  <c r="AN84" i="1"/>
  <c r="AM84" i="1"/>
  <c r="AL84" i="1" s="1"/>
  <c r="AK84" i="1"/>
  <c r="AJ84" i="1"/>
  <c r="AI84" i="1"/>
  <c r="AG84" i="1"/>
  <c r="AF84" i="1"/>
  <c r="AE84" i="1"/>
  <c r="AD84" i="1"/>
  <c r="AC84" i="1"/>
  <c r="AB84" i="1"/>
  <c r="AA84" i="1"/>
  <c r="AQ83" i="1"/>
  <c r="AP83" i="1"/>
  <c r="AO83" i="1"/>
  <c r="AN83" i="1"/>
  <c r="AM83" i="1"/>
  <c r="AL83" i="1" s="1"/>
  <c r="AK83" i="1"/>
  <c r="AJ83" i="1"/>
  <c r="AI83" i="1"/>
  <c r="AG83" i="1"/>
  <c r="AF83" i="1"/>
  <c r="AE83" i="1"/>
  <c r="AD83" i="1"/>
  <c r="AC83" i="1"/>
  <c r="AB83" i="1"/>
  <c r="AA83" i="1"/>
  <c r="AQ82" i="1"/>
  <c r="AP82" i="1"/>
  <c r="AO82" i="1"/>
  <c r="AN82" i="1"/>
  <c r="AM82" i="1"/>
  <c r="AL82" i="1" s="1"/>
  <c r="AK82" i="1"/>
  <c r="AJ82" i="1"/>
  <c r="AI82" i="1"/>
  <c r="AG82" i="1"/>
  <c r="AF82" i="1"/>
  <c r="AE82" i="1"/>
  <c r="AD82" i="1"/>
  <c r="AC82" i="1"/>
  <c r="AB82" i="1"/>
  <c r="AA82" i="1"/>
  <c r="AQ81" i="1"/>
  <c r="AP81" i="1"/>
  <c r="AO81" i="1"/>
  <c r="AN81" i="1"/>
  <c r="AM81" i="1"/>
  <c r="AL81" i="1" s="1"/>
  <c r="AK81" i="1"/>
  <c r="AJ81" i="1"/>
  <c r="AI81" i="1"/>
  <c r="AG81" i="1"/>
  <c r="AF81" i="1"/>
  <c r="AE81" i="1"/>
  <c r="AD81" i="1"/>
  <c r="AC81" i="1"/>
  <c r="AA81" i="1"/>
  <c r="AB81" i="1" s="1"/>
  <c r="AQ80" i="1"/>
  <c r="AP80" i="1"/>
  <c r="AO80" i="1"/>
  <c r="AN80" i="1"/>
  <c r="AM80" i="1"/>
  <c r="AL80" i="1" s="1"/>
  <c r="AK80" i="1"/>
  <c r="AJ80" i="1"/>
  <c r="AI80" i="1"/>
  <c r="AG80" i="1"/>
  <c r="AF80" i="1"/>
  <c r="AE80" i="1"/>
  <c r="AD80" i="1"/>
  <c r="AC80" i="1"/>
  <c r="AB80" i="1"/>
  <c r="AA80" i="1"/>
  <c r="AQ79" i="1"/>
  <c r="AP79" i="1"/>
  <c r="AO79" i="1"/>
  <c r="AN79" i="1"/>
  <c r="AM79" i="1"/>
  <c r="AL79" i="1" s="1"/>
  <c r="AK79" i="1"/>
  <c r="AJ79" i="1"/>
  <c r="AI79" i="1"/>
  <c r="AG79" i="1"/>
  <c r="AF79" i="1"/>
  <c r="AE79" i="1"/>
  <c r="AD79" i="1"/>
  <c r="AC79" i="1"/>
  <c r="AB79" i="1"/>
  <c r="AA79" i="1"/>
  <c r="AQ78" i="1"/>
  <c r="AP78" i="1"/>
  <c r="AO78" i="1"/>
  <c r="AN78" i="1"/>
  <c r="AM78" i="1"/>
  <c r="AL78" i="1" s="1"/>
  <c r="AK78" i="1"/>
  <c r="AJ78" i="1"/>
  <c r="AI78" i="1"/>
  <c r="AG78" i="1"/>
  <c r="AF78" i="1"/>
  <c r="AE78" i="1"/>
  <c r="AD78" i="1"/>
  <c r="AC78" i="1"/>
  <c r="AB78" i="1"/>
  <c r="AA78" i="1"/>
  <c r="AQ77" i="1"/>
  <c r="AP77" i="1"/>
  <c r="AO77" i="1"/>
  <c r="AM77" i="1"/>
  <c r="AL77" i="1" s="1"/>
  <c r="AK77" i="1"/>
  <c r="AJ77" i="1"/>
  <c r="AI77" i="1"/>
  <c r="AG77" i="1"/>
  <c r="AF77" i="1"/>
  <c r="AE77" i="1"/>
  <c r="AD77" i="1"/>
  <c r="AC77" i="1"/>
  <c r="AA77" i="1"/>
  <c r="AB77" i="1" s="1"/>
  <c r="AQ76" i="1"/>
  <c r="AP76" i="1"/>
  <c r="AO76" i="1"/>
  <c r="AN76" i="1"/>
  <c r="AM76" i="1"/>
  <c r="AL76" i="1" s="1"/>
  <c r="AK76" i="1"/>
  <c r="AJ76" i="1"/>
  <c r="AI76" i="1"/>
  <c r="AG76" i="1"/>
  <c r="AF76" i="1"/>
  <c r="AE76" i="1"/>
  <c r="AD76" i="1"/>
  <c r="AC76" i="1"/>
  <c r="AB76" i="1"/>
  <c r="AA76" i="1"/>
  <c r="AQ75" i="1"/>
  <c r="AP75" i="1"/>
  <c r="AO75" i="1"/>
  <c r="AN75" i="1"/>
  <c r="AM75" i="1"/>
  <c r="AL75" i="1" s="1"/>
  <c r="AK75" i="1"/>
  <c r="AJ75" i="1"/>
  <c r="AI75" i="1"/>
  <c r="AG75" i="1"/>
  <c r="AF75" i="1"/>
  <c r="AE75" i="1"/>
  <c r="AD75" i="1"/>
  <c r="AC75" i="1"/>
  <c r="AB75" i="1"/>
  <c r="AA75" i="1"/>
  <c r="AQ74" i="1"/>
  <c r="AP74" i="1"/>
  <c r="AO74" i="1"/>
  <c r="AN74" i="1"/>
  <c r="AM74" i="1"/>
  <c r="AK74" i="1"/>
  <c r="AJ74" i="1"/>
  <c r="AI74" i="1"/>
  <c r="AH74" i="1"/>
  <c r="AG74" i="1"/>
  <c r="AF74" i="1"/>
  <c r="AE74" i="1"/>
  <c r="AD74" i="1"/>
  <c r="AC74" i="1"/>
  <c r="AB74" i="1"/>
  <c r="AA74" i="1"/>
  <c r="AQ73" i="1"/>
  <c r="AP73" i="1"/>
  <c r="AO73" i="1"/>
  <c r="AN73" i="1"/>
  <c r="AM73" i="1"/>
  <c r="AK73" i="1"/>
  <c r="AJ73" i="1"/>
  <c r="AI73" i="1"/>
  <c r="AH73" i="1"/>
  <c r="AG73" i="1"/>
  <c r="AF73" i="1"/>
  <c r="AE73" i="1"/>
  <c r="AD73" i="1"/>
  <c r="AC73" i="1"/>
  <c r="AB73" i="1"/>
  <c r="AA73" i="1"/>
  <c r="AQ72" i="1"/>
  <c r="AP72" i="1"/>
  <c r="AO72" i="1"/>
  <c r="AN72" i="1"/>
  <c r="AM72" i="1"/>
  <c r="AK72" i="1"/>
  <c r="AJ72" i="1"/>
  <c r="AI72" i="1"/>
  <c r="AH72" i="1"/>
  <c r="AG72" i="1"/>
  <c r="AF72" i="1"/>
  <c r="AE72" i="1"/>
  <c r="AD72" i="1"/>
  <c r="AC72" i="1"/>
  <c r="AA72" i="1"/>
  <c r="AB72" i="1" s="1"/>
  <c r="AQ71" i="1"/>
  <c r="AP71" i="1"/>
  <c r="AO71" i="1"/>
  <c r="AN71" i="1"/>
  <c r="AM71" i="1"/>
  <c r="AK71" i="1"/>
  <c r="AJ71" i="1"/>
  <c r="AI71" i="1"/>
  <c r="AH71" i="1"/>
  <c r="AG71" i="1"/>
  <c r="AF71" i="1"/>
  <c r="AE71" i="1"/>
  <c r="AD71" i="1"/>
  <c r="AC71" i="1"/>
  <c r="AB71" i="1"/>
  <c r="AA71" i="1"/>
  <c r="AQ70" i="1"/>
  <c r="AP70" i="1"/>
  <c r="AO70" i="1"/>
  <c r="AN70" i="1"/>
  <c r="AM70" i="1"/>
  <c r="AK70" i="1"/>
  <c r="AJ70" i="1"/>
  <c r="AI70" i="1"/>
  <c r="AH70" i="1"/>
  <c r="AG70" i="1"/>
  <c r="AF70" i="1"/>
  <c r="AE70" i="1"/>
  <c r="AD70" i="1"/>
  <c r="AC70" i="1"/>
  <c r="AB70" i="1"/>
  <c r="AA70" i="1"/>
  <c r="P70" i="1"/>
  <c r="AQ69" i="1"/>
  <c r="AP69" i="1"/>
  <c r="AO69" i="1"/>
  <c r="AN69" i="1"/>
  <c r="AM69" i="1"/>
  <c r="AK69" i="1"/>
  <c r="AJ69" i="1"/>
  <c r="AI69" i="1"/>
  <c r="AH69" i="1"/>
  <c r="AG69" i="1"/>
  <c r="AF69" i="1"/>
  <c r="AE69" i="1"/>
  <c r="AD69" i="1"/>
  <c r="AC69" i="1"/>
  <c r="AB69" i="1"/>
  <c r="AA69" i="1"/>
  <c r="P69" i="1"/>
  <c r="AQ68" i="1"/>
  <c r="AP68" i="1"/>
  <c r="AO68" i="1"/>
  <c r="AN68" i="1"/>
  <c r="AM68" i="1"/>
  <c r="AK68" i="1"/>
  <c r="AJ68" i="1"/>
  <c r="AI68" i="1"/>
  <c r="AH68" i="1"/>
  <c r="AG68" i="1"/>
  <c r="AF68" i="1"/>
  <c r="AE68" i="1"/>
  <c r="AD68" i="1"/>
  <c r="AC68" i="1"/>
  <c r="AA68" i="1"/>
  <c r="AB68" i="1" s="1"/>
  <c r="AQ67" i="1"/>
  <c r="AP67" i="1"/>
  <c r="AO67" i="1"/>
  <c r="AN67" i="1"/>
  <c r="AM67" i="1"/>
  <c r="AK67" i="1"/>
  <c r="AJ67" i="1"/>
  <c r="AI67" i="1"/>
  <c r="AH67" i="1"/>
  <c r="AG67" i="1"/>
  <c r="AF67" i="1"/>
  <c r="AE67" i="1"/>
  <c r="AD67" i="1"/>
  <c r="AC67" i="1"/>
  <c r="AB67" i="1"/>
  <c r="AA67" i="1"/>
  <c r="AQ66" i="1"/>
  <c r="AP66" i="1"/>
  <c r="AO66" i="1"/>
  <c r="AN66" i="1"/>
  <c r="AM66" i="1"/>
  <c r="AK66" i="1"/>
  <c r="AJ66" i="1"/>
  <c r="AI66" i="1"/>
  <c r="AH66" i="1"/>
  <c r="AG66" i="1"/>
  <c r="AF66" i="1"/>
  <c r="AE66" i="1"/>
  <c r="AD66" i="1"/>
  <c r="AC66" i="1"/>
  <c r="AB66" i="1"/>
  <c r="AA66" i="1"/>
  <c r="AQ65" i="1"/>
  <c r="AP65" i="1"/>
  <c r="AO65" i="1"/>
  <c r="AN65" i="1"/>
  <c r="AM65" i="1"/>
  <c r="AK65" i="1"/>
  <c r="AJ65" i="1"/>
  <c r="AI65" i="1"/>
  <c r="AH65" i="1"/>
  <c r="AG65" i="1"/>
  <c r="AF65" i="1"/>
  <c r="AE65" i="1"/>
  <c r="AD65" i="1"/>
  <c r="AC65" i="1"/>
  <c r="AB65" i="1"/>
  <c r="AA65" i="1"/>
  <c r="AQ64" i="1"/>
  <c r="AP64" i="1"/>
  <c r="AO64" i="1"/>
  <c r="AN64" i="1"/>
  <c r="AM64" i="1"/>
  <c r="AK64" i="1"/>
  <c r="AJ64" i="1"/>
  <c r="AI64" i="1"/>
  <c r="AH64" i="1"/>
  <c r="AG64" i="1"/>
  <c r="AF64" i="1"/>
  <c r="AE64" i="1"/>
  <c r="AD64" i="1"/>
  <c r="AC64" i="1"/>
  <c r="AB64" i="1"/>
  <c r="AA64" i="1"/>
  <c r="AQ63" i="1"/>
  <c r="AO63" i="1"/>
  <c r="AM63" i="1"/>
  <c r="AL63" i="1" s="1"/>
  <c r="AK63" i="1"/>
  <c r="AJ63" i="1"/>
  <c r="AI63" i="1"/>
  <c r="AG63" i="1"/>
  <c r="AF63" i="1"/>
  <c r="AE63" i="1"/>
  <c r="AD63" i="1"/>
  <c r="AC63" i="1"/>
  <c r="AB63" i="1"/>
  <c r="AA63" i="1"/>
  <c r="AQ62" i="1"/>
  <c r="AP62" i="1"/>
  <c r="AO62" i="1"/>
  <c r="AN62" i="1"/>
  <c r="AM62" i="1"/>
  <c r="AK62" i="1"/>
  <c r="AJ62" i="1"/>
  <c r="AI62" i="1"/>
  <c r="AH62" i="1"/>
  <c r="AG62" i="1"/>
  <c r="AF62" i="1"/>
  <c r="AE62" i="1"/>
  <c r="AD62" i="1"/>
  <c r="AC62" i="1"/>
  <c r="AB62" i="1"/>
  <c r="AA62" i="1"/>
  <c r="AQ61" i="1"/>
  <c r="AP61" i="1"/>
  <c r="AO61" i="1"/>
  <c r="AN61" i="1"/>
  <c r="AM61" i="1"/>
  <c r="AK61" i="1"/>
  <c r="AJ61" i="1"/>
  <c r="AI61" i="1"/>
  <c r="AH61" i="1"/>
  <c r="AG61" i="1"/>
  <c r="AF61" i="1"/>
  <c r="AE61" i="1"/>
  <c r="AD61" i="1"/>
  <c r="AC61" i="1"/>
  <c r="AA61" i="1"/>
  <c r="AB61" i="1" s="1"/>
  <c r="AQ60" i="1"/>
  <c r="AP60" i="1"/>
  <c r="AO60" i="1"/>
  <c r="AN60" i="1"/>
  <c r="AM60" i="1"/>
  <c r="AK60" i="1"/>
  <c r="AJ60" i="1"/>
  <c r="AI60" i="1"/>
  <c r="AH60" i="1"/>
  <c r="AG60" i="1"/>
  <c r="AF60" i="1"/>
  <c r="AE60" i="1"/>
  <c r="AD60" i="1"/>
  <c r="AC60" i="1"/>
  <c r="AB60" i="1"/>
  <c r="AA60" i="1"/>
  <c r="AQ59" i="1"/>
  <c r="AP59" i="1"/>
  <c r="AO59" i="1"/>
  <c r="AN59" i="1"/>
  <c r="AM59" i="1"/>
  <c r="AK59" i="1"/>
  <c r="AJ59" i="1"/>
  <c r="AI59" i="1"/>
  <c r="AH59" i="1"/>
  <c r="AG59" i="1"/>
  <c r="AF59" i="1"/>
  <c r="AE59" i="1"/>
  <c r="AD59" i="1"/>
  <c r="AC59" i="1"/>
  <c r="AB59" i="1"/>
  <c r="AA59" i="1"/>
  <c r="AQ58" i="1"/>
  <c r="AP58" i="1"/>
  <c r="AO58" i="1"/>
  <c r="AN58" i="1"/>
  <c r="AM58" i="1"/>
  <c r="AK58" i="1"/>
  <c r="AJ58" i="1"/>
  <c r="AI58" i="1"/>
  <c r="AH58" i="1"/>
  <c r="AG58" i="1"/>
  <c r="AF58" i="1"/>
  <c r="AE58" i="1"/>
  <c r="AD58" i="1"/>
  <c r="AC58" i="1"/>
  <c r="AB58" i="1"/>
  <c r="AA58" i="1"/>
  <c r="AQ57" i="1"/>
  <c r="AO57" i="1"/>
  <c r="AL57" i="1"/>
  <c r="AK57" i="1"/>
  <c r="AJ57" i="1"/>
  <c r="AI57" i="1"/>
  <c r="AG57" i="1"/>
  <c r="AF57" i="1"/>
  <c r="AE57" i="1"/>
  <c r="AD57" i="1"/>
  <c r="AA57" i="1"/>
  <c r="AB57" i="1" s="1"/>
  <c r="AQ56" i="1"/>
  <c r="AP56" i="1"/>
  <c r="AO56" i="1"/>
  <c r="AN56" i="1"/>
  <c r="AM56" i="1"/>
  <c r="AK56" i="1"/>
  <c r="AJ56" i="1"/>
  <c r="AI56" i="1"/>
  <c r="AH56" i="1"/>
  <c r="AG56" i="1"/>
  <c r="AF56" i="1"/>
  <c r="AE56" i="1"/>
  <c r="AD56" i="1"/>
  <c r="AC56" i="1"/>
  <c r="AA56" i="1"/>
  <c r="AB56" i="1" s="1"/>
  <c r="AQ55" i="1"/>
  <c r="AP55" i="1"/>
  <c r="AO55" i="1"/>
  <c r="AN55" i="1"/>
  <c r="AM55" i="1"/>
  <c r="AK55" i="1"/>
  <c r="AJ55" i="1"/>
  <c r="AI55" i="1"/>
  <c r="AH55" i="1"/>
  <c r="AG55" i="1"/>
  <c r="AF55" i="1"/>
  <c r="AE55" i="1"/>
  <c r="AD55" i="1"/>
  <c r="AC55" i="1"/>
  <c r="AA55" i="1"/>
  <c r="AB55" i="1" s="1"/>
  <c r="AQ54" i="1"/>
  <c r="AP54" i="1"/>
  <c r="AO54" i="1"/>
  <c r="AN54" i="1"/>
  <c r="AM54" i="1"/>
  <c r="AK54" i="1"/>
  <c r="AJ54" i="1"/>
  <c r="AI54" i="1"/>
  <c r="AH54" i="1"/>
  <c r="AG54" i="1"/>
  <c r="AF54" i="1"/>
  <c r="AE54" i="1"/>
  <c r="AD54" i="1"/>
  <c r="AC54" i="1"/>
  <c r="AB54" i="1"/>
  <c r="AA54" i="1"/>
  <c r="AQ53" i="1"/>
  <c r="AP53" i="1"/>
  <c r="AO53" i="1"/>
  <c r="AN53" i="1"/>
  <c r="AM53" i="1"/>
  <c r="AK53" i="1"/>
  <c r="AJ53" i="1"/>
  <c r="AI53" i="1"/>
  <c r="AH53" i="1"/>
  <c r="AG53" i="1"/>
  <c r="AF53" i="1"/>
  <c r="AE53" i="1"/>
  <c r="AD53" i="1"/>
  <c r="AC53" i="1"/>
  <c r="AB53" i="1"/>
  <c r="AA53" i="1"/>
  <c r="AQ52" i="1"/>
  <c r="AP52" i="1"/>
  <c r="AO52" i="1"/>
  <c r="AN52" i="1"/>
  <c r="AM52" i="1"/>
  <c r="AK52" i="1"/>
  <c r="AJ52" i="1"/>
  <c r="AI52" i="1"/>
  <c r="AH52" i="1"/>
  <c r="AG52" i="1"/>
  <c r="AF52" i="1"/>
  <c r="AE52" i="1"/>
  <c r="AD52" i="1"/>
  <c r="AC52" i="1"/>
  <c r="AB52" i="1"/>
  <c r="AA52" i="1"/>
  <c r="AQ51" i="1"/>
  <c r="AP51" i="1"/>
  <c r="AO51" i="1"/>
  <c r="AN51" i="1"/>
  <c r="AM51" i="1"/>
  <c r="AK51" i="1"/>
  <c r="AJ51" i="1"/>
  <c r="AI51" i="1"/>
  <c r="AH51" i="1"/>
  <c r="AG51" i="1"/>
  <c r="AF51" i="1"/>
  <c r="AE51" i="1"/>
  <c r="AD51" i="1"/>
  <c r="AC51" i="1"/>
  <c r="AB51" i="1"/>
  <c r="AA51" i="1"/>
  <c r="AQ50" i="1"/>
  <c r="AP50" i="1"/>
  <c r="AO50" i="1"/>
  <c r="AN50" i="1"/>
  <c r="AM50" i="1"/>
  <c r="AK50" i="1"/>
  <c r="AJ50" i="1"/>
  <c r="AI50" i="1"/>
  <c r="AH50" i="1"/>
  <c r="AG50" i="1"/>
  <c r="AF50" i="1"/>
  <c r="AE50" i="1"/>
  <c r="AD50" i="1"/>
  <c r="AC50" i="1"/>
  <c r="AB50" i="1"/>
  <c r="AA50" i="1"/>
  <c r="AQ49" i="1"/>
  <c r="AP49" i="1"/>
  <c r="AO49" i="1"/>
  <c r="AN49" i="1"/>
  <c r="AM49" i="1"/>
  <c r="AK49" i="1"/>
  <c r="AJ49" i="1"/>
  <c r="AI49" i="1"/>
  <c r="AH49" i="1"/>
  <c r="AG49" i="1"/>
  <c r="AF49" i="1"/>
  <c r="AE49" i="1"/>
  <c r="AD49" i="1"/>
  <c r="AC49" i="1"/>
  <c r="AB49" i="1"/>
  <c r="AA49" i="1"/>
  <c r="AQ48" i="1"/>
  <c r="AP48" i="1"/>
  <c r="AO48" i="1"/>
  <c r="AN48" i="1"/>
  <c r="AM48" i="1"/>
  <c r="AK48" i="1"/>
  <c r="AJ48" i="1"/>
  <c r="AI48" i="1"/>
  <c r="AH48" i="1"/>
  <c r="AG48" i="1"/>
  <c r="AF48" i="1"/>
  <c r="AE48" i="1"/>
  <c r="AD48" i="1"/>
  <c r="AC48" i="1"/>
  <c r="AB48" i="1"/>
  <c r="AA48" i="1"/>
  <c r="AQ47" i="1"/>
  <c r="AP47" i="1"/>
  <c r="AO47" i="1"/>
  <c r="AN47" i="1"/>
  <c r="AM47" i="1"/>
  <c r="AK47" i="1"/>
  <c r="AJ47" i="1"/>
  <c r="AI47" i="1"/>
  <c r="AH47" i="1"/>
  <c r="AG47" i="1"/>
  <c r="AF47" i="1"/>
  <c r="AE47" i="1"/>
  <c r="AD47" i="1"/>
  <c r="AC47" i="1"/>
  <c r="AB47" i="1"/>
  <c r="AA47" i="1"/>
  <c r="AQ46" i="1"/>
  <c r="AP46" i="1"/>
  <c r="AO46" i="1"/>
  <c r="AN46" i="1"/>
  <c r="AM46" i="1"/>
  <c r="AK46" i="1"/>
  <c r="AJ46" i="1"/>
  <c r="AI46" i="1"/>
  <c r="AH46" i="1"/>
  <c r="AG46" i="1"/>
  <c r="AF46" i="1"/>
  <c r="AE46" i="1"/>
  <c r="AD46" i="1"/>
  <c r="AC46" i="1"/>
  <c r="AB46" i="1"/>
  <c r="AA46" i="1"/>
  <c r="AQ45" i="1"/>
  <c r="AP45" i="1"/>
  <c r="AO45" i="1"/>
  <c r="AN45" i="1"/>
  <c r="AM45" i="1"/>
  <c r="AK45" i="1"/>
  <c r="AJ45" i="1"/>
  <c r="AI45" i="1"/>
  <c r="AH45" i="1"/>
  <c r="AG45" i="1"/>
  <c r="AF45" i="1"/>
  <c r="AE45" i="1"/>
  <c r="AD45" i="1"/>
  <c r="AC45" i="1"/>
  <c r="AB45" i="1"/>
  <c r="AA45" i="1"/>
  <c r="AQ44" i="1"/>
  <c r="AP44" i="1"/>
  <c r="AO44" i="1"/>
  <c r="AN44" i="1"/>
  <c r="AM44" i="1"/>
  <c r="AK44" i="1"/>
  <c r="AJ44" i="1"/>
  <c r="AI44" i="1"/>
  <c r="AH44" i="1"/>
  <c r="AG44" i="1"/>
  <c r="AF44" i="1"/>
  <c r="AE44" i="1"/>
  <c r="AD44" i="1"/>
  <c r="AC44" i="1"/>
  <c r="AB44" i="1"/>
  <c r="AA44" i="1"/>
  <c r="AQ43" i="1"/>
  <c r="AP43" i="1"/>
  <c r="AO43" i="1"/>
  <c r="AN43" i="1"/>
  <c r="AM43" i="1"/>
  <c r="AK43" i="1"/>
  <c r="AJ43" i="1"/>
  <c r="AI43" i="1"/>
  <c r="AH43" i="1"/>
  <c r="AG43" i="1"/>
  <c r="AF43" i="1"/>
  <c r="AE43" i="1"/>
  <c r="AD43" i="1"/>
  <c r="AC43" i="1"/>
  <c r="AA43" i="1"/>
  <c r="AB43" i="1" s="1"/>
  <c r="AQ42" i="1"/>
  <c r="AP42" i="1"/>
  <c r="AO42" i="1"/>
  <c r="AN42" i="1"/>
  <c r="AM42" i="1"/>
  <c r="AK42" i="1"/>
  <c r="AJ42" i="1"/>
  <c r="AI42" i="1"/>
  <c r="AH42" i="1"/>
  <c r="AG42" i="1"/>
  <c r="AF42" i="1"/>
  <c r="AE42" i="1"/>
  <c r="AD42" i="1"/>
  <c r="AC42" i="1"/>
  <c r="AB42" i="1"/>
  <c r="AA42" i="1"/>
  <c r="AQ41" i="1"/>
  <c r="AP41" i="1"/>
  <c r="AO41" i="1"/>
  <c r="AN41" i="1"/>
  <c r="AM41" i="1"/>
  <c r="AK41" i="1"/>
  <c r="AJ41" i="1"/>
  <c r="AI41" i="1"/>
  <c r="AH41" i="1"/>
  <c r="AG41" i="1"/>
  <c r="AF41" i="1"/>
  <c r="AE41" i="1"/>
  <c r="AD41" i="1"/>
  <c r="AC41" i="1"/>
  <c r="AB41" i="1"/>
  <c r="AA41" i="1"/>
  <c r="AQ40" i="1"/>
  <c r="AP40" i="1"/>
  <c r="AO40" i="1"/>
  <c r="AN40" i="1"/>
  <c r="AM40" i="1"/>
  <c r="AK40" i="1"/>
  <c r="AJ40" i="1"/>
  <c r="AI40" i="1"/>
  <c r="AH40" i="1"/>
  <c r="AG40" i="1"/>
  <c r="AF40" i="1"/>
  <c r="AE40" i="1"/>
  <c r="AD40" i="1"/>
  <c r="AC40" i="1"/>
  <c r="AB40" i="1"/>
  <c r="AA40" i="1"/>
  <c r="AQ39" i="1"/>
  <c r="AP39" i="1"/>
  <c r="AO39" i="1"/>
  <c r="AN39" i="1"/>
  <c r="AM39" i="1"/>
  <c r="AK39" i="1"/>
  <c r="AJ39" i="1"/>
  <c r="AI39" i="1"/>
  <c r="AH39" i="1"/>
  <c r="AG39" i="1"/>
  <c r="AF39" i="1"/>
  <c r="AE39" i="1"/>
  <c r="AD39" i="1"/>
  <c r="AC39" i="1"/>
  <c r="AB39" i="1"/>
  <c r="AA39" i="1"/>
  <c r="Q39" i="1"/>
  <c r="AQ38" i="1"/>
  <c r="AP38" i="1"/>
  <c r="AO38" i="1"/>
  <c r="AN38" i="1"/>
  <c r="AM38" i="1"/>
  <c r="AK38" i="1"/>
  <c r="AJ38" i="1"/>
  <c r="AI38" i="1"/>
  <c r="AH38" i="1"/>
  <c r="AG38" i="1"/>
  <c r="AF38" i="1"/>
  <c r="AE38" i="1"/>
  <c r="AD38" i="1"/>
  <c r="AC38" i="1"/>
  <c r="AB38" i="1"/>
  <c r="AA38" i="1"/>
  <c r="AQ37" i="1"/>
  <c r="AP37" i="1"/>
  <c r="AO37" i="1"/>
  <c r="AN37" i="1"/>
  <c r="AM37" i="1"/>
  <c r="AK37" i="1"/>
  <c r="AJ37" i="1"/>
  <c r="AI37" i="1"/>
  <c r="AH37" i="1"/>
  <c r="AG37" i="1"/>
  <c r="AF37" i="1"/>
  <c r="AE37" i="1"/>
  <c r="AD37" i="1"/>
  <c r="AC37" i="1"/>
  <c r="AB37" i="1"/>
  <c r="AA37" i="1"/>
  <c r="AQ36" i="1"/>
  <c r="AP36" i="1"/>
  <c r="AO36" i="1"/>
  <c r="AN36" i="1"/>
  <c r="AM36" i="1"/>
  <c r="AK36" i="1"/>
  <c r="AJ36" i="1"/>
  <c r="AI36" i="1"/>
  <c r="AH36" i="1"/>
  <c r="AG36" i="1"/>
  <c r="AF36" i="1"/>
  <c r="AE36" i="1"/>
  <c r="AD36" i="1"/>
  <c r="AC36" i="1"/>
  <c r="AA36" i="1"/>
  <c r="AB36" i="1" s="1"/>
  <c r="AQ35" i="1"/>
  <c r="AP35" i="1"/>
  <c r="AO35" i="1"/>
  <c r="AN35" i="1"/>
  <c r="AM35" i="1"/>
  <c r="AK35" i="1"/>
  <c r="AJ35" i="1"/>
  <c r="AI35" i="1"/>
  <c r="AH35" i="1"/>
  <c r="AG35" i="1"/>
  <c r="AF35" i="1"/>
  <c r="AE35" i="1"/>
  <c r="AD35" i="1"/>
  <c r="AC35" i="1"/>
  <c r="AB35" i="1"/>
  <c r="AA35" i="1"/>
  <c r="AQ34" i="1"/>
  <c r="AP34" i="1"/>
  <c r="AO34" i="1"/>
  <c r="AN34" i="1"/>
  <c r="AM34" i="1"/>
  <c r="AK34" i="1"/>
  <c r="AJ34" i="1"/>
  <c r="AI34" i="1"/>
  <c r="AH34" i="1"/>
  <c r="AG34" i="1"/>
  <c r="AF34" i="1"/>
  <c r="AE34" i="1"/>
  <c r="AD34" i="1"/>
  <c r="AC34" i="1"/>
  <c r="AB34" i="1"/>
  <c r="AA34" i="1"/>
  <c r="AQ33" i="1"/>
  <c r="AP33" i="1"/>
  <c r="AO33" i="1"/>
  <c r="AN33" i="1"/>
  <c r="AM33" i="1"/>
  <c r="AK33" i="1"/>
  <c r="AJ33" i="1"/>
  <c r="AI33" i="1"/>
  <c r="AH33" i="1"/>
  <c r="AG33" i="1"/>
  <c r="AF33" i="1"/>
  <c r="AE33" i="1"/>
  <c r="AD33" i="1"/>
  <c r="AC33" i="1"/>
  <c r="AB33" i="1"/>
  <c r="AA33" i="1"/>
  <c r="P33" i="1"/>
  <c r="AQ32" i="1"/>
  <c r="AP32" i="1"/>
  <c r="AO32" i="1"/>
  <c r="AN32" i="1"/>
  <c r="AM32" i="1"/>
  <c r="AK32" i="1"/>
  <c r="AJ32" i="1"/>
  <c r="AI32" i="1"/>
  <c r="AH32" i="1"/>
  <c r="AG32" i="1"/>
  <c r="AF32" i="1"/>
  <c r="AE32" i="1"/>
  <c r="AD32" i="1"/>
  <c r="AC32" i="1"/>
  <c r="AB32" i="1"/>
  <c r="AA32" i="1"/>
  <c r="AQ31" i="1"/>
  <c r="AP31" i="1"/>
  <c r="AO31" i="1"/>
  <c r="AN31" i="1"/>
  <c r="AM31" i="1"/>
  <c r="AK31" i="1"/>
  <c r="AJ31" i="1"/>
  <c r="AI31" i="1"/>
  <c r="AH31" i="1"/>
  <c r="AG31" i="1"/>
  <c r="AF31" i="1"/>
  <c r="AE31" i="1"/>
  <c r="AD31" i="1"/>
  <c r="AC31" i="1"/>
  <c r="AB31" i="1"/>
  <c r="AA31" i="1"/>
  <c r="AQ30" i="1"/>
  <c r="AP30" i="1"/>
  <c r="AO30" i="1"/>
  <c r="AN30" i="1"/>
  <c r="AM30" i="1"/>
  <c r="AK30" i="1"/>
  <c r="AJ30" i="1"/>
  <c r="AI30" i="1"/>
  <c r="AH30" i="1"/>
  <c r="AG30" i="1"/>
  <c r="AF30" i="1"/>
  <c r="AE30" i="1"/>
  <c r="AD30" i="1"/>
  <c r="AC30" i="1"/>
  <c r="AB30" i="1"/>
  <c r="AA30" i="1"/>
  <c r="AQ29" i="1"/>
  <c r="AP29" i="1"/>
  <c r="AO29" i="1"/>
  <c r="AN29" i="1"/>
  <c r="AM29" i="1"/>
  <c r="AK29" i="1"/>
  <c r="AJ29" i="1"/>
  <c r="AI29" i="1"/>
  <c r="AH29" i="1"/>
  <c r="AG29" i="1"/>
  <c r="AF29" i="1"/>
  <c r="AE29" i="1"/>
  <c r="AD29" i="1"/>
  <c r="AC29" i="1"/>
  <c r="AB29" i="1"/>
  <c r="AA29" i="1"/>
  <c r="AQ28" i="1"/>
  <c r="AP28" i="1"/>
  <c r="AO28" i="1"/>
  <c r="AN28" i="1"/>
  <c r="AM28" i="1"/>
  <c r="AK28" i="1"/>
  <c r="AJ28" i="1"/>
  <c r="AI28" i="1"/>
  <c r="AH28" i="1"/>
  <c r="AG28" i="1"/>
  <c r="AF28" i="1"/>
  <c r="AE28" i="1"/>
  <c r="AD28" i="1"/>
  <c r="AC28" i="1"/>
  <c r="AB28" i="1"/>
  <c r="AA28" i="1"/>
  <c r="AQ27" i="1"/>
  <c r="AP27" i="1"/>
  <c r="AO27" i="1"/>
  <c r="AN27" i="1"/>
  <c r="AM27" i="1"/>
  <c r="AK27" i="1"/>
  <c r="AJ27" i="1"/>
  <c r="AI27" i="1"/>
  <c r="AH27" i="1"/>
  <c r="AL27" i="1" s="1"/>
  <c r="AG27" i="1"/>
  <c r="AF27" i="1"/>
  <c r="AE27" i="1"/>
  <c r="AD27" i="1"/>
  <c r="AC27" i="1"/>
  <c r="AA27" i="1"/>
  <c r="AB27" i="1" s="1"/>
  <c r="AQ26" i="1"/>
  <c r="AP26" i="1"/>
  <c r="AO26" i="1"/>
  <c r="AN26" i="1"/>
  <c r="AM26" i="1"/>
  <c r="AK26" i="1"/>
  <c r="AJ26" i="1"/>
  <c r="AI26" i="1"/>
  <c r="AH26" i="1"/>
  <c r="AG26" i="1"/>
  <c r="AF26" i="1"/>
  <c r="AE26" i="1"/>
  <c r="AD26" i="1"/>
  <c r="AC26" i="1"/>
  <c r="AB26" i="1"/>
  <c r="AA26" i="1"/>
  <c r="AQ25" i="1"/>
  <c r="AP25" i="1"/>
  <c r="AO25" i="1"/>
  <c r="AN25" i="1"/>
  <c r="AM25" i="1"/>
  <c r="AK25" i="1"/>
  <c r="AJ25" i="1"/>
  <c r="AI25" i="1"/>
  <c r="AH25" i="1"/>
  <c r="AG25" i="1"/>
  <c r="AF25" i="1"/>
  <c r="AE25" i="1"/>
  <c r="AD25" i="1"/>
  <c r="AC25" i="1"/>
  <c r="AB25" i="1"/>
  <c r="AA25" i="1"/>
  <c r="AQ24" i="1"/>
  <c r="AP24" i="1"/>
  <c r="AO24" i="1"/>
  <c r="AN24" i="1"/>
  <c r="AM24" i="1"/>
  <c r="AK24" i="1"/>
  <c r="AJ24" i="1"/>
  <c r="AI24" i="1"/>
  <c r="AH24" i="1"/>
  <c r="AG24" i="1"/>
  <c r="AF24" i="1"/>
  <c r="AE24" i="1"/>
  <c r="AD24" i="1"/>
  <c r="AC24" i="1"/>
  <c r="AB24" i="1"/>
  <c r="AA24" i="1"/>
  <c r="AQ23" i="1"/>
  <c r="AP23" i="1"/>
  <c r="AO23" i="1"/>
  <c r="AN23" i="1"/>
  <c r="AM23" i="1"/>
  <c r="AK23" i="1"/>
  <c r="AJ23" i="1"/>
  <c r="AI23" i="1"/>
  <c r="AH23" i="1"/>
  <c r="AG23" i="1"/>
  <c r="AF23" i="1"/>
  <c r="AE23" i="1"/>
  <c r="AD23" i="1"/>
  <c r="AC23" i="1"/>
  <c r="AB23" i="1"/>
  <c r="AQ22" i="1"/>
  <c r="AP22" i="1"/>
  <c r="AO22" i="1"/>
  <c r="AN22" i="1"/>
  <c r="AM22" i="1"/>
  <c r="AK22" i="1"/>
  <c r="AJ22" i="1"/>
  <c r="AI22" i="1"/>
  <c r="AH22" i="1"/>
  <c r="AG22" i="1"/>
  <c r="AF22" i="1"/>
  <c r="AE22" i="1"/>
  <c r="AD22" i="1"/>
  <c r="AC22" i="1"/>
  <c r="AB22" i="1"/>
  <c r="AA22" i="1"/>
  <c r="AQ21" i="1"/>
  <c r="AP21" i="1"/>
  <c r="AO21" i="1"/>
  <c r="AN21" i="1"/>
  <c r="AM21" i="1"/>
  <c r="AK21" i="1"/>
  <c r="AJ21" i="1"/>
  <c r="AI21" i="1"/>
  <c r="AH21" i="1"/>
  <c r="AG21" i="1"/>
  <c r="AF21" i="1"/>
  <c r="AE21" i="1"/>
  <c r="AD21" i="1"/>
  <c r="AC21" i="1"/>
  <c r="AB21" i="1"/>
  <c r="AA21" i="1"/>
  <c r="AQ20" i="1"/>
  <c r="AP20" i="1"/>
  <c r="AO20" i="1"/>
  <c r="AN20" i="1"/>
  <c r="AM20" i="1"/>
  <c r="AK20" i="1"/>
  <c r="AJ20" i="1"/>
  <c r="AI20" i="1"/>
  <c r="AH20" i="1"/>
  <c r="AG20" i="1"/>
  <c r="AF20" i="1"/>
  <c r="AE20" i="1"/>
  <c r="AD20" i="1"/>
  <c r="AC20" i="1"/>
  <c r="AB20" i="1"/>
  <c r="AA20" i="1"/>
  <c r="AQ19" i="1"/>
  <c r="AP19" i="1"/>
  <c r="AO19" i="1"/>
  <c r="AN19" i="1"/>
  <c r="AM19" i="1"/>
  <c r="AK19" i="1"/>
  <c r="AJ19" i="1"/>
  <c r="AI19" i="1"/>
  <c r="AH19" i="1"/>
  <c r="AG19" i="1"/>
  <c r="AF19" i="1"/>
  <c r="AE19" i="1"/>
  <c r="AD19" i="1"/>
  <c r="AC19" i="1"/>
  <c r="AB19" i="1"/>
  <c r="AA19" i="1"/>
  <c r="AQ18" i="1"/>
  <c r="AP18" i="1"/>
  <c r="AO18" i="1"/>
  <c r="AN18" i="1"/>
  <c r="AM18" i="1"/>
  <c r="AK18" i="1"/>
  <c r="AJ18" i="1"/>
  <c r="AI18" i="1"/>
  <c r="AH18" i="1"/>
  <c r="AG18" i="1"/>
  <c r="AF18" i="1"/>
  <c r="AE18" i="1"/>
  <c r="AD18" i="1"/>
  <c r="AC18" i="1"/>
  <c r="AB18" i="1"/>
  <c r="AA18" i="1"/>
  <c r="AQ17" i="1"/>
  <c r="AP17" i="1"/>
  <c r="AO17" i="1"/>
  <c r="AN17" i="1"/>
  <c r="AM17" i="1"/>
  <c r="AK17" i="1"/>
  <c r="AJ17" i="1"/>
  <c r="AI17" i="1"/>
  <c r="AH17" i="1"/>
  <c r="AG17" i="1"/>
  <c r="AF17" i="1"/>
  <c r="AE17" i="1"/>
  <c r="AD17" i="1"/>
  <c r="AC17" i="1"/>
  <c r="AB17" i="1"/>
  <c r="AA17" i="1"/>
  <c r="AQ16" i="1"/>
  <c r="AP16" i="1"/>
  <c r="AO16" i="1"/>
  <c r="AN16" i="1"/>
  <c r="AM16" i="1"/>
  <c r="AK16" i="1"/>
  <c r="AJ16" i="1"/>
  <c r="AI16" i="1"/>
  <c r="AH16" i="1"/>
  <c r="AG16" i="1"/>
  <c r="AF16" i="1"/>
  <c r="AE16" i="1"/>
  <c r="AD16" i="1"/>
  <c r="AC16" i="1"/>
  <c r="AB16" i="1"/>
  <c r="AA16" i="1"/>
  <c r="AQ15" i="1"/>
  <c r="AP15" i="1"/>
  <c r="AO15" i="1"/>
  <c r="AN15" i="1"/>
  <c r="AM15" i="1"/>
  <c r="AK15" i="1"/>
  <c r="AJ15" i="1"/>
  <c r="AI15" i="1"/>
  <c r="AH15" i="1"/>
  <c r="AG15" i="1"/>
  <c r="AF15" i="1"/>
  <c r="AE15" i="1"/>
  <c r="AD15" i="1"/>
  <c r="AC15" i="1"/>
  <c r="AB15" i="1"/>
  <c r="AA15" i="1"/>
  <c r="AQ14" i="1"/>
  <c r="AP14" i="1"/>
  <c r="AO14" i="1"/>
  <c r="AN14" i="1"/>
  <c r="AM14" i="1"/>
  <c r="AK14" i="1"/>
  <c r="AJ14" i="1"/>
  <c r="AI14" i="1"/>
  <c r="AH14" i="1"/>
  <c r="AG14" i="1"/>
  <c r="AF14" i="1"/>
  <c r="AE14" i="1"/>
  <c r="AD14" i="1"/>
  <c r="AC14" i="1"/>
  <c r="AB14" i="1"/>
  <c r="AA14" i="1"/>
  <c r="AQ13" i="1"/>
  <c r="AP13" i="1"/>
  <c r="AO13" i="1"/>
  <c r="AN13" i="1"/>
  <c r="AM13" i="1"/>
  <c r="AK13" i="1"/>
  <c r="AJ13" i="1"/>
  <c r="AI13" i="1"/>
  <c r="AH13" i="1"/>
  <c r="AG13" i="1"/>
  <c r="AF13" i="1"/>
  <c r="AE13" i="1"/>
  <c r="AD13" i="1"/>
  <c r="AC13" i="1"/>
  <c r="AB13" i="1"/>
  <c r="AA13" i="1"/>
  <c r="AQ12" i="1"/>
  <c r="AO12" i="1"/>
  <c r="AL12" i="1"/>
  <c r="AK12" i="1"/>
  <c r="AJ12" i="1"/>
  <c r="AI12" i="1"/>
  <c r="AG12" i="1"/>
  <c r="AF12" i="1"/>
  <c r="AE12" i="1"/>
  <c r="AD12" i="1"/>
  <c r="AC12" i="1"/>
  <c r="AB12" i="1"/>
  <c r="AA12" i="1"/>
  <c r="AQ11" i="1"/>
  <c r="AP11" i="1"/>
  <c r="AO11" i="1"/>
  <c r="AN11" i="1"/>
  <c r="AM11" i="1"/>
  <c r="AK11" i="1"/>
  <c r="AJ11" i="1"/>
  <c r="AI11" i="1"/>
  <c r="AH11" i="1"/>
  <c r="AG11" i="1"/>
  <c r="AF11" i="1"/>
  <c r="AE11" i="1"/>
  <c r="AD11" i="1"/>
  <c r="AC11" i="1"/>
  <c r="AA11" i="1"/>
  <c r="AB11" i="1" s="1"/>
  <c r="P11" i="1"/>
  <c r="AQ10" i="1"/>
  <c r="AP10" i="1"/>
  <c r="AO10" i="1"/>
  <c r="AN10" i="1"/>
  <c r="AM10" i="1"/>
  <c r="AK10" i="1"/>
  <c r="AJ10" i="1"/>
  <c r="AI10" i="1"/>
  <c r="AH10" i="1"/>
  <c r="AG10" i="1"/>
  <c r="AF10" i="1"/>
  <c r="AE10" i="1"/>
  <c r="AD10" i="1"/>
  <c r="AC10" i="1"/>
  <c r="AA10" i="1"/>
  <c r="AB10" i="1" s="1"/>
  <c r="P10" i="1"/>
  <c r="AQ9" i="1"/>
  <c r="AP9" i="1"/>
  <c r="AO9" i="1"/>
  <c r="AN9" i="1"/>
  <c r="AM9" i="1"/>
  <c r="AK9" i="1"/>
  <c r="AJ9" i="1"/>
  <c r="AI9" i="1"/>
  <c r="AH9" i="1"/>
  <c r="AG9" i="1"/>
  <c r="AF9" i="1"/>
  <c r="AE9" i="1"/>
  <c r="AD9" i="1"/>
  <c r="AC9" i="1"/>
  <c r="AB9" i="1"/>
  <c r="AA9" i="1"/>
  <c r="P9" i="1"/>
  <c r="AQ8" i="1"/>
  <c r="AP8" i="1"/>
  <c r="AO8" i="1"/>
  <c r="AN8" i="1"/>
  <c r="AM8" i="1"/>
  <c r="AK8" i="1"/>
  <c r="AJ8" i="1"/>
  <c r="AI8" i="1"/>
  <c r="AH8" i="1"/>
  <c r="AG8" i="1"/>
  <c r="AF8" i="1"/>
  <c r="AE8" i="1"/>
  <c r="AD8" i="1"/>
  <c r="AC8" i="1"/>
  <c r="AB8" i="1"/>
  <c r="AA8" i="1"/>
  <c r="AQ7" i="1"/>
  <c r="AP7" i="1"/>
  <c r="AO7" i="1"/>
  <c r="AN7" i="1"/>
  <c r="AM7" i="1"/>
  <c r="AK7" i="1"/>
  <c r="AJ7" i="1"/>
  <c r="AI7" i="1"/>
  <c r="AH7" i="1"/>
  <c r="AG7" i="1"/>
  <c r="AF7" i="1"/>
  <c r="AD7" i="1"/>
  <c r="AC7" i="1"/>
  <c r="AB7" i="1"/>
  <c r="AA7" i="1"/>
  <c r="P7" i="1"/>
  <c r="AQ6" i="1"/>
  <c r="AP6" i="1"/>
  <c r="AO6" i="1"/>
  <c r="AN6" i="1"/>
  <c r="AM6" i="1"/>
  <c r="AK6" i="1"/>
  <c r="AJ6" i="1"/>
  <c r="AI6" i="1"/>
  <c r="AH6" i="1"/>
  <c r="AE6" i="1"/>
  <c r="AD6" i="1"/>
  <c r="AC6" i="1"/>
  <c r="AB6" i="1"/>
  <c r="AA6" i="1"/>
  <c r="Q6" i="1"/>
  <c r="AQ5" i="1"/>
  <c r="AP5" i="1"/>
  <c r="AO5" i="1"/>
  <c r="AN5" i="1"/>
  <c r="AM5" i="1"/>
  <c r="AK5" i="1"/>
  <c r="AJ5" i="1"/>
  <c r="AI5" i="1"/>
  <c r="AH5" i="1"/>
  <c r="AG5" i="1"/>
  <c r="AF5" i="1"/>
  <c r="AE5" i="1"/>
  <c r="AD5" i="1"/>
  <c r="AC5" i="1"/>
  <c r="AB5" i="1"/>
  <c r="AA5" i="1"/>
  <c r="AQ4" i="1"/>
  <c r="AP4" i="1"/>
  <c r="AO4" i="1"/>
  <c r="AN4" i="1"/>
  <c r="AM4" i="1"/>
  <c r="AK4" i="1"/>
  <c r="AJ4" i="1"/>
  <c r="AI4" i="1"/>
  <c r="AH4" i="1"/>
  <c r="AE4" i="1"/>
  <c r="AD4" i="1"/>
  <c r="AC4" i="1"/>
  <c r="AB4" i="1"/>
  <c r="AA4" i="1"/>
  <c r="Q4" i="1"/>
  <c r="AQ3" i="1"/>
  <c r="AP3" i="1"/>
  <c r="AO3" i="1"/>
  <c r="AN3" i="1"/>
  <c r="AM3" i="1"/>
  <c r="AK3" i="1"/>
  <c r="AJ3" i="1"/>
  <c r="AI3" i="1"/>
  <c r="AH3" i="1"/>
  <c r="AE3" i="1"/>
  <c r="AD3" i="1"/>
  <c r="AC3" i="1"/>
  <c r="AB3" i="1"/>
  <c r="AA3" i="1"/>
  <c r="Q3" i="1"/>
  <c r="AQ2" i="1"/>
  <c r="AP2" i="1"/>
  <c r="AO2" i="1"/>
  <c r="AN2" i="1"/>
  <c r="AM2" i="1"/>
  <c r="AK2" i="1"/>
  <c r="AJ2" i="1"/>
  <c r="AI2" i="1"/>
  <c r="AH2" i="1"/>
  <c r="AL2" i="1" s="1"/>
  <c r="AE2" i="1"/>
  <c r="AD2" i="1"/>
  <c r="AC2" i="1"/>
  <c r="AB2" i="1"/>
  <c r="AA2" i="1"/>
  <c r="Q2" i="1"/>
  <c r="D26" i="6" l="1"/>
  <c r="AL13" i="1"/>
  <c r="AL19" i="1"/>
  <c r="AL7" i="1"/>
  <c r="Z156" i="1"/>
  <c r="Z128" i="1"/>
  <c r="Z154" i="1"/>
  <c r="Z126" i="1"/>
  <c r="Z152" i="1"/>
  <c r="AR54" i="1"/>
  <c r="Z18" i="1"/>
  <c r="AR148" i="1"/>
  <c r="AR76" i="1"/>
  <c r="Z81" i="1"/>
  <c r="AR119" i="1"/>
  <c r="AR73" i="1"/>
  <c r="AR104" i="1"/>
  <c r="AF4" i="1"/>
  <c r="AR56" i="1"/>
  <c r="AR70" i="1"/>
  <c r="Z102" i="1"/>
  <c r="AR78" i="1"/>
  <c r="Z32" i="1"/>
  <c r="AR47" i="1"/>
  <c r="AR53" i="1"/>
  <c r="Z113" i="1"/>
  <c r="AR23" i="1"/>
  <c r="Z99" i="1"/>
  <c r="Z111" i="1"/>
  <c r="Z109" i="1"/>
  <c r="Z138" i="1"/>
  <c r="AR123" i="1"/>
  <c r="AF6" i="1"/>
  <c r="AR63" i="1"/>
  <c r="Z136" i="1"/>
  <c r="Z150" i="1"/>
  <c r="Z169" i="1"/>
  <c r="AR121" i="1"/>
  <c r="Z167" i="1"/>
  <c r="Z85" i="1"/>
  <c r="Z134" i="1"/>
  <c r="Z165" i="1"/>
  <c r="Z40" i="1"/>
  <c r="Z103" i="1"/>
  <c r="Z105" i="1"/>
  <c r="Z132" i="1"/>
  <c r="Z130" i="1"/>
  <c r="Z95" i="1"/>
  <c r="AL4" i="1"/>
  <c r="AL6" i="1"/>
  <c r="AL73" i="1"/>
  <c r="AL14" i="1"/>
  <c r="AL20" i="1"/>
  <c r="AL23" i="1"/>
  <c r="AL26" i="1"/>
  <c r="AR27" i="1"/>
  <c r="AL32" i="1"/>
  <c r="AL61" i="1"/>
  <c r="AL18" i="1"/>
  <c r="AL3" i="1"/>
  <c r="AL58" i="1"/>
  <c r="AL11" i="1"/>
  <c r="AL71" i="1"/>
  <c r="Z28" i="1"/>
  <c r="AL66" i="1"/>
  <c r="AL30" i="1"/>
  <c r="Z78" i="1"/>
  <c r="Z65" i="1"/>
  <c r="AL72" i="1"/>
  <c r="AL60" i="1"/>
  <c r="AL64" i="1"/>
  <c r="Z60" i="1"/>
  <c r="AL16" i="1"/>
  <c r="Z30" i="1"/>
  <c r="AL31" i="1"/>
  <c r="Z47" i="1"/>
  <c r="AL68" i="1"/>
  <c r="AL33" i="1"/>
  <c r="AL39" i="1"/>
  <c r="Z56" i="1"/>
  <c r="AL35" i="1"/>
  <c r="AL38" i="1"/>
  <c r="AR66" i="1"/>
  <c r="AR20" i="1"/>
  <c r="AL25" i="1"/>
  <c r="AL50" i="1"/>
  <c r="AL53" i="1"/>
  <c r="AR16" i="1"/>
  <c r="AR35" i="1"/>
  <c r="AL24" i="1"/>
  <c r="AL55" i="1"/>
  <c r="AL9" i="1"/>
  <c r="AR58" i="1"/>
  <c r="AL28" i="1"/>
  <c r="AL41" i="1"/>
  <c r="AL44" i="1"/>
  <c r="AR85" i="1"/>
  <c r="Z52" i="1"/>
  <c r="AL37" i="1"/>
  <c r="AR57" i="1"/>
  <c r="AR105" i="1"/>
  <c r="Z13" i="1"/>
  <c r="AL5" i="1"/>
  <c r="Z4" i="1"/>
  <c r="AR9" i="1"/>
  <c r="AL43" i="1"/>
  <c r="AL62" i="1"/>
  <c r="AL65" i="1"/>
  <c r="Z61" i="1"/>
  <c r="Z45" i="1"/>
  <c r="Z163" i="1"/>
  <c r="Z10" i="1"/>
  <c r="AG4" i="1"/>
  <c r="Z22" i="1"/>
  <c r="AL40" i="1"/>
  <c r="Z3" i="1"/>
  <c r="AL29" i="1"/>
  <c r="AR43" i="1"/>
  <c r="AL10" i="1"/>
  <c r="AL45" i="1"/>
  <c r="Z57" i="1"/>
  <c r="AL70" i="1"/>
  <c r="Z21" i="1"/>
  <c r="AL48" i="1"/>
  <c r="AL51" i="1"/>
  <c r="AL15" i="1"/>
  <c r="AL52" i="1"/>
  <c r="AL22" i="1"/>
  <c r="AR39" i="1"/>
  <c r="AR98" i="1"/>
  <c r="AR139" i="1"/>
  <c r="AR141" i="1"/>
  <c r="AR143" i="1"/>
  <c r="AR145" i="1"/>
  <c r="AR147" i="1"/>
  <c r="AR94" i="1"/>
  <c r="AR101" i="1"/>
  <c r="AR114" i="1"/>
  <c r="AR116" i="1"/>
  <c r="AR118" i="1"/>
  <c r="AR38" i="1"/>
  <c r="AR19" i="1"/>
  <c r="AR34" i="1"/>
  <c r="Z70" i="1"/>
  <c r="AR90" i="1"/>
  <c r="AR97" i="1"/>
  <c r="AR8" i="1"/>
  <c r="AL21" i="1"/>
  <c r="Z35" i="1"/>
  <c r="Z39" i="1"/>
  <c r="Z53" i="1"/>
  <c r="Z91" i="1"/>
  <c r="Z98" i="1"/>
  <c r="AR168" i="1"/>
  <c r="AR15" i="1"/>
  <c r="Z5" i="1"/>
  <c r="AR30" i="1"/>
  <c r="Z66" i="1"/>
  <c r="AR162" i="1"/>
  <c r="Z9" i="1"/>
  <c r="AL17" i="1"/>
  <c r="AR22" i="1"/>
  <c r="Z27" i="1"/>
  <c r="AL36" i="1"/>
  <c r="AL47" i="1"/>
  <c r="AL54" i="1"/>
  <c r="AR86" i="1"/>
  <c r="AR93" i="1"/>
  <c r="Z23" i="1"/>
  <c r="AL67" i="1"/>
  <c r="AL74" i="1"/>
  <c r="Z87" i="1"/>
  <c r="Z94" i="1"/>
  <c r="Z101" i="1"/>
  <c r="Z19" i="1"/>
  <c r="AR138" i="1"/>
  <c r="Z42" i="1"/>
  <c r="AR75" i="1"/>
  <c r="AR82" i="1"/>
  <c r="AR89" i="1"/>
  <c r="AR103" i="1"/>
  <c r="Z139" i="1"/>
  <c r="Z141" i="1"/>
  <c r="Z143" i="1"/>
  <c r="AR144" i="1"/>
  <c r="AR29" i="1"/>
  <c r="Z83" i="1"/>
  <c r="Z90" i="1"/>
  <c r="Z97" i="1"/>
  <c r="Z145" i="1"/>
  <c r="Z147" i="1"/>
  <c r="AR113" i="1"/>
  <c r="Z149" i="1"/>
  <c r="AR5" i="1"/>
  <c r="AR25" i="1"/>
  <c r="AR61" i="1"/>
  <c r="Z114" i="1"/>
  <c r="Z116" i="1"/>
  <c r="Z118" i="1"/>
  <c r="AL46" i="1"/>
  <c r="Z79" i="1"/>
  <c r="Z86" i="1"/>
  <c r="Z93" i="1"/>
  <c r="Z121" i="1"/>
  <c r="Z123" i="1"/>
  <c r="AR124" i="1"/>
  <c r="Z125" i="1"/>
  <c r="Z37" i="1"/>
  <c r="AR81" i="1"/>
  <c r="Z8" i="1"/>
  <c r="AR40" i="1"/>
  <c r="AL49" i="1"/>
  <c r="AL56" i="1"/>
  <c r="AL59" i="1"/>
  <c r="AR67" i="1"/>
  <c r="Z75" i="1"/>
  <c r="Z82" i="1"/>
  <c r="Z89" i="1"/>
  <c r="Z29" i="1"/>
  <c r="AL69" i="1"/>
  <c r="Z162" i="1"/>
  <c r="AL8" i="1"/>
  <c r="AL42" i="1"/>
  <c r="AR10" i="1"/>
  <c r="AR13" i="1"/>
  <c r="Z25" i="1"/>
  <c r="Z33" i="1"/>
  <c r="AL34" i="1"/>
  <c r="AR50" i="1"/>
  <c r="AR60" i="1"/>
  <c r="AR77" i="1"/>
  <c r="AR102" i="1"/>
  <c r="Z160" i="1"/>
  <c r="AR163" i="1"/>
  <c r="AR26" i="1"/>
  <c r="AR117" i="1"/>
  <c r="AR142" i="1"/>
  <c r="AR166" i="1"/>
  <c r="AR151" i="1"/>
  <c r="AR21" i="1"/>
  <c r="AR55" i="1"/>
  <c r="AR59" i="1"/>
  <c r="AR68" i="1"/>
  <c r="AR131" i="1"/>
  <c r="AR155" i="1"/>
  <c r="AR36" i="1"/>
  <c r="Z17" i="1"/>
  <c r="AR45" i="1"/>
  <c r="Z51" i="1"/>
  <c r="Z64" i="1"/>
  <c r="Z69" i="1"/>
  <c r="Z74" i="1"/>
  <c r="AR133" i="1"/>
  <c r="AR157" i="1"/>
  <c r="AR127" i="1"/>
  <c r="AR140" i="1"/>
  <c r="Z2" i="1"/>
  <c r="Z46" i="1"/>
  <c r="AR122" i="1"/>
  <c r="AR146" i="1"/>
  <c r="AR170" i="1"/>
  <c r="AR6" i="1"/>
  <c r="Z31" i="1"/>
  <c r="Z36" i="1"/>
  <c r="Z41" i="1"/>
  <c r="AR110" i="1"/>
  <c r="AR135" i="1"/>
  <c r="AR159" i="1"/>
  <c r="AR64" i="1"/>
  <c r="AR41" i="1"/>
  <c r="Z26" i="1"/>
  <c r="AR17" i="1"/>
  <c r="AR51" i="1"/>
  <c r="AR46" i="1"/>
  <c r="AR49" i="1"/>
  <c r="Z55" i="1"/>
  <c r="Z59" i="1"/>
  <c r="Z68" i="1"/>
  <c r="AR72" i="1"/>
  <c r="AR112" i="1"/>
  <c r="AR137" i="1"/>
  <c r="AR161" i="1"/>
  <c r="Z12" i="1"/>
  <c r="Z16" i="1"/>
  <c r="AR44" i="1"/>
  <c r="Z50" i="1"/>
  <c r="Z73" i="1"/>
  <c r="AR80" i="1"/>
  <c r="AR84" i="1"/>
  <c r="AR88" i="1"/>
  <c r="AR92" i="1"/>
  <c r="AR96" i="1"/>
  <c r="AR100" i="1"/>
  <c r="AR126" i="1"/>
  <c r="AR150" i="1"/>
  <c r="AR115" i="1"/>
  <c r="Z127" i="1"/>
  <c r="Z151" i="1"/>
  <c r="AF2" i="1"/>
  <c r="AR24" i="1"/>
  <c r="AR62" i="1"/>
  <c r="Z77" i="1"/>
  <c r="Z115" i="1"/>
  <c r="AR128" i="1"/>
  <c r="Z140" i="1"/>
  <c r="AR152" i="1"/>
  <c r="Z164" i="1"/>
  <c r="AG3" i="1"/>
  <c r="AG2" i="1"/>
  <c r="Z6" i="1"/>
  <c r="Z63" i="1"/>
  <c r="Z129" i="1"/>
  <c r="Z153" i="1"/>
  <c r="AR165" i="1"/>
  <c r="AR12" i="1"/>
  <c r="AR31" i="1"/>
  <c r="AR14" i="1"/>
  <c r="Z20" i="1"/>
  <c r="AR48" i="1"/>
  <c r="Z54" i="1"/>
  <c r="Z58" i="1"/>
  <c r="Z67" i="1"/>
  <c r="AR71" i="1"/>
  <c r="Z104" i="1"/>
  <c r="Z117" i="1"/>
  <c r="AR130" i="1"/>
  <c r="Z142" i="1"/>
  <c r="AR154" i="1"/>
  <c r="Z166" i="1"/>
  <c r="AR7" i="1"/>
  <c r="Z15" i="1"/>
  <c r="Z49" i="1"/>
  <c r="Z72" i="1"/>
  <c r="Z131" i="1"/>
  <c r="Z155" i="1"/>
  <c r="AR167" i="1"/>
  <c r="AR129" i="1"/>
  <c r="Z11" i="1"/>
  <c r="AR4" i="1"/>
  <c r="AR28" i="1"/>
  <c r="AR33" i="1"/>
  <c r="Z44" i="1"/>
  <c r="AR79" i="1"/>
  <c r="AR83" i="1"/>
  <c r="AR87" i="1"/>
  <c r="AR91" i="1"/>
  <c r="AR95" i="1"/>
  <c r="AR99" i="1"/>
  <c r="AR109" i="1"/>
  <c r="Z119" i="1"/>
  <c r="AR132" i="1"/>
  <c r="Z144" i="1"/>
  <c r="AR156" i="1"/>
  <c r="Z168" i="1"/>
  <c r="AF3" i="1"/>
  <c r="AR11" i="1"/>
  <c r="Z34" i="1"/>
  <c r="Z80" i="1"/>
  <c r="Z84" i="1"/>
  <c r="Z88" i="1"/>
  <c r="Z92" i="1"/>
  <c r="Z96" i="1"/>
  <c r="Z100" i="1"/>
  <c r="Z110" i="1"/>
  <c r="Z133" i="1"/>
  <c r="Z157" i="1"/>
  <c r="AR169" i="1"/>
  <c r="AR69" i="1"/>
  <c r="AR18" i="1"/>
  <c r="Z24" i="1"/>
  <c r="AR52" i="1"/>
  <c r="Z62" i="1"/>
  <c r="AR65" i="1"/>
  <c r="Z76" i="1"/>
  <c r="Z122" i="1"/>
  <c r="AR134" i="1"/>
  <c r="Z146" i="1"/>
  <c r="AR158" i="1"/>
  <c r="Z170" i="1"/>
  <c r="Z135" i="1"/>
  <c r="Z159" i="1"/>
  <c r="AR171" i="1"/>
  <c r="AR74" i="1"/>
  <c r="Z7" i="1"/>
  <c r="AR3" i="1"/>
  <c r="AG6" i="1"/>
  <c r="Z14" i="1"/>
  <c r="AR32" i="1"/>
  <c r="AR37" i="1"/>
  <c r="AR42" i="1"/>
  <c r="Z48" i="1"/>
  <c r="Z71" i="1"/>
  <c r="AR111" i="1"/>
  <c r="Z124" i="1"/>
  <c r="AR136" i="1"/>
  <c r="Z148" i="1"/>
  <c r="AR160" i="1"/>
  <c r="AR2" i="1"/>
  <c r="AR164" i="1"/>
  <c r="AR153" i="1"/>
  <c r="Z38" i="1"/>
  <c r="Z43" i="1"/>
  <c r="Z112" i="1"/>
  <c r="AR125" i="1"/>
  <c r="Z137" i="1"/>
  <c r="AR149" i="1"/>
  <c r="Z1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tc={365BEAC5-3471-4322-8C3A-15C01C6D14BF}</author>
    <author>tc={099EA61F-5CA2-4FE0-B266-65E03C2B088F}</author>
    <author>tc={6C23FFD6-32EF-4970-A237-69FA28490A1E}</author>
    <author>tc={593819FF-931A-4AF8-8682-868F133110E5}</author>
    <author>tc={095375AE-8324-4E7E-8B28-BEA642259C1B}</author>
    <author>tc={F34480D3-8B9E-4945-B661-B3677F7C3BB0}</author>
    <author>tc={4EAB0F34-2C9F-431D-B587-6B0E7F8CAB0A}</author>
    <author>tc={A925F336-C120-4657-BBC2-68E377F68630}</author>
    <author>tc={7C5B32D1-4A8E-4082-B166-CDE220C905CF}</author>
    <author>Michael G</author>
  </authors>
  <commentList>
    <comment ref="L1" authorId="0" shapeId="0" xr:uid="{365BEAC5-3471-4322-8C3A-15C01C6D14BF}">
      <text>
        <t>[Threaded comment]
Your version of Excel allows you to read this threaded comment; however, any edits to it will get removed if the file is opened in a newer version of Excel. Learn more: https://go.microsoft.com/fwlink/?linkid=870924
Comment:
    Highest point after premarket
Reply:
    High should not be before squeeze and after premarket. Hi in this case should only be created after squeeze.</t>
      </text>
    </comment>
    <comment ref="T1" authorId="1" shapeId="0" xr:uid="{099EA61F-5CA2-4FE0-B266-65E03C2B088F}">
      <text>
        <t>[Threaded comment]
Your version of Excel allows you to read this threaded comment; however, any edits to it will get removed if the file is opened in a newer version of Excel. Learn more: https://go.microsoft.com/fwlink/?linkid=870924
Comment:
    Shares traded at prior running day
Reply:
    Is there overhead supply above the market open price from a prior day?</t>
      </text>
    </comment>
    <comment ref="V1" authorId="2" shapeId="0" xr:uid="{6C23FFD6-32EF-4970-A237-69FA28490A1E}">
      <text>
        <t>[Threaded comment]
Your version of Excel allows you to read this threaded comment; however, any edits to it will get removed if the file is opened in a newer version of Excel. Learn more: https://go.microsoft.com/fwlink/?linkid=870924
Comment:
    Morning Drop: Time from open until bottom 
Level hold: Time from open until bottom
Midday Squeeze: From Hi of move to the lowest low is created
Reply:
    If there are two matching lows before squeeze, take the time of the one nearest to the squeeze.</t>
      </text>
    </comment>
    <comment ref="W1" authorId="3" shapeId="0" xr:uid="{593819FF-931A-4AF8-8682-868F133110E5}">
      <text>
        <t>[Threaded comment]
Your version of Excel allows you to read this threaded comment; however, any edits to it will get removed if the file is opened in a newer version of Excel. Learn more: https://go.microsoft.com/fwlink/?linkid=870924
Comment:
    1 minute past the nearest local minimum (found on 3 minute line chart) to squeeze</t>
      </text>
    </comment>
    <comment ref="Y1" authorId="4" shapeId="0" xr:uid="{095375AE-8324-4E7E-8B28-BEA642259C1B}">
      <text>
        <t>[Threaded comment]
Your version of Excel allows you to read this threaded comment; however, any edits to it will get removed if the file is opened in a newer version of Excel. Learn more: https://go.microsoft.com/fwlink/?linkid=870924
Comment:
    This is from the ideal entry point to the top of the move.</t>
      </text>
    </comment>
    <comment ref="AE1" authorId="5" shapeId="0" xr:uid="{F34480D3-8B9E-4945-B661-B3677F7C3BB0}">
      <text>
        <t>[Threaded comment]
Your version of Excel allows you to read this threaded comment; however, any edits to it will get removed if the file is opened in a newer version of Excel. Learn more: https://go.microsoft.com/fwlink/?linkid=870924
Comment:
    Bottom to top
Reply:
    Lowest point from after open local minimum
Reply:
    The point at which the top is formed is when there is a lower lo on a 5 minute line chart.</t>
      </text>
    </comment>
    <comment ref="AJ1" authorId="6" shapeId="0" xr:uid="{4EAB0F34-2C9F-431D-B587-6B0E7F8CAB0A}">
      <text>
        <t>[Threaded comment]
Your version of Excel allows you to read this threaded comment; however, any edits to it will get removed if the file is opened in a newer version of Excel. Learn more: https://go.microsoft.com/fwlink/?linkid=870924
Comment:
    Take the dollar amount from the close to hi of premarket then take the dollar amount from the pm hi to the open price. Divide hi to open by close to hi.</t>
      </text>
    </comment>
    <comment ref="AM1" authorId="7" shapeId="0" xr:uid="{A925F336-C120-4657-BBC2-68E377F68630}">
      <text>
        <t>[Threaded comment]
Your version of Excel allows you to read this threaded comment; however, any edits to it will get removed if the file is opened in a newer version of Excel. Learn more: https://go.microsoft.com/fwlink/?linkid=870924
Comment:
    *Use trendline, DO NOT DIVIDE PULLBACK FROM PRIOR MOVE. Use basic trendline to measure relative pullback. 
Start from opening price to the low of the absolute extremum (relative to this move, and after market open). 
Go to bottom of wick.</t>
      </text>
    </comment>
    <comment ref="AP1" authorId="8" shapeId="0" xr:uid="{7C5B32D1-4A8E-4082-B166-CDE220C905CF}">
      <text>
        <t>[Threaded comment]
Your version of Excel allows you to read this threaded comment; however, any edits to it will get removed if the file is opened in a newer version of Excel. Learn more: https://go.microsoft.com/fwlink/?linkid=870924
Comment:
    Take the dollar amount of close of prior day to the high of premarket. Then take the high of day to the absolute minimum to the right of the high prior to the morning squeeze.
Reply:
    Take the highest dollar amount the stock reaches before the drop, can be after open.</t>
      </text>
    </comment>
    <comment ref="A5" authorId="9" shapeId="0" xr:uid="{8BAB108D-513F-4484-8A41-E29B992C1C05}">
      <text>
        <r>
          <rPr>
            <b/>
            <sz val="9"/>
            <color indexed="81"/>
            <rFont val="Tahoma"/>
            <family val="2"/>
          </rPr>
          <t>Michael G:</t>
        </r>
        <r>
          <rPr>
            <sz val="9"/>
            <color indexed="81"/>
            <rFont val="Tahoma"/>
            <family val="2"/>
          </rPr>
          <t xml:space="preserve">
Possible hi of squeeze change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tc={8F2D3DF7-1B86-44BA-854C-2918B13F9A9F}</author>
    <author>tc={13917B21-BBBE-40B0-8DB8-96B9B1B3B7F3}</author>
    <author>tc={55922BB1-5A1E-41C6-A79A-273E8A971865}</author>
    <author>tc={677A6B2E-2308-4D42-A944-19133C0ADA0E}</author>
    <author>tc={638D87D4-231B-4597-8ACF-8A09421F3618}</author>
    <author>tc={CB89E82A-6602-4C2C-BF2A-5EC05C26EB1A}</author>
    <author>tc={447F82C6-6F01-4CA6-B4D0-E1BA08F322C2}</author>
    <author>tc={06E02266-EE04-4210-8117-FD2F26959147}</author>
    <author>tc={477E6204-F2D9-4AF6-BDD5-097BB590938A}</author>
    <author>Michael G</author>
  </authors>
  <commentList>
    <comment ref="L1" authorId="0" shapeId="0" xr:uid="{8F2D3DF7-1B86-44BA-854C-2918B13F9A9F}">
      <text>
        <t>[Threaded comment]
Your version of Excel allows you to read this threaded comment; however, any edits to it will get removed if the file is opened in a newer version of Excel. Learn more: https://go.microsoft.com/fwlink/?linkid=870924
Comment:
    Highest point after premarket
Reply:
    High should not be before squeeze and after premarket. Hi in this case should only be created after squeeze.</t>
      </text>
    </comment>
    <comment ref="S1" authorId="1" shapeId="0" xr:uid="{13917B21-BBBE-40B0-8DB8-96B9B1B3B7F3}">
      <text>
        <t>[Threaded comment]
Your version of Excel allows you to read this threaded comment; however, any edits to it will get removed if the file is opened in a newer version of Excel. Learn more: https://go.microsoft.com/fwlink/?linkid=870924
Comment:
    Shares traded at prior running day
Reply:
    Is there overhead supply above the market open price from a prior day?</t>
      </text>
    </comment>
    <comment ref="U1" authorId="2" shapeId="0" xr:uid="{55922BB1-5A1E-41C6-A79A-273E8A971865}">
      <text>
        <t>[Threaded comment]
Your version of Excel allows you to read this threaded comment; however, any edits to it will get removed if the file is opened in a newer version of Excel. Learn more: https://go.microsoft.com/fwlink/?linkid=870924
Comment:
    Morning Drop: Time from open until bottom 
Level hold: Time from open until bottom
Midday Squeeze: From Hi of move to the lowest low is created
Reply:
    If there are two matching lows before squeeze, take the time of the one nearest to the squeeze.</t>
      </text>
    </comment>
    <comment ref="V1" authorId="3" shapeId="0" xr:uid="{677A6B2E-2308-4D42-A944-19133C0ADA0E}">
      <text>
        <t>[Threaded comment]
Your version of Excel allows you to read this threaded comment; however, any edits to it will get removed if the file is opened in a newer version of Excel. Learn more: https://go.microsoft.com/fwlink/?linkid=870924
Comment:
    1 minute past the nearest local minimum (found on 3 minute line chart) to squeeze</t>
      </text>
    </comment>
    <comment ref="X1" authorId="4" shapeId="0" xr:uid="{638D87D4-231B-4597-8ACF-8A09421F3618}">
      <text>
        <t>[Threaded comment]
Your version of Excel allows you to read this threaded comment; however, any edits to it will get removed if the file is opened in a newer version of Excel. Learn more: https://go.microsoft.com/fwlink/?linkid=870924
Comment:
    This is from the ideal entry point to the top of the move.</t>
      </text>
    </comment>
    <comment ref="AD1" authorId="5" shapeId="0" xr:uid="{CB89E82A-6602-4C2C-BF2A-5EC05C26EB1A}">
      <text>
        <t>[Threaded comment]
Your version of Excel allows you to read this threaded comment; however, any edits to it will get removed if the file is opened in a newer version of Excel. Learn more: https://go.microsoft.com/fwlink/?linkid=870924
Comment:
    Bottom to top
Reply:
    Lowest point from after open local minimum
Reply:
    The point at which the top is formed is when there is a lower lo on a 5 minute line chart.</t>
      </text>
    </comment>
    <comment ref="AI1" authorId="6" shapeId="0" xr:uid="{447F82C6-6F01-4CA6-B4D0-E1BA08F322C2}">
      <text>
        <t>[Threaded comment]
Your version of Excel allows you to read this threaded comment; however, any edits to it will get removed if the file is opened in a newer version of Excel. Learn more: https://go.microsoft.com/fwlink/?linkid=870924
Comment:
    Take the dollar amount from the close to hi of premarket then take the dollar amount from the pm hi to the open price. Divide hi to open by close to hi.</t>
      </text>
    </comment>
    <comment ref="AL1" authorId="7" shapeId="0" xr:uid="{06E02266-EE04-4210-8117-FD2F26959147}">
      <text>
        <t>[Threaded comment]
Your version of Excel allows you to read this threaded comment; however, any edits to it will get removed if the file is opened in a newer version of Excel. Learn more: https://go.microsoft.com/fwlink/?linkid=870924
Comment:
    *Use trendline, DO NOT DIVIDE PULLBACK FROM PRIOR MOVE. Use basic trendline to measure relative pullback. 
Start from opening price to the low of the absolute extremum (relative to this move, and after market open). 
Go to bottom of wick.</t>
      </text>
    </comment>
    <comment ref="AO1" authorId="8" shapeId="0" xr:uid="{477E6204-F2D9-4AF6-BDD5-097BB590938A}">
      <text>
        <t>[Threaded comment]
Your version of Excel allows you to read this threaded comment; however, any edits to it will get removed if the file is opened in a newer version of Excel. Learn more: https://go.microsoft.com/fwlink/?linkid=870924
Comment:
    Take the dollar amount of close of prior day to the high of premarket. Then take the high of day to the absolute minimum to the right of the high prior to the morning squeeze.
Reply:
    Take the highest dollar amount the stock reaches before the drop, can be after open.</t>
      </text>
    </comment>
    <comment ref="A21" authorId="9" shapeId="0" xr:uid="{2FA11283-A6B6-4DC0-9562-AB1B2F8CB604}">
      <text>
        <r>
          <rPr>
            <b/>
            <sz val="9"/>
            <color indexed="81"/>
            <rFont val="Tahoma"/>
            <family val="2"/>
          </rPr>
          <t>Michael G:</t>
        </r>
        <r>
          <rPr>
            <sz val="9"/>
            <color indexed="81"/>
            <rFont val="Tahoma"/>
            <family val="2"/>
          </rPr>
          <t xml:space="preserve">
Possible hi of squeeze change
</t>
        </r>
      </text>
    </comment>
  </commentList>
</comments>
</file>

<file path=xl/sharedStrings.xml><?xml version="1.0" encoding="utf-8"?>
<sst xmlns="http://schemas.openxmlformats.org/spreadsheetml/2006/main" count="1337" uniqueCount="264">
  <si>
    <t>Ticker</t>
  </si>
  <si>
    <t>Date</t>
  </si>
  <si>
    <t>Prior day close</t>
  </si>
  <si>
    <t>PM Open Price</t>
  </si>
  <si>
    <t>PM Hi</t>
  </si>
  <si>
    <t>PM LO</t>
  </si>
  <si>
    <t>PM Lo After PM Hi</t>
  </si>
  <si>
    <t>MKT Open Price</t>
  </si>
  <si>
    <t>Hi of Spike after open before drop</t>
  </si>
  <si>
    <t>Lowest lo from open to squeeze</t>
  </si>
  <si>
    <t>HOD AFTER PM HI</t>
  </si>
  <si>
    <t>Price at hi of squeeze</t>
  </si>
  <si>
    <t>Volume</t>
  </si>
  <si>
    <t>Volume ($M)</t>
  </si>
  <si>
    <t>MKT CAP(M)</t>
  </si>
  <si>
    <t>FLOAT(M)</t>
  </si>
  <si>
    <t>PM Trend</t>
  </si>
  <si>
    <t>PM VOL</t>
  </si>
  <si>
    <t>Overhead supply above 20m (Y/N)</t>
  </si>
  <si>
    <t>Day 1 (Y/N)</t>
  </si>
  <si>
    <t>Time until lowest lo (mins) from open</t>
  </si>
  <si>
    <t>Time until ideal entry point (mins) from open</t>
  </si>
  <si>
    <t>Entry Price</t>
  </si>
  <si>
    <t>Duration of frontside (mins)</t>
  </si>
  <si>
    <t>Time of Entry</t>
  </si>
  <si>
    <t>Prior Close to PM Hi %</t>
  </si>
  <si>
    <t>Full day % Change</t>
  </si>
  <si>
    <t>Squeeze % from open</t>
  </si>
  <si>
    <t>Squeeze % above PM HI</t>
  </si>
  <si>
    <t>Squeeze %</t>
  </si>
  <si>
    <t>PM Float Rotations</t>
  </si>
  <si>
    <t>Float Rotations per day</t>
  </si>
  <si>
    <t>Spike % on open before drop</t>
  </si>
  <si>
    <t xml:space="preserve">Pullback from spike </t>
  </si>
  <si>
    <t>Pullback % from open</t>
  </si>
  <si>
    <t>Retracement of Prior Move % until lowerst low (Not relative)</t>
  </si>
  <si>
    <t>Retracement of prior move w/ if pm lo &lt; prior day close</t>
  </si>
  <si>
    <t>Retracement of prior move % until lowest lo (relative to day)</t>
  </si>
  <si>
    <t>Time until ideal entry + 390 (6:30)</t>
  </si>
  <si>
    <t>Time until top</t>
  </si>
  <si>
    <t>GENE</t>
  </si>
  <si>
    <t>N</t>
  </si>
  <si>
    <t>ANGI</t>
  </si>
  <si>
    <t>Y</t>
  </si>
  <si>
    <t>ARRY</t>
  </si>
  <si>
    <t>CNET</t>
  </si>
  <si>
    <t>PTI</t>
  </si>
  <si>
    <t>RKDA</t>
  </si>
  <si>
    <t>BPTH</t>
  </si>
  <si>
    <t>ALT</t>
  </si>
  <si>
    <t>TROV</t>
  </si>
  <si>
    <t>DERM</t>
  </si>
  <si>
    <t>OPTT</t>
  </si>
  <si>
    <t>Uptrend</t>
  </si>
  <si>
    <t>OTLK</t>
  </si>
  <si>
    <t>PRVB</t>
  </si>
  <si>
    <t>AGTC</t>
  </si>
  <si>
    <t>SNCA</t>
  </si>
  <si>
    <t>APRN</t>
  </si>
  <si>
    <t>IMAC</t>
  </si>
  <si>
    <t>ASTC</t>
  </si>
  <si>
    <t>GPMT</t>
  </si>
  <si>
    <t xml:space="preserve">BKYI </t>
  </si>
  <si>
    <t>SPCB</t>
  </si>
  <si>
    <t>DPW</t>
  </si>
  <si>
    <t>CLSK</t>
  </si>
  <si>
    <t>WORX</t>
  </si>
  <si>
    <t>MDGS</t>
  </si>
  <si>
    <t>YTEN</t>
  </si>
  <si>
    <t>SRNE</t>
  </si>
  <si>
    <t>NNDM</t>
  </si>
  <si>
    <t>W</t>
  </si>
  <si>
    <t>HX</t>
  </si>
  <si>
    <t>ABIO</t>
  </si>
  <si>
    <t>Y, but opened above</t>
  </si>
  <si>
    <t>TENX</t>
  </si>
  <si>
    <t>GNUS</t>
  </si>
  <si>
    <t>SAVA</t>
  </si>
  <si>
    <t>CIDM</t>
  </si>
  <si>
    <t>WLL</t>
  </si>
  <si>
    <t>BORR</t>
  </si>
  <si>
    <t>IMRN</t>
  </si>
  <si>
    <t>NAKD</t>
  </si>
  <si>
    <t>CRIS</t>
  </si>
  <si>
    <t>WAFU</t>
  </si>
  <si>
    <t>LMFA</t>
  </si>
  <si>
    <t>IDEX</t>
  </si>
  <si>
    <t>HTZ</t>
  </si>
  <si>
    <t>SINT</t>
  </si>
  <si>
    <t>EKSO</t>
  </si>
  <si>
    <t>WKHS</t>
  </si>
  <si>
    <t>POLA</t>
  </si>
  <si>
    <t>MYOS</t>
  </si>
  <si>
    <t>AYRO</t>
  </si>
  <si>
    <t>SOLO</t>
  </si>
  <si>
    <t>WIMI</t>
  </si>
  <si>
    <t>ECOR</t>
  </si>
  <si>
    <t>NBY</t>
  </si>
  <si>
    <t>INMB</t>
  </si>
  <si>
    <t xml:space="preserve">GENE </t>
  </si>
  <si>
    <t>VRNA</t>
  </si>
  <si>
    <t>MTP</t>
  </si>
  <si>
    <t>SNDE</t>
  </si>
  <si>
    <t>Downtrend</t>
  </si>
  <si>
    <t xml:space="preserve"> KODK</t>
  </si>
  <si>
    <t>KODK</t>
  </si>
  <si>
    <t>MARA</t>
  </si>
  <si>
    <t>MCRB</t>
  </si>
  <si>
    <t>MESO</t>
  </si>
  <si>
    <t>GEVO</t>
  </si>
  <si>
    <t xml:space="preserve">BRQS </t>
  </si>
  <si>
    <t>LUB</t>
  </si>
  <si>
    <t>MRNS</t>
  </si>
  <si>
    <t>SPI</t>
  </si>
  <si>
    <t>SLDB</t>
  </si>
  <si>
    <t>Range</t>
  </si>
  <si>
    <t>PPSI</t>
  </si>
  <si>
    <t>AREC</t>
  </si>
  <si>
    <t>PECK</t>
  </si>
  <si>
    <t>AGE</t>
  </si>
  <si>
    <t>VVPR</t>
  </si>
  <si>
    <t>LIZI</t>
  </si>
  <si>
    <t>IDXG</t>
  </si>
  <si>
    <t>Downtrend Range</t>
  </si>
  <si>
    <t>KXIN</t>
  </si>
  <si>
    <t>CBLI</t>
  </si>
  <si>
    <t>TGC</t>
  </si>
  <si>
    <t>Uptrend Range</t>
  </si>
  <si>
    <t>UUU</t>
  </si>
  <si>
    <t>BLRX</t>
  </si>
  <si>
    <t xml:space="preserve">Range </t>
  </si>
  <si>
    <t>WISA</t>
  </si>
  <si>
    <t xml:space="preserve">GTEC </t>
  </si>
  <si>
    <t>CBAT</t>
  </si>
  <si>
    <t>DNK</t>
  </si>
  <si>
    <t>LXRX</t>
  </si>
  <si>
    <t>XBIO</t>
  </si>
  <si>
    <t>ACY</t>
  </si>
  <si>
    <t>IPDN</t>
  </si>
  <si>
    <t>ANTE</t>
  </si>
  <si>
    <t>CYTH</t>
  </si>
  <si>
    <t>AIKI</t>
  </si>
  <si>
    <t>W/L</t>
  </si>
  <si>
    <t>L</t>
  </si>
  <si>
    <t>GRNQ</t>
  </si>
  <si>
    <t>HAPP</t>
  </si>
  <si>
    <t>ACOR</t>
  </si>
  <si>
    <t>Dowtrend Range</t>
  </si>
  <si>
    <t>Uptrend range</t>
  </si>
  <si>
    <t>AVGR</t>
  </si>
  <si>
    <t>OBSv</t>
  </si>
  <si>
    <t>Yes</t>
  </si>
  <si>
    <t>Opening Price % Retracement of Prior Move</t>
  </si>
  <si>
    <t>Opening Price % Retracement of Prior Move (relative to day)</t>
  </si>
  <si>
    <t xml:space="preserve">Pullback % from open (relative to day) </t>
  </si>
  <si>
    <t>CLBS</t>
  </si>
  <si>
    <t>APM</t>
  </si>
  <si>
    <t>ADMP</t>
  </si>
  <si>
    <t>OBLN</t>
  </si>
  <si>
    <t>ADXS</t>
  </si>
  <si>
    <t>IMBI</t>
  </si>
  <si>
    <t>NVAX</t>
  </si>
  <si>
    <t>CODX</t>
  </si>
  <si>
    <t>LLIT</t>
  </si>
  <si>
    <t>TNXP</t>
  </si>
  <si>
    <t>APT</t>
  </si>
  <si>
    <t>UVXY</t>
  </si>
  <si>
    <t>AHPI</t>
  </si>
  <si>
    <t>KPTI</t>
  </si>
  <si>
    <t>CANF</t>
  </si>
  <si>
    <t>AIM</t>
  </si>
  <si>
    <t>INO</t>
  </si>
  <si>
    <t>BLPH</t>
  </si>
  <si>
    <t>MEIP</t>
  </si>
  <si>
    <t>APDN</t>
  </si>
  <si>
    <t>ATOS</t>
  </si>
  <si>
    <t>THMO</t>
  </si>
  <si>
    <t>WATT</t>
  </si>
  <si>
    <t>VXRT</t>
  </si>
  <si>
    <t>CPAH</t>
  </si>
  <si>
    <t>SNGX</t>
  </si>
  <si>
    <t>GSUM</t>
  </si>
  <si>
    <t>GNPX</t>
  </si>
  <si>
    <t>APOP</t>
  </si>
  <si>
    <t>MARK</t>
  </si>
  <si>
    <t>NNVC</t>
  </si>
  <si>
    <t>DVAX</t>
  </si>
  <si>
    <t>PHUN</t>
  </si>
  <si>
    <t>CETX</t>
  </si>
  <si>
    <t>SECO</t>
  </si>
  <si>
    <t>TMDI</t>
  </si>
  <si>
    <t>IZEA</t>
  </si>
  <si>
    <t>TEUM</t>
  </si>
  <si>
    <t>ROSEU</t>
  </si>
  <si>
    <t>OPHC</t>
  </si>
  <si>
    <t>NTN</t>
  </si>
  <si>
    <t>CARV</t>
  </si>
  <si>
    <t>UONEK</t>
  </si>
  <si>
    <t>EVOk</t>
  </si>
  <si>
    <t>IBIO</t>
  </si>
  <si>
    <t>JOB</t>
  </si>
  <si>
    <t>RETO</t>
  </si>
  <si>
    <t>IFRX</t>
  </si>
  <si>
    <t>MBRX</t>
  </si>
  <si>
    <t>SCKT</t>
  </si>
  <si>
    <t>HTBX</t>
  </si>
  <si>
    <t>KNDI</t>
  </si>
  <si>
    <t>SSNT</t>
  </si>
  <si>
    <t>AVCT</t>
  </si>
  <si>
    <t>CNDT</t>
  </si>
  <si>
    <t>BOXL</t>
  </si>
  <si>
    <t>MBOT</t>
  </si>
  <si>
    <t>BDR</t>
  </si>
  <si>
    <t>AESE</t>
  </si>
  <si>
    <t>TYME</t>
  </si>
  <si>
    <t>MOXC</t>
  </si>
  <si>
    <t>NSYS</t>
  </si>
  <si>
    <t>EARS</t>
  </si>
  <si>
    <t>BFRA</t>
  </si>
  <si>
    <t>WPRT</t>
  </si>
  <si>
    <t>NAOV</t>
  </si>
  <si>
    <t>PLL</t>
  </si>
  <si>
    <t>HUSA</t>
  </si>
  <si>
    <t>ITRM</t>
  </si>
  <si>
    <t>ENLV</t>
  </si>
  <si>
    <t>CRVS</t>
  </si>
  <si>
    <t>WWR</t>
  </si>
  <si>
    <t>SNMP</t>
  </si>
  <si>
    <t>OCX</t>
  </si>
  <si>
    <t>HUSN</t>
  </si>
  <si>
    <t>AIHS</t>
  </si>
  <si>
    <t>BGI</t>
  </si>
  <si>
    <t>YVR</t>
  </si>
  <si>
    <t>AMC</t>
  </si>
  <si>
    <t>CCL</t>
  </si>
  <si>
    <t>FRSX</t>
  </si>
  <si>
    <t>PSHG</t>
  </si>
  <si>
    <t>ZCMD</t>
  </si>
  <si>
    <t>EVK</t>
  </si>
  <si>
    <t>NURO</t>
  </si>
  <si>
    <t>ZKIN</t>
  </si>
  <si>
    <t>AEMD</t>
  </si>
  <si>
    <t>XSPA</t>
  </si>
  <si>
    <t>AMTX</t>
  </si>
  <si>
    <t>INDO</t>
  </si>
  <si>
    <t>NETE</t>
  </si>
  <si>
    <t>NCTY</t>
  </si>
  <si>
    <t>FTFT</t>
  </si>
  <si>
    <t>BNGO</t>
  </si>
  <si>
    <t>EXPR</t>
  </si>
  <si>
    <t>CHRA</t>
  </si>
  <si>
    <t>NERV</t>
  </si>
  <si>
    <t>AUPH</t>
  </si>
  <si>
    <t>KOSS</t>
  </si>
  <si>
    <t>OXBR</t>
  </si>
  <si>
    <t>CATB</t>
  </si>
  <si>
    <t>UT</t>
  </si>
  <si>
    <t>Wins</t>
  </si>
  <si>
    <t>Losses</t>
  </si>
  <si>
    <t/>
  </si>
  <si>
    <t>MEAN</t>
  </si>
  <si>
    <t>MAX</t>
  </si>
  <si>
    <t xml:space="preserve">MIN </t>
  </si>
  <si>
    <t>STD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</si>
</sst>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F400]h:mm:ss\ AM/PM"/>
    <numFmt numFmtId="165" formatCode="_(* #,##0.000_);_(* \(#,##0.000\);_(* &quot;-&quot;??_);_(@_)"/>
  </numFmts>
  <fonts count="10" x14ac:knownFonts="1">
    <font>
      <sz val="11"/>
      <color theme="1"/>
      <name val="Calibri"/>
      <family val="2"/>
      <scheme val="minor"/>
    </font>
    <font>
      <sz val="11"/>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0"/>
      <name val="Calibri"/>
      <family val="2"/>
      <scheme val="minor"/>
    </font>
    <font>
      <b/>
      <sz val="9"/>
      <color indexed="81"/>
      <name val="Tahoma"/>
      <family val="2"/>
    </font>
    <font>
      <sz val="9"/>
      <color indexed="81"/>
      <name val="Tahoma"/>
      <family val="2"/>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theme="1" tint="0.34998626667073579"/>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3" tint="0.39997558519241921"/>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cellStyleXfs>
  <cellXfs count="67">
    <xf numFmtId="0" fontId="0" fillId="0" borderId="0" xfId="0"/>
    <xf numFmtId="0" fontId="4" fillId="0" borderId="0" xfId="0" applyFont="1" applyAlignment="1">
      <alignment wrapText="1"/>
    </xf>
    <xf numFmtId="14" fontId="6" fillId="0" borderId="0" xfId="0" applyNumberFormat="1" applyFont="1" applyAlignment="1">
      <alignment wrapText="1"/>
    </xf>
    <xf numFmtId="0" fontId="0" fillId="0" borderId="0" xfId="0" applyAlignment="1">
      <alignment wrapText="1"/>
    </xf>
    <xf numFmtId="9" fontId="0" fillId="0" borderId="0" xfId="3" applyFont="1" applyAlignment="1">
      <alignment wrapText="1"/>
    </xf>
    <xf numFmtId="43" fontId="0" fillId="0" borderId="0" xfId="1" applyFont="1" applyAlignment="1">
      <alignment wrapText="1"/>
    </xf>
    <xf numFmtId="44" fontId="0" fillId="0" borderId="0" xfId="2" applyFont="1" applyAlignment="1">
      <alignment wrapText="1"/>
    </xf>
    <xf numFmtId="164" fontId="6" fillId="0" borderId="0" xfId="0" applyNumberFormat="1" applyFont="1" applyAlignment="1">
      <alignment wrapText="1"/>
    </xf>
    <xf numFmtId="0" fontId="0" fillId="0" borderId="0" xfId="3" applyNumberFormat="1" applyFont="1" applyAlignment="1">
      <alignment wrapText="1"/>
    </xf>
    <xf numFmtId="165" fontId="0" fillId="0" borderId="0" xfId="1" applyNumberFormat="1" applyFont="1" applyAlignment="1">
      <alignment wrapText="1"/>
    </xf>
    <xf numFmtId="0" fontId="4" fillId="0" borderId="0" xfId="0" applyFont="1"/>
    <xf numFmtId="14" fontId="6" fillId="0" borderId="0" xfId="0" applyNumberFormat="1" applyFont="1"/>
    <xf numFmtId="44" fontId="0" fillId="0" borderId="0" xfId="2" applyFont="1"/>
    <xf numFmtId="43" fontId="0" fillId="0" borderId="0" xfId="1" applyFont="1"/>
    <xf numFmtId="43" fontId="0" fillId="0" borderId="0" xfId="0" applyNumberFormat="1"/>
    <xf numFmtId="46" fontId="6" fillId="0" borderId="0" xfId="0" applyNumberFormat="1" applyFont="1"/>
    <xf numFmtId="9" fontId="0" fillId="0" borderId="0" xfId="3" applyFont="1" applyFill="1"/>
    <xf numFmtId="0" fontId="0" fillId="0" borderId="0" xfId="3" applyNumberFormat="1" applyFont="1"/>
    <xf numFmtId="9" fontId="0" fillId="0" borderId="0" xfId="3" applyFont="1"/>
    <xf numFmtId="2" fontId="0" fillId="0" borderId="0" xfId="3" applyNumberFormat="1" applyFont="1"/>
    <xf numFmtId="165" fontId="0" fillId="0" borderId="0" xfId="1" applyNumberFormat="1" applyFont="1"/>
    <xf numFmtId="2" fontId="0" fillId="0" borderId="0" xfId="0" applyNumberFormat="1"/>
    <xf numFmtId="20" fontId="0" fillId="0" borderId="0" xfId="3" applyNumberFormat="1" applyFont="1"/>
    <xf numFmtId="2" fontId="0" fillId="0" borderId="0" xfId="1" applyNumberFormat="1" applyFont="1"/>
    <xf numFmtId="0" fontId="5" fillId="0" borderId="0" xfId="6" applyFill="1"/>
    <xf numFmtId="0" fontId="5" fillId="0" borderId="0" xfId="6"/>
    <xf numFmtId="0" fontId="3" fillId="3" borderId="0" xfId="5"/>
    <xf numFmtId="14" fontId="3" fillId="3" borderId="0" xfId="5" applyNumberFormat="1"/>
    <xf numFmtId="44" fontId="3" fillId="3" borderId="0" xfId="5" applyNumberFormat="1"/>
    <xf numFmtId="43" fontId="3" fillId="3" borderId="0" xfId="5" applyNumberFormat="1"/>
    <xf numFmtId="46" fontId="3" fillId="3" borderId="0" xfId="5" applyNumberFormat="1"/>
    <xf numFmtId="9" fontId="3" fillId="3" borderId="0" xfId="5" applyNumberFormat="1"/>
    <xf numFmtId="0" fontId="3" fillId="3" borderId="0" xfId="5" applyNumberFormat="1"/>
    <xf numFmtId="9" fontId="3" fillId="3" borderId="0" xfId="3" applyFont="1" applyFill="1"/>
    <xf numFmtId="2" fontId="3" fillId="3" borderId="0" xfId="5" applyNumberFormat="1"/>
    <xf numFmtId="165" fontId="3" fillId="3" borderId="0" xfId="5" applyNumberFormat="1"/>
    <xf numFmtId="0" fontId="2" fillId="2" borderId="0" xfId="4"/>
    <xf numFmtId="43" fontId="0" fillId="0" borderId="0" xfId="1" applyFont="1" applyFill="1"/>
    <xf numFmtId="0" fontId="0" fillId="0" borderId="0" xfId="3" applyNumberFormat="1" applyFont="1" applyFill="1"/>
    <xf numFmtId="44" fontId="0" fillId="0" borderId="0" xfId="2" applyFont="1" applyFill="1"/>
    <xf numFmtId="46" fontId="6" fillId="0" borderId="0" xfId="1" applyNumberFormat="1" applyFont="1"/>
    <xf numFmtId="46" fontId="6" fillId="0" borderId="0" xfId="3" applyNumberFormat="1" applyFont="1"/>
    <xf numFmtId="9" fontId="0" fillId="0" borderId="0" xfId="2" applyNumberFormat="1" applyFont="1"/>
    <xf numFmtId="0" fontId="7" fillId="0" borderId="0" xfId="6" applyFont="1" applyFill="1"/>
    <xf numFmtId="14" fontId="5" fillId="0" borderId="0" xfId="6" applyNumberFormat="1"/>
    <xf numFmtId="14" fontId="5" fillId="0" borderId="0" xfId="6" applyNumberFormat="1" applyFill="1"/>
    <xf numFmtId="0" fontId="0" fillId="0" borderId="0" xfId="0" applyFill="1"/>
    <xf numFmtId="14" fontId="6" fillId="0" borderId="0" xfId="0" applyNumberFormat="1" applyFont="1" applyFill="1"/>
    <xf numFmtId="9" fontId="0" fillId="0" borderId="0" xfId="3" applyNumberFormat="1" applyFont="1"/>
    <xf numFmtId="0" fontId="4" fillId="0" borderId="0" xfId="0" applyFont="1" applyFill="1"/>
    <xf numFmtId="2" fontId="0" fillId="0" borderId="0" xfId="2" applyNumberFormat="1" applyFont="1"/>
    <xf numFmtId="164" fontId="0" fillId="0" borderId="0" xfId="3"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Font="1" applyAlignment="1"/>
    <xf numFmtId="0" fontId="0" fillId="5" borderId="0" xfId="0" applyFill="1"/>
    <xf numFmtId="0" fontId="0" fillId="0" borderId="0" xfId="0" applyAlignment="1"/>
    <xf numFmtId="0" fontId="0" fillId="0" borderId="0" xfId="0" quotePrefix="1"/>
    <xf numFmtId="9" fontId="0" fillId="0" borderId="4" xfId="0" applyNumberFormat="1" applyBorder="1"/>
    <xf numFmtId="0" fontId="0" fillId="4"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0" borderId="0" xfId="0" applyAlignment="1">
      <alignment horizontal="center"/>
    </xf>
  </cellXfs>
  <cellStyles count="7">
    <cellStyle name="Bad" xfId="4" builtinId="27"/>
    <cellStyle name="Comma" xfId="1" builtinId="3"/>
    <cellStyle name="Currency" xfId="2" builtinId="4"/>
    <cellStyle name="Hyperlink" xfId="6" builtinId="8"/>
    <cellStyle name="Neutral" xfId="5" builtinId="28"/>
    <cellStyle name="Normal" xfId="0" builtinId="0"/>
    <cellStyle name="Percent" xfId="3" builtinId="5"/>
  </cellStyles>
  <dxfs count="179">
    <dxf>
      <font>
        <color rgb="FF006100"/>
      </font>
      <fill>
        <patternFill>
          <bgColor rgb="FFC6EFCE"/>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theme="9" tint="-0.24994659260841701"/>
        </patternFill>
      </fill>
    </dxf>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theme="0"/>
      </font>
      <fill>
        <patternFill>
          <bgColor rgb="FFA50021"/>
        </patternFill>
      </fill>
    </dxf>
    <dxf>
      <fill>
        <patternFill>
          <bgColor rgb="FFFF33CC"/>
        </patternFill>
      </fill>
      <border>
        <vertical/>
        <horizontal/>
      </border>
    </dxf>
    <dxf>
      <fill>
        <gradientFill degree="90">
          <stop position="0">
            <color theme="9" tint="0.40000610370189521"/>
          </stop>
          <stop position="1">
            <color rgb="FFFF66FF"/>
          </stop>
        </gradientFill>
      </fill>
    </dxf>
    <dxf>
      <font>
        <color rgb="FF006100"/>
      </font>
      <fill>
        <patternFill>
          <bgColor rgb="FFC6EFCE"/>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theme="9" tint="-0.24994659260841701"/>
        </patternFill>
      </fill>
    </dxf>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theme="0"/>
      </font>
      <fill>
        <patternFill>
          <bgColor rgb="FFA50021"/>
        </patternFill>
      </fill>
    </dxf>
    <dxf>
      <fill>
        <patternFill>
          <bgColor rgb="FFFF33CC"/>
        </patternFill>
      </fill>
      <border>
        <vertical/>
        <horizontal/>
      </border>
    </dxf>
    <dxf>
      <fill>
        <gradientFill degree="90">
          <stop position="0">
            <color theme="9" tint="0.40000610370189521"/>
          </stop>
          <stop position="1">
            <color rgb="FFFF66FF"/>
          </stop>
        </gradient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numFmt numFmtId="2" formatCode="0.00"/>
    </dxf>
    <dxf>
      <numFmt numFmtId="165" formatCode="_(* #,##0.000_);_(* \(#,##0.000\);_(* &quot;-&quot;??_);_(@_)"/>
    </dxf>
    <dxf>
      <font>
        <b val="0"/>
        <i val="0"/>
        <strike val="0"/>
        <condense val="0"/>
        <extend val="0"/>
        <outline val="0"/>
        <shadow val="0"/>
        <u val="none"/>
        <vertAlign val="baseline"/>
        <sz val="11"/>
        <color theme="1"/>
        <name val="Calibri"/>
        <family val="2"/>
        <scheme val="minor"/>
      </font>
      <numFmt numFmtId="165" formatCode="_(* #,##0.000_);_(* \(#,##0.000\);_(* &quot;-&quot;??_);_(@_)"/>
    </dxf>
    <dxf>
      <numFmt numFmtId="13" formatCode="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numFmt numFmtId="164" formatCode="[$-F400]h:mm:ss\ AM/PM"/>
    </dxf>
    <dxf>
      <font>
        <b val="0"/>
        <i/>
        <strike val="0"/>
        <condense val="0"/>
        <extend val="0"/>
        <outline val="0"/>
        <shadow val="0"/>
        <u val="none"/>
        <vertAlign val="baseline"/>
        <sz val="11"/>
        <color theme="1"/>
        <name val="Calibri"/>
        <family val="2"/>
        <scheme val="minor"/>
      </font>
      <numFmt numFmtId="31" formatCode="[h]:mm:ss"/>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numFmt numFmtId="19" formatCode="m/d/yyyy"/>
    </dxf>
    <dxf>
      <font>
        <b val="0"/>
        <i/>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i/>
      </font>
      <numFmt numFmtId="19" formatCode="m/d/yyyy"/>
    </dxf>
    <dxf>
      <font>
        <b/>
        <i val="0"/>
        <strike val="0"/>
        <condense val="0"/>
        <extend val="0"/>
        <outline val="0"/>
        <shadow val="0"/>
        <u val="none"/>
        <vertAlign val="baseline"/>
        <sz val="11"/>
        <color theme="1"/>
        <name val="Calibri"/>
        <family val="2"/>
        <scheme val="minor"/>
      </font>
    </dxf>
    <dxf>
      <font>
        <b/>
      </font>
    </dxf>
    <dxf>
      <border outline="0">
        <top style="double">
          <color rgb="FF3F3F3F"/>
        </top>
      </border>
    </dxf>
    <dxf>
      <border outline="0">
        <bottom style="double">
          <color rgb="FF3F3F3F"/>
        </bottom>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numFmt numFmtId="2" formatCode="0.00"/>
    </dxf>
    <dxf>
      <numFmt numFmtId="165" formatCode="_(* #,##0.000_);_(* \(#,##0.000\);_(* &quot;-&quot;??_);_(@_)"/>
    </dxf>
    <dxf>
      <font>
        <b val="0"/>
        <i val="0"/>
        <strike val="0"/>
        <condense val="0"/>
        <extend val="0"/>
        <outline val="0"/>
        <shadow val="0"/>
        <u val="none"/>
        <vertAlign val="baseline"/>
        <sz val="11"/>
        <color theme="1"/>
        <name val="Calibri"/>
        <family val="2"/>
        <scheme val="minor"/>
      </font>
      <numFmt numFmtId="165" formatCode="_(* #,##0.000_);_(* \(#,##0.000\);_(* &quot;-&quot;??_);_(@_)"/>
    </dxf>
    <dxf>
      <numFmt numFmtId="13" formatCode="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numFmt numFmtId="164" formatCode="[$-F400]h:mm:ss\ AM/PM"/>
    </dxf>
    <dxf>
      <font>
        <b val="0"/>
        <i/>
        <strike val="0"/>
        <condense val="0"/>
        <extend val="0"/>
        <outline val="0"/>
        <shadow val="0"/>
        <u val="none"/>
        <vertAlign val="baseline"/>
        <sz val="11"/>
        <color theme="1"/>
        <name val="Calibri"/>
        <family val="2"/>
        <scheme val="minor"/>
      </font>
      <numFmt numFmtId="31" formatCode="[h]:mm:ss"/>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numFmt numFmtId="19" formatCode="m/d/yyyy"/>
    </dxf>
    <dxf>
      <font>
        <b val="0"/>
        <i/>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i/>
      </font>
      <numFmt numFmtId="19" formatCode="m/d/yyyy"/>
    </dxf>
    <dxf>
      <font>
        <b/>
        <i val="0"/>
        <strike val="0"/>
        <condense val="0"/>
        <extend val="0"/>
        <outline val="0"/>
        <shadow val="0"/>
        <u val="none"/>
        <vertAlign val="baseline"/>
        <sz val="11"/>
        <color theme="1"/>
        <name val="Calibri"/>
        <family val="2"/>
        <scheme val="minor"/>
      </font>
    </dxf>
    <dxf>
      <font>
        <b/>
      </font>
    </dxf>
    <dxf>
      <border outline="0">
        <top style="double">
          <color rgb="FF3F3F3F"/>
        </top>
      </border>
    </dxf>
    <dxf>
      <border outline="0">
        <bottom style="double">
          <color rgb="FF3F3F3F"/>
        </bottom>
      </border>
    </dxf>
    <dxf>
      <alignment horizontal="general" vertical="bottom" textRotation="0" wrapText="1" indent="0" justifyLastLine="0" shrinkToFit="0" readingOrder="0"/>
    </dxf>
  </dxfs>
  <tableStyles count="0" defaultTableStyle="TableStyleMedium2" defaultPivotStyle="PivotStyleLight16"/>
  <colors>
    <mruColors>
      <color rgb="FFA36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Win/Losses/Untradeable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C59-4200-A597-7E2593E999B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C59-4200-A597-7E2593E999B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C59-4200-A597-7E2593E999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'Basic Analysis'!$P$31:$R$31</c:f>
              <c:strCache>
                <c:ptCount val="3"/>
                <c:pt idx="0">
                  <c:v>Wins</c:v>
                </c:pt>
                <c:pt idx="1">
                  <c:v>Losses</c:v>
                </c:pt>
                <c:pt idx="2">
                  <c:v>UT</c:v>
                </c:pt>
              </c:strCache>
            </c:strRef>
          </c:cat>
          <c:val>
            <c:numRef>
              <c:f>'Basic Analysis'!$P$32:$R$32</c:f>
              <c:numCache>
                <c:formatCode>General</c:formatCode>
                <c:ptCount val="3"/>
                <c:pt idx="0">
                  <c:v>100</c:v>
                </c:pt>
                <c:pt idx="1">
                  <c:v>27</c:v>
                </c:pt>
                <c:pt idx="2">
                  <c:v>42</c:v>
                </c:pt>
              </c:numCache>
            </c:numRef>
          </c:val>
          <c:extLst>
            <c:ext xmlns:c16="http://schemas.microsoft.com/office/drawing/2014/chart" uri="{C3380CC4-5D6E-409C-BE32-E72D297353CC}">
              <c16:uniqueId val="{00000006-BC59-4200-A597-7E2593E999B6}"/>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Float</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Float</a:t>
          </a:r>
        </a:p>
      </cx:txPr>
    </cx:title>
    <cx:plotArea>
      <cx:plotAreaRegion>
        <cx:series layoutId="clusteredColumn" uniqueId="{B8EBD176-5E91-4EEC-AAA3-1CF973BE2F8D}">
          <cx:dataLabels>
            <cx:visibility seriesName="0" categoryName="0" value="1"/>
          </cx:dataLabels>
          <cx:dataId val="0"/>
          <cx:layoutPr>
            <cx:binning intervalClosed="r" overflow="50">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MORNING GAP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MORNING GAP</a:t>
          </a:r>
        </a:p>
      </cx:txPr>
    </cx:title>
    <cx:plotArea>
      <cx:plotAreaRegion>
        <cx:series layoutId="clusteredColumn" uniqueId="{AE7FFC3B-F716-44DC-A745-83A9D0644E48}">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Pullback Percentage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Pullback Percentage</a:t>
          </a:r>
        </a:p>
      </cx:txPr>
    </cx:title>
    <cx:plotArea>
      <cx:plotAreaRegion>
        <cx:series layoutId="clusteredColumn" uniqueId="{F9E1FED3-55D0-468F-8054-A62ECEEC4BAE}">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600075</xdr:colOff>
      <xdr:row>4</xdr:row>
      <xdr:rowOff>133350</xdr:rowOff>
    </xdr:from>
    <xdr:to>
      <xdr:col>2</xdr:col>
      <xdr:colOff>257175</xdr:colOff>
      <xdr:row>29</xdr:row>
      <xdr:rowOff>171450</xdr:rowOff>
    </xdr:to>
    <xdr:cxnSp macro="">
      <xdr:nvCxnSpPr>
        <xdr:cNvPr id="3" name="Straight Connector 2">
          <a:extLst>
            <a:ext uri="{FF2B5EF4-FFF2-40B4-BE49-F238E27FC236}">
              <a16:creationId xmlns:a16="http://schemas.microsoft.com/office/drawing/2014/main" id="{4A52AC19-57A3-40DD-8C48-614663017F34}"/>
            </a:ext>
          </a:extLst>
        </xdr:cNvPr>
        <xdr:cNvCxnSpPr/>
      </xdr:nvCxnSpPr>
      <xdr:spPr>
        <a:xfrm flipV="1">
          <a:off x="600075" y="895350"/>
          <a:ext cx="876300" cy="4800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247650</xdr:colOff>
      <xdr:row>4</xdr:row>
      <xdr:rowOff>104775</xdr:rowOff>
    </xdr:from>
    <xdr:to>
      <xdr:col>4</xdr:col>
      <xdr:colOff>266700</xdr:colOff>
      <xdr:row>14</xdr:row>
      <xdr:rowOff>180975</xdr:rowOff>
    </xdr:to>
    <xdr:cxnSp macro="">
      <xdr:nvCxnSpPr>
        <xdr:cNvPr id="5" name="Straight Connector 4">
          <a:extLst>
            <a:ext uri="{FF2B5EF4-FFF2-40B4-BE49-F238E27FC236}">
              <a16:creationId xmlns:a16="http://schemas.microsoft.com/office/drawing/2014/main" id="{D404416A-DC97-4455-9326-8EEC58CC3916}"/>
            </a:ext>
          </a:extLst>
        </xdr:cNvPr>
        <xdr:cNvCxnSpPr/>
      </xdr:nvCxnSpPr>
      <xdr:spPr>
        <a:xfrm>
          <a:off x="1466850" y="866775"/>
          <a:ext cx="1238250" cy="1981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285750</xdr:colOff>
      <xdr:row>4</xdr:row>
      <xdr:rowOff>104775</xdr:rowOff>
    </xdr:from>
    <xdr:to>
      <xdr:col>6</xdr:col>
      <xdr:colOff>209550</xdr:colOff>
      <xdr:row>14</xdr:row>
      <xdr:rowOff>180975</xdr:rowOff>
    </xdr:to>
    <xdr:cxnSp macro="">
      <xdr:nvCxnSpPr>
        <xdr:cNvPr id="9" name="Straight Connector 8">
          <a:extLst>
            <a:ext uri="{FF2B5EF4-FFF2-40B4-BE49-F238E27FC236}">
              <a16:creationId xmlns:a16="http://schemas.microsoft.com/office/drawing/2014/main" id="{FDA2CDB0-1F22-4EA8-8C80-81F1F2B0B173}"/>
            </a:ext>
          </a:extLst>
        </xdr:cNvPr>
        <xdr:cNvCxnSpPr/>
      </xdr:nvCxnSpPr>
      <xdr:spPr>
        <a:xfrm flipV="1">
          <a:off x="2724150" y="866775"/>
          <a:ext cx="1143000" cy="1981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0</xdr:row>
      <xdr:rowOff>0</xdr:rowOff>
    </xdr:from>
    <xdr:to>
      <xdr:col>8</xdr:col>
      <xdr:colOff>0</xdr:colOff>
      <xdr:row>43</xdr:row>
      <xdr:rowOff>85725</xdr:rowOff>
    </xdr:to>
    <xdr:cxnSp macro="">
      <xdr:nvCxnSpPr>
        <xdr:cNvPr id="15" name="Straight Connector 14">
          <a:extLst>
            <a:ext uri="{FF2B5EF4-FFF2-40B4-BE49-F238E27FC236}">
              <a16:creationId xmlns:a16="http://schemas.microsoft.com/office/drawing/2014/main" id="{16FE1AB2-676C-4A6F-A08E-8F3E90FC8F28}"/>
            </a:ext>
          </a:extLst>
        </xdr:cNvPr>
        <xdr:cNvCxnSpPr/>
      </xdr:nvCxnSpPr>
      <xdr:spPr>
        <a:xfrm>
          <a:off x="4876800" y="0"/>
          <a:ext cx="0" cy="827722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47625</xdr:colOff>
      <xdr:row>11</xdr:row>
      <xdr:rowOff>95250</xdr:rowOff>
    </xdr:from>
    <xdr:to>
      <xdr:col>8</xdr:col>
      <xdr:colOff>161925</xdr:colOff>
      <xdr:row>15</xdr:row>
      <xdr:rowOff>0</xdr:rowOff>
    </xdr:to>
    <xdr:sp macro="" textlink="">
      <xdr:nvSpPr>
        <xdr:cNvPr id="17" name="Rectangle 16">
          <a:extLst>
            <a:ext uri="{FF2B5EF4-FFF2-40B4-BE49-F238E27FC236}">
              <a16:creationId xmlns:a16="http://schemas.microsoft.com/office/drawing/2014/main" id="{B3206C97-F694-4E2D-9D3D-4C7E2EAB8E1B}"/>
            </a:ext>
          </a:extLst>
        </xdr:cNvPr>
        <xdr:cNvSpPr/>
      </xdr:nvSpPr>
      <xdr:spPr>
        <a:xfrm>
          <a:off x="4924425" y="2190750"/>
          <a:ext cx="114300" cy="6667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104775</xdr:colOff>
      <xdr:row>12</xdr:row>
      <xdr:rowOff>110218</xdr:rowOff>
    </xdr:from>
    <xdr:to>
      <xdr:col>8</xdr:col>
      <xdr:colOff>104775</xdr:colOff>
      <xdr:row>15</xdr:row>
      <xdr:rowOff>125186</xdr:rowOff>
    </xdr:to>
    <xdr:cxnSp macro="">
      <xdr:nvCxnSpPr>
        <xdr:cNvPr id="19" name="Straight Connector 18">
          <a:extLst>
            <a:ext uri="{FF2B5EF4-FFF2-40B4-BE49-F238E27FC236}">
              <a16:creationId xmlns:a16="http://schemas.microsoft.com/office/drawing/2014/main" id="{CCEA1699-8A33-4A17-A9CA-4DD551980DC4}"/>
            </a:ext>
          </a:extLst>
        </xdr:cNvPr>
        <xdr:cNvCxnSpPr/>
      </xdr:nvCxnSpPr>
      <xdr:spPr>
        <a:xfrm>
          <a:off x="4981575" y="2396218"/>
          <a:ext cx="0" cy="586468"/>
        </a:xfrm>
        <a:prstGeom prst="line">
          <a:avLst/>
        </a:prstGeom>
        <a:ln>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353786</xdr:colOff>
      <xdr:row>15</xdr:row>
      <xdr:rowOff>0</xdr:rowOff>
    </xdr:from>
    <xdr:to>
      <xdr:col>11</xdr:col>
      <xdr:colOff>103414</xdr:colOff>
      <xdr:row>15</xdr:row>
      <xdr:rowOff>0</xdr:rowOff>
    </xdr:to>
    <xdr:cxnSp macro="">
      <xdr:nvCxnSpPr>
        <xdr:cNvPr id="24" name="Straight Connector 23">
          <a:extLst>
            <a:ext uri="{FF2B5EF4-FFF2-40B4-BE49-F238E27FC236}">
              <a16:creationId xmlns:a16="http://schemas.microsoft.com/office/drawing/2014/main" id="{050DE09D-114D-458F-8A20-F018EBFBCFE9}"/>
            </a:ext>
          </a:extLst>
        </xdr:cNvPr>
        <xdr:cNvCxnSpPr/>
      </xdr:nvCxnSpPr>
      <xdr:spPr>
        <a:xfrm>
          <a:off x="963386" y="2857500"/>
          <a:ext cx="584562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97972</xdr:colOff>
      <xdr:row>11</xdr:row>
      <xdr:rowOff>48985</xdr:rowOff>
    </xdr:from>
    <xdr:ext cx="488339" cy="311496"/>
    <xdr:sp macro="" textlink="">
      <xdr:nvSpPr>
        <xdr:cNvPr id="27" name="TextBox 26">
          <a:extLst>
            <a:ext uri="{FF2B5EF4-FFF2-40B4-BE49-F238E27FC236}">
              <a16:creationId xmlns:a16="http://schemas.microsoft.com/office/drawing/2014/main" id="{26DBDC33-9748-4436-86BA-ADE111C1A5BA}"/>
            </a:ext>
          </a:extLst>
        </xdr:cNvPr>
        <xdr:cNvSpPr txBox="1"/>
      </xdr:nvSpPr>
      <xdr:spPr>
        <a:xfrm>
          <a:off x="4974772" y="2144485"/>
          <a:ext cx="4883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700"/>
            <a:t>10-13%</a:t>
          </a:r>
        </a:p>
        <a:p>
          <a:pPr algn="ctr"/>
          <a:r>
            <a:rPr lang="en-US" sz="700"/>
            <a:t>Pullback</a:t>
          </a:r>
        </a:p>
      </xdr:txBody>
    </xdr:sp>
    <xdr:clientData/>
  </xdr:oneCellAnchor>
  <xdr:twoCellAnchor>
    <xdr:from>
      <xdr:col>8</xdr:col>
      <xdr:colOff>337457</xdr:colOff>
      <xdr:row>12</xdr:row>
      <xdr:rowOff>169981</xdr:rowOff>
    </xdr:from>
    <xdr:to>
      <xdr:col>8</xdr:col>
      <xdr:colOff>342142</xdr:colOff>
      <xdr:row>15</xdr:row>
      <xdr:rowOff>157843</xdr:rowOff>
    </xdr:to>
    <xdr:cxnSp macro="">
      <xdr:nvCxnSpPr>
        <xdr:cNvPr id="29" name="Straight Arrow Connector 28">
          <a:extLst>
            <a:ext uri="{FF2B5EF4-FFF2-40B4-BE49-F238E27FC236}">
              <a16:creationId xmlns:a16="http://schemas.microsoft.com/office/drawing/2014/main" id="{2FA50540-968A-476A-9163-6D7F82FF6247}"/>
            </a:ext>
          </a:extLst>
        </xdr:cNvPr>
        <xdr:cNvCxnSpPr>
          <a:stCxn id="27" idx="2"/>
        </xdr:cNvCxnSpPr>
      </xdr:nvCxnSpPr>
      <xdr:spPr>
        <a:xfrm flipH="1">
          <a:off x="5214257" y="2455981"/>
          <a:ext cx="4685" cy="55936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538842</xdr:colOff>
      <xdr:row>11</xdr:row>
      <xdr:rowOff>65315</xdr:rowOff>
    </xdr:from>
    <xdr:to>
      <xdr:col>9</xdr:col>
      <xdr:colOff>43542</xdr:colOff>
      <xdr:row>14</xdr:row>
      <xdr:rowOff>160565</xdr:rowOff>
    </xdr:to>
    <xdr:sp macro="" textlink="">
      <xdr:nvSpPr>
        <xdr:cNvPr id="32" name="Rectangle 31">
          <a:extLst>
            <a:ext uri="{FF2B5EF4-FFF2-40B4-BE49-F238E27FC236}">
              <a16:creationId xmlns:a16="http://schemas.microsoft.com/office/drawing/2014/main" id="{D3441AC1-A8FD-4564-94AE-8317E9730F6C}"/>
            </a:ext>
          </a:extLst>
        </xdr:cNvPr>
        <xdr:cNvSpPr/>
      </xdr:nvSpPr>
      <xdr:spPr>
        <a:xfrm>
          <a:off x="5415642" y="2160815"/>
          <a:ext cx="114300" cy="6667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136070</xdr:colOff>
      <xdr:row>8</xdr:row>
      <xdr:rowOff>59872</xdr:rowOff>
    </xdr:from>
    <xdr:to>
      <xdr:col>9</xdr:col>
      <xdr:colOff>250370</xdr:colOff>
      <xdr:row>11</xdr:row>
      <xdr:rowOff>155122</xdr:rowOff>
    </xdr:to>
    <xdr:sp macro="" textlink="">
      <xdr:nvSpPr>
        <xdr:cNvPr id="33" name="Rectangle 32">
          <a:extLst>
            <a:ext uri="{FF2B5EF4-FFF2-40B4-BE49-F238E27FC236}">
              <a16:creationId xmlns:a16="http://schemas.microsoft.com/office/drawing/2014/main" id="{00120AAB-B09C-4685-A4C1-47C34CDDD048}"/>
            </a:ext>
          </a:extLst>
        </xdr:cNvPr>
        <xdr:cNvSpPr/>
      </xdr:nvSpPr>
      <xdr:spPr>
        <a:xfrm>
          <a:off x="5622470" y="1583872"/>
          <a:ext cx="114300" cy="6667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364671</xdr:colOff>
      <xdr:row>5</xdr:row>
      <xdr:rowOff>167368</xdr:rowOff>
    </xdr:from>
    <xdr:to>
      <xdr:col>9</xdr:col>
      <xdr:colOff>478971</xdr:colOff>
      <xdr:row>9</xdr:row>
      <xdr:rowOff>72118</xdr:rowOff>
    </xdr:to>
    <xdr:sp macro="" textlink="">
      <xdr:nvSpPr>
        <xdr:cNvPr id="34" name="Rectangle 33">
          <a:extLst>
            <a:ext uri="{FF2B5EF4-FFF2-40B4-BE49-F238E27FC236}">
              <a16:creationId xmlns:a16="http://schemas.microsoft.com/office/drawing/2014/main" id="{F6A864A4-BF4C-42EA-8374-5B233EC74A27}"/>
            </a:ext>
          </a:extLst>
        </xdr:cNvPr>
        <xdr:cNvSpPr/>
      </xdr:nvSpPr>
      <xdr:spPr>
        <a:xfrm>
          <a:off x="5851071" y="1119868"/>
          <a:ext cx="114300" cy="6667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598714</xdr:colOff>
      <xdr:row>0</xdr:row>
      <xdr:rowOff>125185</xdr:rowOff>
    </xdr:from>
    <xdr:to>
      <xdr:col>10</xdr:col>
      <xdr:colOff>119743</xdr:colOff>
      <xdr:row>7</xdr:row>
      <xdr:rowOff>17689</xdr:rowOff>
    </xdr:to>
    <xdr:sp macro="" textlink="">
      <xdr:nvSpPr>
        <xdr:cNvPr id="35" name="Rectangle 34">
          <a:extLst>
            <a:ext uri="{FF2B5EF4-FFF2-40B4-BE49-F238E27FC236}">
              <a16:creationId xmlns:a16="http://schemas.microsoft.com/office/drawing/2014/main" id="{8084BB14-D6FF-475C-AFF6-C4E7C08A2999}"/>
            </a:ext>
          </a:extLst>
        </xdr:cNvPr>
        <xdr:cNvSpPr/>
      </xdr:nvSpPr>
      <xdr:spPr>
        <a:xfrm>
          <a:off x="6085114" y="125185"/>
          <a:ext cx="130629" cy="1226004"/>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386443</xdr:colOff>
      <xdr:row>3</xdr:row>
      <xdr:rowOff>54429</xdr:rowOff>
    </xdr:from>
    <xdr:to>
      <xdr:col>10</xdr:col>
      <xdr:colOff>386443</xdr:colOff>
      <xdr:row>14</xdr:row>
      <xdr:rowOff>48986</xdr:rowOff>
    </xdr:to>
    <xdr:cxnSp macro="">
      <xdr:nvCxnSpPr>
        <xdr:cNvPr id="37" name="Straight Arrow Connector 36">
          <a:extLst>
            <a:ext uri="{FF2B5EF4-FFF2-40B4-BE49-F238E27FC236}">
              <a16:creationId xmlns:a16="http://schemas.microsoft.com/office/drawing/2014/main" id="{9D5BBA07-E3DD-4EB4-83AC-19C8D4EE8A9E}"/>
            </a:ext>
          </a:extLst>
        </xdr:cNvPr>
        <xdr:cNvCxnSpPr/>
      </xdr:nvCxnSpPr>
      <xdr:spPr>
        <a:xfrm flipV="1">
          <a:off x="6482443" y="625929"/>
          <a:ext cx="0" cy="2090057"/>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9</xdr:col>
      <xdr:colOff>609599</xdr:colOff>
      <xdr:row>14</xdr:row>
      <xdr:rowOff>16329</xdr:rowOff>
    </xdr:from>
    <xdr:ext cx="783933" cy="201915"/>
    <xdr:sp macro="" textlink="">
      <xdr:nvSpPr>
        <xdr:cNvPr id="38" name="TextBox 37">
          <a:extLst>
            <a:ext uri="{FF2B5EF4-FFF2-40B4-BE49-F238E27FC236}">
              <a16:creationId xmlns:a16="http://schemas.microsoft.com/office/drawing/2014/main" id="{1D7E938C-2AC5-4212-9CD3-EC76813727A7}"/>
            </a:ext>
          </a:extLst>
        </xdr:cNvPr>
        <xdr:cNvSpPr txBox="1"/>
      </xdr:nvSpPr>
      <xdr:spPr>
        <a:xfrm>
          <a:off x="6095999" y="2683329"/>
          <a:ext cx="783933"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700"/>
            <a:t>29-80% Squeeze</a:t>
          </a:r>
        </a:p>
      </xdr:txBody>
    </xdr:sp>
    <xdr:clientData/>
  </xdr:oneCellAnchor>
  <xdr:twoCellAnchor>
    <xdr:from>
      <xdr:col>6</xdr:col>
      <xdr:colOff>276225</xdr:colOff>
      <xdr:row>4</xdr:row>
      <xdr:rowOff>74839</xdr:rowOff>
    </xdr:from>
    <xdr:to>
      <xdr:col>6</xdr:col>
      <xdr:colOff>390525</xdr:colOff>
      <xdr:row>7</xdr:row>
      <xdr:rowOff>170089</xdr:rowOff>
    </xdr:to>
    <xdr:sp macro="" textlink="">
      <xdr:nvSpPr>
        <xdr:cNvPr id="39" name="Rectangle 38">
          <a:extLst>
            <a:ext uri="{FF2B5EF4-FFF2-40B4-BE49-F238E27FC236}">
              <a16:creationId xmlns:a16="http://schemas.microsoft.com/office/drawing/2014/main" id="{5CF5060E-78BC-466D-93C5-8E5DF7FF770B}"/>
            </a:ext>
          </a:extLst>
        </xdr:cNvPr>
        <xdr:cNvSpPr/>
      </xdr:nvSpPr>
      <xdr:spPr>
        <a:xfrm>
          <a:off x="3933825" y="836839"/>
          <a:ext cx="114300" cy="6667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510268</xdr:colOff>
      <xdr:row>6</xdr:row>
      <xdr:rowOff>140153</xdr:rowOff>
    </xdr:from>
    <xdr:to>
      <xdr:col>7</xdr:col>
      <xdr:colOff>14968</xdr:colOff>
      <xdr:row>10</xdr:row>
      <xdr:rowOff>44903</xdr:rowOff>
    </xdr:to>
    <xdr:sp macro="" textlink="">
      <xdr:nvSpPr>
        <xdr:cNvPr id="40" name="Rectangle 39">
          <a:extLst>
            <a:ext uri="{FF2B5EF4-FFF2-40B4-BE49-F238E27FC236}">
              <a16:creationId xmlns:a16="http://schemas.microsoft.com/office/drawing/2014/main" id="{17E712F0-B494-4F87-A383-F3078FD863C7}"/>
            </a:ext>
          </a:extLst>
        </xdr:cNvPr>
        <xdr:cNvSpPr/>
      </xdr:nvSpPr>
      <xdr:spPr>
        <a:xfrm>
          <a:off x="4167868" y="1283153"/>
          <a:ext cx="114300" cy="6667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134711</xdr:colOff>
      <xdr:row>8</xdr:row>
      <xdr:rowOff>112939</xdr:rowOff>
    </xdr:from>
    <xdr:to>
      <xdr:col>7</xdr:col>
      <xdr:colOff>249011</xdr:colOff>
      <xdr:row>12</xdr:row>
      <xdr:rowOff>17689</xdr:rowOff>
    </xdr:to>
    <xdr:sp macro="" textlink="">
      <xdr:nvSpPr>
        <xdr:cNvPr id="41" name="Rectangle 40">
          <a:extLst>
            <a:ext uri="{FF2B5EF4-FFF2-40B4-BE49-F238E27FC236}">
              <a16:creationId xmlns:a16="http://schemas.microsoft.com/office/drawing/2014/main" id="{04066ED3-0DAB-43EB-B5FC-E80AC086F141}"/>
            </a:ext>
          </a:extLst>
        </xdr:cNvPr>
        <xdr:cNvSpPr/>
      </xdr:nvSpPr>
      <xdr:spPr>
        <a:xfrm>
          <a:off x="4401911" y="1636939"/>
          <a:ext cx="114300" cy="6667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368754</xdr:colOff>
      <xdr:row>10</xdr:row>
      <xdr:rowOff>58510</xdr:rowOff>
    </xdr:from>
    <xdr:to>
      <xdr:col>7</xdr:col>
      <xdr:colOff>483054</xdr:colOff>
      <xdr:row>13</xdr:row>
      <xdr:rowOff>153760</xdr:rowOff>
    </xdr:to>
    <xdr:sp macro="" textlink="">
      <xdr:nvSpPr>
        <xdr:cNvPr id="42" name="Rectangle 41">
          <a:extLst>
            <a:ext uri="{FF2B5EF4-FFF2-40B4-BE49-F238E27FC236}">
              <a16:creationId xmlns:a16="http://schemas.microsoft.com/office/drawing/2014/main" id="{07FFFECD-CB74-47BC-8340-2AE53A419F6B}"/>
            </a:ext>
          </a:extLst>
        </xdr:cNvPr>
        <xdr:cNvSpPr/>
      </xdr:nvSpPr>
      <xdr:spPr>
        <a:xfrm>
          <a:off x="4635954" y="1963510"/>
          <a:ext cx="114300" cy="6667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261257</xdr:colOff>
      <xdr:row>4</xdr:row>
      <xdr:rowOff>152400</xdr:rowOff>
    </xdr:from>
    <xdr:to>
      <xdr:col>0</xdr:col>
      <xdr:colOff>261257</xdr:colOff>
      <xdr:row>30</xdr:row>
      <xdr:rowOff>10886</xdr:rowOff>
    </xdr:to>
    <xdr:cxnSp macro="">
      <xdr:nvCxnSpPr>
        <xdr:cNvPr id="44" name="Straight Arrow Connector 43">
          <a:extLst>
            <a:ext uri="{FF2B5EF4-FFF2-40B4-BE49-F238E27FC236}">
              <a16:creationId xmlns:a16="http://schemas.microsoft.com/office/drawing/2014/main" id="{0C5B894E-3506-43E2-8806-71AA10E9A476}"/>
            </a:ext>
          </a:extLst>
        </xdr:cNvPr>
        <xdr:cNvCxnSpPr/>
      </xdr:nvCxnSpPr>
      <xdr:spPr>
        <a:xfrm flipV="1">
          <a:off x="261257" y="914400"/>
          <a:ext cx="0" cy="4811486"/>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27215</xdr:colOff>
      <xdr:row>4</xdr:row>
      <xdr:rowOff>48986</xdr:rowOff>
    </xdr:from>
    <xdr:to>
      <xdr:col>11</xdr:col>
      <xdr:colOff>435429</xdr:colOff>
      <xdr:row>4</xdr:row>
      <xdr:rowOff>48986</xdr:rowOff>
    </xdr:to>
    <xdr:cxnSp macro="">
      <xdr:nvCxnSpPr>
        <xdr:cNvPr id="46" name="Straight Connector 45">
          <a:extLst>
            <a:ext uri="{FF2B5EF4-FFF2-40B4-BE49-F238E27FC236}">
              <a16:creationId xmlns:a16="http://schemas.microsoft.com/office/drawing/2014/main" id="{8525160B-A251-4681-B1FF-C7EDAB418DD9}"/>
            </a:ext>
          </a:extLst>
        </xdr:cNvPr>
        <xdr:cNvCxnSpPr/>
      </xdr:nvCxnSpPr>
      <xdr:spPr>
        <a:xfrm>
          <a:off x="1246415" y="810986"/>
          <a:ext cx="5894614"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174171</xdr:colOff>
      <xdr:row>16</xdr:row>
      <xdr:rowOff>97971</xdr:rowOff>
    </xdr:from>
    <xdr:ext cx="783772" cy="436786"/>
    <xdr:sp macro="" textlink="">
      <xdr:nvSpPr>
        <xdr:cNvPr id="47" name="TextBox 46">
          <a:extLst>
            <a:ext uri="{FF2B5EF4-FFF2-40B4-BE49-F238E27FC236}">
              <a16:creationId xmlns:a16="http://schemas.microsoft.com/office/drawing/2014/main" id="{39322C43-1CD0-4BA7-BB35-020D137658CD}"/>
            </a:ext>
          </a:extLst>
        </xdr:cNvPr>
        <xdr:cNvSpPr txBox="1"/>
      </xdr:nvSpPr>
      <xdr:spPr>
        <a:xfrm>
          <a:off x="174171" y="3145971"/>
          <a:ext cx="78377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t>80-200%</a:t>
          </a:r>
        </a:p>
        <a:p>
          <a:pPr algn="ctr"/>
          <a:r>
            <a:rPr lang="en-US" sz="1100"/>
            <a:t>Gap</a:t>
          </a:r>
        </a:p>
      </xdr:txBody>
    </xdr:sp>
    <xdr:clientData/>
  </xdr:oneCellAnchor>
  <xdr:twoCellAnchor>
    <xdr:from>
      <xdr:col>7</xdr:col>
      <xdr:colOff>400584</xdr:colOff>
      <xdr:row>15</xdr:row>
      <xdr:rowOff>169135</xdr:rowOff>
    </xdr:from>
    <xdr:to>
      <xdr:col>7</xdr:col>
      <xdr:colOff>591975</xdr:colOff>
      <xdr:row>21</xdr:row>
      <xdr:rowOff>66763</xdr:rowOff>
    </xdr:to>
    <xdr:sp macro="" textlink="">
      <xdr:nvSpPr>
        <xdr:cNvPr id="50" name="TextBox 49">
          <a:extLst>
            <a:ext uri="{FF2B5EF4-FFF2-40B4-BE49-F238E27FC236}">
              <a16:creationId xmlns:a16="http://schemas.microsoft.com/office/drawing/2014/main" id="{0FE04678-8715-461B-9C4F-B00A2B777240}"/>
            </a:ext>
          </a:extLst>
        </xdr:cNvPr>
        <xdr:cNvSpPr txBox="1"/>
      </xdr:nvSpPr>
      <xdr:spPr>
        <a:xfrm rot="16200000">
          <a:off x="4241741" y="3467277"/>
          <a:ext cx="1045969" cy="1913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Market Open</a:t>
          </a:r>
        </a:p>
      </xdr:txBody>
    </xdr:sp>
    <xdr:clientData/>
  </xdr:twoCellAnchor>
  <xdr:twoCellAnchor>
    <xdr:from>
      <xdr:col>8</xdr:col>
      <xdr:colOff>13353</xdr:colOff>
      <xdr:row>31</xdr:row>
      <xdr:rowOff>102371</xdr:rowOff>
    </xdr:from>
    <xdr:to>
      <xdr:col>8</xdr:col>
      <xdr:colOff>127653</xdr:colOff>
      <xdr:row>32</xdr:row>
      <xdr:rowOff>171806</xdr:rowOff>
    </xdr:to>
    <xdr:sp macro="" textlink="">
      <xdr:nvSpPr>
        <xdr:cNvPr id="51" name="Rectangle 50">
          <a:extLst>
            <a:ext uri="{FF2B5EF4-FFF2-40B4-BE49-F238E27FC236}">
              <a16:creationId xmlns:a16="http://schemas.microsoft.com/office/drawing/2014/main" id="{6ACE3409-6503-43D1-AEBC-1559EBDF1066}"/>
            </a:ext>
          </a:extLst>
        </xdr:cNvPr>
        <xdr:cNvSpPr/>
      </xdr:nvSpPr>
      <xdr:spPr>
        <a:xfrm>
          <a:off x="4891577" y="6035467"/>
          <a:ext cx="114300" cy="260825"/>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171706</xdr:colOff>
      <xdr:row>31</xdr:row>
      <xdr:rowOff>150221</xdr:rowOff>
    </xdr:from>
    <xdr:to>
      <xdr:col>8</xdr:col>
      <xdr:colOff>285750</xdr:colOff>
      <xdr:row>32</xdr:row>
      <xdr:rowOff>174489</xdr:rowOff>
    </xdr:to>
    <xdr:sp macro="" textlink="">
      <xdr:nvSpPr>
        <xdr:cNvPr id="52" name="Rectangle 51">
          <a:extLst>
            <a:ext uri="{FF2B5EF4-FFF2-40B4-BE49-F238E27FC236}">
              <a16:creationId xmlns:a16="http://schemas.microsoft.com/office/drawing/2014/main" id="{32935392-1C7F-44BA-8DEA-D0F7E1F39821}"/>
            </a:ext>
          </a:extLst>
        </xdr:cNvPr>
        <xdr:cNvSpPr/>
      </xdr:nvSpPr>
      <xdr:spPr>
        <a:xfrm>
          <a:off x="5029456" y="6055721"/>
          <a:ext cx="114044" cy="214768"/>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338393</xdr:colOff>
      <xdr:row>31</xdr:row>
      <xdr:rowOff>102596</xdr:rowOff>
    </xdr:from>
    <xdr:to>
      <xdr:col>8</xdr:col>
      <xdr:colOff>452693</xdr:colOff>
      <xdr:row>32</xdr:row>
      <xdr:rowOff>172031</xdr:rowOff>
    </xdr:to>
    <xdr:sp macro="" textlink="">
      <xdr:nvSpPr>
        <xdr:cNvPr id="53" name="Rectangle 52">
          <a:extLst>
            <a:ext uri="{FF2B5EF4-FFF2-40B4-BE49-F238E27FC236}">
              <a16:creationId xmlns:a16="http://schemas.microsoft.com/office/drawing/2014/main" id="{F5C37F92-9C6C-4C68-8CBD-359EF8F94788}"/>
            </a:ext>
          </a:extLst>
        </xdr:cNvPr>
        <xdr:cNvSpPr/>
      </xdr:nvSpPr>
      <xdr:spPr>
        <a:xfrm>
          <a:off x="5196143" y="6008096"/>
          <a:ext cx="114300" cy="259935"/>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502699</xdr:colOff>
      <xdr:row>30</xdr:row>
      <xdr:rowOff>59532</xdr:rowOff>
    </xdr:from>
    <xdr:to>
      <xdr:col>9</xdr:col>
      <xdr:colOff>11906</xdr:colOff>
      <xdr:row>32</xdr:row>
      <xdr:rowOff>175604</xdr:rowOff>
    </xdr:to>
    <xdr:sp macro="" textlink="">
      <xdr:nvSpPr>
        <xdr:cNvPr id="54" name="Rectangle 53">
          <a:extLst>
            <a:ext uri="{FF2B5EF4-FFF2-40B4-BE49-F238E27FC236}">
              <a16:creationId xmlns:a16="http://schemas.microsoft.com/office/drawing/2014/main" id="{5398B67F-C074-4A88-BF50-29B062340E34}"/>
            </a:ext>
          </a:extLst>
        </xdr:cNvPr>
        <xdr:cNvSpPr/>
      </xdr:nvSpPr>
      <xdr:spPr>
        <a:xfrm>
          <a:off x="5360449" y="5774532"/>
          <a:ext cx="116426" cy="497072"/>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47625</xdr:colOff>
      <xdr:row>28</xdr:row>
      <xdr:rowOff>0</xdr:rowOff>
    </xdr:from>
    <xdr:to>
      <xdr:col>9</xdr:col>
      <xdr:colOff>154781</xdr:colOff>
      <xdr:row>32</xdr:row>
      <xdr:rowOff>181556</xdr:rowOff>
    </xdr:to>
    <xdr:sp macro="" textlink="">
      <xdr:nvSpPr>
        <xdr:cNvPr id="56" name="Rectangle 55">
          <a:extLst>
            <a:ext uri="{FF2B5EF4-FFF2-40B4-BE49-F238E27FC236}">
              <a16:creationId xmlns:a16="http://schemas.microsoft.com/office/drawing/2014/main" id="{0A133D3B-8B67-4007-BF30-EE062BF889D5}"/>
            </a:ext>
          </a:extLst>
        </xdr:cNvPr>
        <xdr:cNvSpPr/>
      </xdr:nvSpPr>
      <xdr:spPr>
        <a:xfrm>
          <a:off x="5512594" y="5334000"/>
          <a:ext cx="107156" cy="943556"/>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205978</xdr:colOff>
      <xdr:row>27</xdr:row>
      <xdr:rowOff>11907</xdr:rowOff>
    </xdr:from>
    <xdr:to>
      <xdr:col>9</xdr:col>
      <xdr:colOff>321468</xdr:colOff>
      <xdr:row>32</xdr:row>
      <xdr:rowOff>173223</xdr:rowOff>
    </xdr:to>
    <xdr:sp macro="" textlink="">
      <xdr:nvSpPr>
        <xdr:cNvPr id="57" name="Rectangle 56">
          <a:extLst>
            <a:ext uri="{FF2B5EF4-FFF2-40B4-BE49-F238E27FC236}">
              <a16:creationId xmlns:a16="http://schemas.microsoft.com/office/drawing/2014/main" id="{85B4033D-1431-4693-BEA4-5B5D990C7601}"/>
            </a:ext>
          </a:extLst>
        </xdr:cNvPr>
        <xdr:cNvSpPr/>
      </xdr:nvSpPr>
      <xdr:spPr>
        <a:xfrm>
          <a:off x="5670947" y="5155407"/>
          <a:ext cx="115490" cy="1113816"/>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376237</xdr:colOff>
      <xdr:row>25</xdr:row>
      <xdr:rowOff>17860</xdr:rowOff>
    </xdr:from>
    <xdr:to>
      <xdr:col>9</xdr:col>
      <xdr:colOff>494108</xdr:colOff>
      <xdr:row>32</xdr:row>
      <xdr:rowOff>170841</xdr:rowOff>
    </xdr:to>
    <xdr:sp macro="" textlink="">
      <xdr:nvSpPr>
        <xdr:cNvPr id="58" name="Rectangle 57">
          <a:extLst>
            <a:ext uri="{FF2B5EF4-FFF2-40B4-BE49-F238E27FC236}">
              <a16:creationId xmlns:a16="http://schemas.microsoft.com/office/drawing/2014/main" id="{6BD39F53-7451-4A51-86BB-93895BF726B6}"/>
            </a:ext>
          </a:extLst>
        </xdr:cNvPr>
        <xdr:cNvSpPr/>
      </xdr:nvSpPr>
      <xdr:spPr>
        <a:xfrm>
          <a:off x="5841206" y="4780360"/>
          <a:ext cx="117871" cy="1486481"/>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386953</xdr:colOff>
      <xdr:row>16</xdr:row>
      <xdr:rowOff>53578</xdr:rowOff>
    </xdr:from>
    <xdr:to>
      <xdr:col>12</xdr:col>
      <xdr:colOff>321469</xdr:colOff>
      <xdr:row>16</xdr:row>
      <xdr:rowOff>53578</xdr:rowOff>
    </xdr:to>
    <xdr:cxnSp macro="">
      <xdr:nvCxnSpPr>
        <xdr:cNvPr id="60" name="Straight Connector 59">
          <a:extLst>
            <a:ext uri="{FF2B5EF4-FFF2-40B4-BE49-F238E27FC236}">
              <a16:creationId xmlns:a16="http://schemas.microsoft.com/office/drawing/2014/main" id="{1F2E4F8E-A459-4853-9527-C30470501F04}"/>
            </a:ext>
          </a:extLst>
        </xdr:cNvPr>
        <xdr:cNvCxnSpPr/>
      </xdr:nvCxnSpPr>
      <xdr:spPr>
        <a:xfrm>
          <a:off x="994172" y="3101578"/>
          <a:ext cx="6613922" cy="0"/>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12</xdr:col>
      <xdr:colOff>309563</xdr:colOff>
      <xdr:row>15</xdr:row>
      <xdr:rowOff>113110</xdr:rowOff>
    </xdr:from>
    <xdr:ext cx="753091" cy="264560"/>
    <xdr:sp macro="" textlink="">
      <xdr:nvSpPr>
        <xdr:cNvPr id="61" name="TextBox 60">
          <a:extLst>
            <a:ext uri="{FF2B5EF4-FFF2-40B4-BE49-F238E27FC236}">
              <a16:creationId xmlns:a16="http://schemas.microsoft.com/office/drawing/2014/main" id="{9C15A7BE-8280-4858-87F2-AFBF1B06AE73}"/>
            </a:ext>
          </a:extLst>
        </xdr:cNvPr>
        <xdr:cNvSpPr txBox="1"/>
      </xdr:nvSpPr>
      <xdr:spPr>
        <a:xfrm>
          <a:off x="7596188" y="2970610"/>
          <a:ext cx="7530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Half</a:t>
          </a:r>
          <a:r>
            <a:rPr lang="en-US" sz="1100" baseline="0"/>
            <a:t> Spike</a:t>
          </a:r>
          <a:endParaRPr lang="en-US" sz="1100"/>
        </a:p>
      </xdr:txBody>
    </xdr:sp>
    <xdr:clientData/>
  </xdr:oneCellAnchor>
  <xdr:oneCellAnchor>
    <xdr:from>
      <xdr:col>5</xdr:col>
      <xdr:colOff>112059</xdr:colOff>
      <xdr:row>11</xdr:row>
      <xdr:rowOff>182094</xdr:rowOff>
    </xdr:from>
    <xdr:ext cx="721159" cy="311496"/>
    <xdr:sp macro="" textlink="">
      <xdr:nvSpPr>
        <xdr:cNvPr id="62" name="TextBox 61">
          <a:extLst>
            <a:ext uri="{FF2B5EF4-FFF2-40B4-BE49-F238E27FC236}">
              <a16:creationId xmlns:a16="http://schemas.microsoft.com/office/drawing/2014/main" id="{B24E17D5-8AFE-4C4E-A044-ECF3F1671FC3}"/>
            </a:ext>
          </a:extLst>
        </xdr:cNvPr>
        <xdr:cNvSpPr txBox="1"/>
      </xdr:nvSpPr>
      <xdr:spPr>
        <a:xfrm>
          <a:off x="3158658" y="2262186"/>
          <a:ext cx="72115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700"/>
            <a:t>20-40% Ret.</a:t>
          </a:r>
        </a:p>
        <a:p>
          <a:r>
            <a:rPr lang="en-US" sz="700"/>
            <a:t>PM Hi to Open</a:t>
          </a:r>
        </a:p>
      </xdr:txBody>
    </xdr:sp>
    <xdr:clientData/>
  </xdr:oneCellAnchor>
  <xdr:twoCellAnchor>
    <xdr:from>
      <xdr:col>6</xdr:col>
      <xdr:colOff>168088</xdr:colOff>
      <xdr:row>5</xdr:row>
      <xdr:rowOff>147078</xdr:rowOff>
    </xdr:from>
    <xdr:to>
      <xdr:col>6</xdr:col>
      <xdr:colOff>168088</xdr:colOff>
      <xdr:row>14</xdr:row>
      <xdr:rowOff>56029</xdr:rowOff>
    </xdr:to>
    <xdr:cxnSp macro="">
      <xdr:nvCxnSpPr>
        <xdr:cNvPr id="64" name="Straight Arrow Connector 63">
          <a:extLst>
            <a:ext uri="{FF2B5EF4-FFF2-40B4-BE49-F238E27FC236}">
              <a16:creationId xmlns:a16="http://schemas.microsoft.com/office/drawing/2014/main" id="{0018FA16-6703-4F99-9C60-932F76EF353E}"/>
            </a:ext>
          </a:extLst>
        </xdr:cNvPr>
        <xdr:cNvCxnSpPr/>
      </xdr:nvCxnSpPr>
      <xdr:spPr>
        <a:xfrm>
          <a:off x="3824007" y="1092574"/>
          <a:ext cx="0" cy="161084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126066</xdr:colOff>
      <xdr:row>31</xdr:row>
      <xdr:rowOff>91048</xdr:rowOff>
    </xdr:from>
    <xdr:to>
      <xdr:col>6</xdr:col>
      <xdr:colOff>553291</xdr:colOff>
      <xdr:row>32</xdr:row>
      <xdr:rowOff>133070</xdr:rowOff>
    </xdr:to>
    <xdr:sp macro="" textlink="">
      <xdr:nvSpPr>
        <xdr:cNvPr id="65" name="TextBox 64">
          <a:extLst>
            <a:ext uri="{FF2B5EF4-FFF2-40B4-BE49-F238E27FC236}">
              <a16:creationId xmlns:a16="http://schemas.microsoft.com/office/drawing/2014/main" id="{F7AB9DCD-DB29-43FE-B0EE-F841450A4565}"/>
            </a:ext>
          </a:extLst>
        </xdr:cNvPr>
        <xdr:cNvSpPr txBox="1"/>
      </xdr:nvSpPr>
      <xdr:spPr>
        <a:xfrm>
          <a:off x="1344706" y="5953125"/>
          <a:ext cx="2864504" cy="231121"/>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PM Volume</a:t>
          </a:r>
          <a:r>
            <a:rPr lang="en-US" sz="1100" baseline="0"/>
            <a:t> &gt; 500000</a:t>
          </a:r>
          <a:endParaRPr lang="en-US" sz="1100"/>
        </a:p>
      </xdr:txBody>
    </xdr:sp>
    <xdr:clientData/>
  </xdr:twoCellAnchor>
  <xdr:oneCellAnchor>
    <xdr:from>
      <xdr:col>11</xdr:col>
      <xdr:colOff>182096</xdr:colOff>
      <xdr:row>16</xdr:row>
      <xdr:rowOff>140074</xdr:rowOff>
    </xdr:from>
    <xdr:ext cx="2143215" cy="264560"/>
    <xdr:sp macro="" textlink="">
      <xdr:nvSpPr>
        <xdr:cNvPr id="66" name="TextBox 65">
          <a:extLst>
            <a:ext uri="{FF2B5EF4-FFF2-40B4-BE49-F238E27FC236}">
              <a16:creationId xmlns:a16="http://schemas.microsoft.com/office/drawing/2014/main" id="{662BF6D0-6302-447D-91E6-28C9D49C15CF}"/>
            </a:ext>
          </a:extLst>
        </xdr:cNvPr>
        <xdr:cNvSpPr txBox="1"/>
      </xdr:nvSpPr>
      <xdr:spPr>
        <a:xfrm>
          <a:off x="6884614" y="3165662"/>
          <a:ext cx="2143215"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Should not move below Half</a:t>
          </a:r>
          <a:r>
            <a:rPr lang="en-US" sz="1100" baseline="0"/>
            <a:t> Spike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414337</xdr:colOff>
      <xdr:row>5</xdr:row>
      <xdr:rowOff>0</xdr:rowOff>
    </xdr:from>
    <xdr:to>
      <xdr:col>8</xdr:col>
      <xdr:colOff>109537</xdr:colOff>
      <xdr:row>19</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6B9E17C-3A9F-4424-8CEA-B01C6509F9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4337" y="952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185737</xdr:colOff>
      <xdr:row>5</xdr:row>
      <xdr:rowOff>114300</xdr:rowOff>
    </xdr:from>
    <xdr:to>
      <xdr:col>19</xdr:col>
      <xdr:colOff>490537</xdr:colOff>
      <xdr:row>20</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34E31EA-A13F-48CF-8D20-A2F271FF5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00937" y="1066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128587</xdr:colOff>
      <xdr:row>5</xdr:row>
      <xdr:rowOff>57150</xdr:rowOff>
    </xdr:from>
    <xdr:to>
      <xdr:col>31</xdr:col>
      <xdr:colOff>433387</xdr:colOff>
      <xdr:row>19</xdr:row>
      <xdr:rowOff>133350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BA8D8A2-6ED0-4688-884E-0817CE7E89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758987" y="10096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295275</xdr:colOff>
      <xdr:row>34</xdr:row>
      <xdr:rowOff>85725</xdr:rowOff>
    </xdr:from>
    <xdr:to>
      <xdr:col>20</xdr:col>
      <xdr:colOff>180975</xdr:colOff>
      <xdr:row>48</xdr:row>
      <xdr:rowOff>161925</xdr:rowOff>
    </xdr:to>
    <xdr:graphicFrame macro="">
      <xdr:nvGraphicFramePr>
        <xdr:cNvPr id="5" name="Chart 4">
          <a:extLst>
            <a:ext uri="{FF2B5EF4-FFF2-40B4-BE49-F238E27FC236}">
              <a16:creationId xmlns:a16="http://schemas.microsoft.com/office/drawing/2014/main" id="{2729A526-A089-454C-8D04-9FC428A10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rading%20Review\Trading%20Review\Trading%20Study\TNS%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EXECUTION SCORE"/>
      <sheetName val="Actual Trades"/>
      <sheetName val="Morning TNS (W)"/>
      <sheetName val="Uncategorized Setups"/>
      <sheetName val="Morning TNS (L)"/>
      <sheetName val="Morning TNS (Non-Tradeable)"/>
      <sheetName val="Morning TNS PT"/>
      <sheetName val="Histograms (W)"/>
      <sheetName val="Histograms (L)"/>
      <sheetName val="Opening Squeeze"/>
      <sheetName val="Secondary Morning Move"/>
      <sheetName val="Midday TNS"/>
      <sheetName val="Misc. WKTSH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persons/person.xml><?xml version="1.0" encoding="utf-8"?>
<personList xmlns="http://schemas.microsoft.com/office/spreadsheetml/2018/threadedcomments" xmlns:x="http://schemas.openxmlformats.org/spreadsheetml/2006/main">
  <person displayName="Michael G" id="{79675405-5FBD-4F7E-B612-8AF7BC845AAD}" userId="Michael G"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4578D0-15A2-4C91-9A0E-94D68E17AB64}" name="Table13" displayName="Table13" ref="A1:AR262" headerRowDxfId="178" headerRowBorderDxfId="177" tableBorderDxfId="176" headerRowCellStyle="Normal" dataCellStyle="Normal" totalsRowCellStyle="Normal">
  <autoFilter ref="A1:AR262" xr:uid="{E89DD4C8-D0B0-4C5A-BBE7-34541F73D590}">
    <filterColumn colId="38">
      <filters>
        <filter val="1%"/>
        <filter val="10%"/>
        <filter val="11%"/>
        <filter val="12%"/>
        <filter val="13%"/>
        <filter val="14%"/>
        <filter val="15%"/>
        <filter val="16%"/>
        <filter val="17%"/>
        <filter val="18%"/>
        <filter val="2%"/>
        <filter val="20%"/>
        <filter val="23%"/>
        <filter val="27%"/>
        <filter val="3%"/>
        <filter val="32%"/>
        <filter val="4%"/>
        <filter val="5%"/>
        <filter val="6%"/>
        <filter val="7%"/>
        <filter val="8%"/>
        <filter val="9%"/>
      </filters>
    </filterColumn>
  </autoFilter>
  <tableColumns count="44">
    <tableColumn id="1" xr3:uid="{1D30DD57-9637-4AC8-B052-E82F6817D196}" name="Ticker" dataDxfId="175" totalsRowDxfId="174" dataCellStyle="Normal"/>
    <tableColumn id="2" xr3:uid="{D40C7D89-2B15-45DB-A637-705597E130C4}" name="Date" dataDxfId="173" totalsRowDxfId="172" dataCellStyle="Normal"/>
    <tableColumn id="22" xr3:uid="{5B80071C-F266-4E32-ABFB-AE38AAE1CDE8}" name="W/L" dataDxfId="171" totalsRowDxfId="170"/>
    <tableColumn id="58" xr3:uid="{AFA9B569-41B3-4A93-B14A-CCEDC023E1CF}" name="Prior day close" dataDxfId="169" totalsRowDxfId="168" dataCellStyle="Currency"/>
    <tableColumn id="60" xr3:uid="{445263C7-FF1A-4C8D-AC3C-3E62501C7E08}" name="PM Open Price" dataDxfId="167" totalsRowDxfId="166" dataCellStyle="Comma"/>
    <tableColumn id="51" xr3:uid="{238711FE-8363-4409-8413-D872C7F06D5B}" name="PM Hi" dataDxfId="165" totalsRowDxfId="164" dataCellStyle="Currency"/>
    <tableColumn id="63" xr3:uid="{E328A25A-8C39-4FCB-8B69-AA8F107E2719}" name="PM LO" dataDxfId="163" totalsRowDxfId="162" dataCellStyle="Currency"/>
    <tableColumn id="62" xr3:uid="{2AA597BD-4E0F-46FE-B8C9-C8F788B776F0}" name="PM Lo After PM Hi" dataDxfId="161" totalsRowDxfId="160" dataCellStyle="Currency"/>
    <tableColumn id="43" xr3:uid="{1CEA9C82-A699-422A-843D-B53B66F0C52D}" name="MKT Open Price" dataDxfId="159" totalsRowDxfId="158" dataCellStyle="Currency"/>
    <tableColumn id="61" xr3:uid="{1BCFED48-F6CD-444B-8F89-176E8764230F}" name="Hi of Spike after open before drop" dataDxfId="157" totalsRowDxfId="156" dataCellStyle="Currency"/>
    <tableColumn id="59" xr3:uid="{2A00813F-3B62-4C60-954A-8AFF28A00C2B}" name="Lowest lo from open to squeeze" dataDxfId="155" totalsRowDxfId="154" dataCellStyle="Currency"/>
    <tableColumn id="49" xr3:uid="{46C4E807-5E76-4533-8D91-09D006A2D055}" name="HOD AFTER PM HI" dataDxfId="153" totalsRowDxfId="152" dataCellStyle="Currency"/>
    <tableColumn id="57" xr3:uid="{A3CEE461-4ED7-4681-88AD-193C58487842}" name="Price at hi of squeeze" dataDxfId="151" totalsRowDxfId="150" dataCellStyle="Currency"/>
    <tableColumn id="8" xr3:uid="{2D1C939D-5C38-438F-A1FF-F382DAC1668B}" name="Volume" dataDxfId="149" totalsRowDxfId="148" dataCellStyle="Comma"/>
    <tableColumn id="44" xr3:uid="{5B023AFD-84B2-4B35-9858-71C1EB599319}" name="Volume ($M)" dataDxfId="147" totalsRowDxfId="146" dataCellStyle="Currency"/>
    <tableColumn id="10" xr3:uid="{D3BC6390-CACA-45B1-B75F-C8DD42CFDA2D}" name="MKT CAP(M)" dataDxfId="145" totalsRowDxfId="144" dataCellStyle="Comma"/>
    <tableColumn id="11" xr3:uid="{ABAD4A15-B37D-4FA9-9D93-C3B47A18B8D3}" name="FLOAT(M)" dataDxfId="143" totalsRowDxfId="142" dataCellStyle="Normal"/>
    <tableColumn id="70" xr3:uid="{3ECB61D9-5DBD-44B1-9265-48864472283C}" name="PM Trend" dataDxfId="141" totalsRowDxfId="140" dataCellStyle="Comma"/>
    <tableColumn id="12" xr3:uid="{FA3F3221-A5AE-49BA-BA19-0FAD01E1076C}" name="PM VOL" dataDxfId="139" totalsRowDxfId="138" dataCellStyle="Comma"/>
    <tableColumn id="53" xr3:uid="{DEBABC56-05AB-4FDC-9743-8BFB8491CA48}" name="Overhead supply above 20m (Y/N)" dataDxfId="137" totalsRowDxfId="136" dataCellStyle="Comma"/>
    <tableColumn id="13" xr3:uid="{25ADFB2D-F665-489D-A55A-9898BB251125}" name="Day 1 (Y/N)" dataDxfId="135" dataCellStyle="Comma"/>
    <tableColumn id="14" xr3:uid="{42437748-E7B9-42D1-A49F-3890C49DC019}" name="Time until lowest lo (mins) from open" dataDxfId="134" dataCellStyle="Percent"/>
    <tableColumn id="26" xr3:uid="{6EE59FAA-D6BA-4B25-8475-CA1CE2310778}" name="Time until ideal entry point (mins) from open" dataDxfId="133" dataCellStyle="Normal"/>
    <tableColumn id="56" xr3:uid="{9B658552-5DE4-4A4F-A298-0B91AAD8C0F4}" name="Entry Price" dataDxfId="132"/>
    <tableColumn id="15" xr3:uid="{1843C8C3-3A02-4471-992D-BED8BF1A1EBA}" name="Duration of frontside (mins)" dataDxfId="131" dataCellStyle="Normal"/>
    <tableColumn id="45" xr3:uid="{B7D3D46D-345C-4AB6-B5B7-B0F2AD3FB845}" name="Time of Entry" dataDxfId="130" totalsRowDxfId="129">
      <calculatedColumnFormula>Table13[[#This Row],[Time until ideal entry + 390 (6:30)]]/(1440)</calculatedColumnFormula>
    </tableColumn>
    <tableColumn id="35" xr3:uid="{3DD978FE-846A-4608-98A8-BB63075B90AB}" name="Prior Close to PM Hi %" dataDxfId="128" totalsRowDxfId="127" dataCellStyle="Percent"/>
    <tableColumn id="46" xr3:uid="{66539700-7914-4F64-8633-DF998658F252}" name="Full day % Change" dataDxfId="126" totalsRowDxfId="125" dataCellStyle="Percent">
      <calculatedColumnFormula>IF(Table13[[#This Row],[HOD AFTER PM HI]]&gt;=Table13[[#This Row],[PM Hi]],((Table13[[#This Row],[HOD AFTER PM HI]]-Table13[[#This Row],[Prior day close]])/Table13[[#This Row],[Prior day close]]),Table13[[#This Row],[Prior Close to PM Hi %]])</calculatedColumnFormula>
    </tableColumn>
    <tableColumn id="17" xr3:uid="{5AC57773-6EC5-41F6-BDE4-7D2EC3DEA975}" name="Squeeze % from open" dataDxfId="124" totalsRowDxfId="123" dataCellStyle="Currency">
      <calculatedColumnFormula>(Table13[[#This Row],[Price at hi of squeeze]]-Table13[[#This Row],[MKT Open Price]])/Table13[[#This Row],[MKT Open Price]]</calculatedColumnFormula>
    </tableColumn>
    <tableColumn id="19" xr3:uid="{CE91ECF9-1159-4953-8543-2B59EA273C36}" name="Squeeze % above PM HI" dataDxfId="122" totalsRowDxfId="121" dataCellStyle="Percent">
      <calculatedColumnFormula>(Table13[[#This Row],[Price at hi of squeeze]]-Table13[[#This Row],[PM Hi]])/Table13[[#This Row],[PM Hi]]</calculatedColumnFormula>
    </tableColumn>
    <tableColumn id="7" xr3:uid="{017A684D-B5FD-42E3-AEBF-CCB5DF0F9B27}" name="Squeeze %" totalsRowDxfId="120" dataCellStyle="Percent"/>
    <tableColumn id="40" xr3:uid="{920C3CDB-ACE9-4012-90C1-F6D7065C6FB4}" name="PM Float Rotations" dataDxfId="119" totalsRowDxfId="118" dataCellStyle="Comma">
      <calculatedColumnFormula>Table13[[#This Row],[PM VOL]]/1000000/Table13[[#This Row],[FLOAT(M)]]</calculatedColumnFormula>
    </tableColumn>
    <tableColumn id="32" xr3:uid="{1DE03C2F-DAB1-47E2-8730-5E2BEB0AC307}" name="Float Rotations per day" dataDxfId="117" totalsRowDxfId="116" dataCellStyle="Comma">
      <calculatedColumnFormula>(Table13[[#This Row],[Volume]]/1000000)/Table13[[#This Row],[FLOAT(M)]]</calculatedColumnFormula>
    </tableColumn>
    <tableColumn id="39" xr3:uid="{C28146F0-E277-4AB5-9990-647E265CEA1B}" name="Spike % on open before drop" dataDxfId="115" totalsRowDxfId="114" dataCellStyle="Percent"/>
    <tableColumn id="67" xr3:uid="{1292C69B-C300-4743-87AE-C48C18BE4FE5}" name="Opening Price % Retracement of Prior Move" totalsRowDxfId="113" dataCellStyle="Percent">
      <calculatedColumnFormula>(Table13[[#This Row],[PM Hi]]-Table13[[#This Row],[MKT Open Price]])/(Table13[[#This Row],[PM Hi]])</calculatedColumnFormula>
    </tableColumn>
    <tableColumn id="47" xr3:uid="{285F1A6E-A1D9-460D-BA73-55C2C52B13D5}" name="Opening Price % Retracement of Prior Move (relative to day)" totalsRowDxfId="112" dataCellStyle="Percent">
      <calculatedColumnFormula>IF(Table13[[#This Row],[PM LO]]&gt;Table13[[#This Row],[Prior day close]],(Table13[[#This Row],[PM Hi]]-Table13[[#This Row],[MKT Open Price]])/(Table13[[#This Row],[PM Hi]]-Table13[[#This Row],[Prior day close]]),(Table13[[#This Row],[PM Hi]]-Table13[[#This Row],[MKT Open Price]])/(Table13[[#This Row],[PM Hi]]-Table13[[#This Row],[PM LO]]))</calculatedColumnFormula>
    </tableColumn>
    <tableColumn id="5" xr3:uid="{40AACEF9-AAFD-4F17-A8DA-B0E0E3BD55A8}" name="Pullback % from open (relative to day) " dataDxfId="111" totalsRowDxfId="110" dataCellStyle="Percent">
      <calculatedColumnFormula>IF(Table13[[#This Row],[Prior day close]]&lt;Table13[[#This Row],[PM LO]],(I2-K2)/(I2-Table13[[#This Row],[Prior day close]]),(I2-K2)/(I2-Table13[[#This Row],[PM LO]]))</calculatedColumnFormula>
    </tableColumn>
    <tableColumn id="18" xr3:uid="{6D38557C-0138-4D0B-983E-054698D52406}" name="Pullback from spike " dataDxfId="109" totalsRowDxfId="108" dataCellStyle="Percent">
      <calculatedColumnFormula>Table13[[#This Row],[Spike % on open before drop]]+AM2</calculatedColumnFormula>
    </tableColumn>
    <tableColumn id="41" xr3:uid="{ACC0DBBC-F3F0-4425-B880-8C3EE4CCFC82}" name="Pullback % from open" totalsRowDxfId="107" dataCellStyle="Percent"/>
    <tableColumn id="68" xr3:uid="{0A328BBD-CE9A-48D9-A570-A293D0D5B34E}" name="Retracement of Prior Move % until lowerst low (Not relative)" dataDxfId="106" totalsRowDxfId="105" dataCellStyle="Percent"/>
    <tableColumn id="69" xr3:uid="{6D1BD90B-8FDA-4ADE-92A9-6FBE8E121DF5}" name="Retracement of prior move w/ if pm lo &lt; prior day close" dataDxfId="104" totalsRowDxfId="103" dataCellStyle="Percent">
      <calculatedColumnFormula>IF(Table13[[#This Row],[Prior day close]]&lt;=Table13[[#This Row],[PM LO]],IF($J2&gt;=$F2,($J2-$K2)/($J2-Table13[[#This Row],[Prior day close]]),(IF($H2&lt;=$K2,($F2-$H2)/($F2-Table13[[#This Row],[Prior day close]]),(Table13[[#This Row],[PM Hi]]-Table13[[#This Row],[Lowest lo from open to squeeze]])/(Table13[[#This Row],[PM Hi]]-Table13[[#This Row],[Prior day close]])))),IF($J2&gt;=$F2,($J2-$K2)/($J2-Table13[[#This Row],[PM LO]]),(IF($H2&lt;=$K2,($F2-$H2)/($F2-Table13[[#This Row],[PM LO]]),(Table13[[#This Row],[PM Hi]]-Table13[[#This Row],[Lowest lo from open to squeeze]])/(Table13[[#This Row],[PM Hi]]-Table13[[#This Row],[PM LO]])))))</calculatedColumnFormula>
    </tableColumn>
    <tableColumn id="28" xr3:uid="{13BE3623-4938-48BE-9C76-67E2A24F1E41}" name="Retracement of prior move % until lowest lo (relative to day)" totalsRowDxfId="102" dataCellStyle="Percent"/>
    <tableColumn id="48" xr3:uid="{4B36CC45-57FE-40D3-9784-8898198EF82D}" name="Time until ideal entry + 390 (6:30)" dataDxfId="101" dataCellStyle="Percent">
      <calculatedColumnFormula>390+Table13[[#This Row],[Time until ideal entry point (mins) from open]]</calculatedColumnFormula>
    </tableColumn>
    <tableColumn id="50" xr3:uid="{C755B590-62F8-4D92-834B-091917D65C5F}" name="Time until top" dataDxfId="100" dataCellStyle="Percent">
      <calculatedColumnFormula>Table13[[#This Row],[Time until ideal entry + 390 (6:30)]]+Table13[[#This Row],[Duration of frontside (mins)]]</calculatedColumnFormula>
    </tableColumn>
  </tableColumns>
  <tableStyleInfo name="TableStyleLight20"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496930-F583-4F3C-B9B2-FE1E5F5648E0}" name="Table133" displayName="Table133" ref="A1:AQ174" headerRowDxfId="99" headerRowBorderDxfId="98" tableBorderDxfId="97" headerRowCellStyle="Normal" dataCellStyle="Normal" totalsRowCellStyle="Normal">
  <autoFilter ref="A1:AQ174" xr:uid="{E89DD4C8-D0B0-4C5A-BBE7-34541F73D590}"/>
  <sortState xmlns:xlrd2="http://schemas.microsoft.com/office/spreadsheetml/2017/richdata2" ref="A2:AQ174">
    <sortCondition ref="D1:D174"/>
  </sortState>
  <tableColumns count="43">
    <tableColumn id="1" xr3:uid="{DC6958EA-5A08-4BBB-9101-9C370241E403}" name="Ticker" dataDxfId="96" totalsRowDxfId="95" dataCellStyle="Normal"/>
    <tableColumn id="2" xr3:uid="{DE430E85-8B1D-4AC6-A4DB-064CFB9977EC}" name="Date" dataDxfId="94" totalsRowDxfId="93" dataCellStyle="Normal"/>
    <tableColumn id="22" xr3:uid="{164FCFDD-F1B2-43D4-B283-6A561379C9AA}" name="W/L" dataDxfId="92" totalsRowDxfId="91"/>
    <tableColumn id="58" xr3:uid="{20C0C83C-DFB4-4958-96F4-918B30F3B667}" name="Prior day close" dataDxfId="90" totalsRowDxfId="89" dataCellStyle="Currency"/>
    <tableColumn id="60" xr3:uid="{33EF3697-A19E-4A57-B310-9D82464D88DA}" name="PM Open Price" dataDxfId="88" totalsRowDxfId="87" dataCellStyle="Comma"/>
    <tableColumn id="51" xr3:uid="{A3B18FEA-5536-423A-8E68-1A96B507E37A}" name="PM Hi" dataDxfId="86" totalsRowDxfId="85" dataCellStyle="Currency"/>
    <tableColumn id="63" xr3:uid="{0DB39AA1-1920-4F7C-8DAE-2A04795FB469}" name="PM LO" dataDxfId="84" totalsRowDxfId="83" dataCellStyle="Currency"/>
    <tableColumn id="62" xr3:uid="{D94693E9-5218-4389-8C94-F030AE8A0BDB}" name="PM Lo After PM Hi" dataDxfId="82" totalsRowDxfId="81" dataCellStyle="Currency"/>
    <tableColumn id="43" xr3:uid="{0F410919-14A3-48C6-8282-741D4E5948B3}" name="MKT Open Price" dataDxfId="80" totalsRowDxfId="79" dataCellStyle="Currency"/>
    <tableColumn id="61" xr3:uid="{2244EF32-AA0A-4BB1-B80A-7BFEE8C2B9EC}" name="Hi of Spike after open before drop" dataDxfId="78" totalsRowDxfId="77" dataCellStyle="Currency"/>
    <tableColumn id="59" xr3:uid="{B91140C5-B759-4957-B77A-B5685AC8DAFF}" name="Lowest lo from open to squeeze" dataDxfId="76" totalsRowDxfId="75" dataCellStyle="Currency"/>
    <tableColumn id="49" xr3:uid="{94175895-3E40-4D06-9DB8-FC471DBD0A2B}" name="HOD AFTER PM HI" dataDxfId="74" totalsRowDxfId="73" dataCellStyle="Currency"/>
    <tableColumn id="57" xr3:uid="{72CAF487-65AE-4901-9328-4E66AFD6B396}" name="Price at hi of squeeze" dataDxfId="72" totalsRowDxfId="71" dataCellStyle="Currency"/>
    <tableColumn id="8" xr3:uid="{35809BFD-6674-405B-8F9F-0C4F14416441}" name="Volume" dataDxfId="70" totalsRowDxfId="69" dataCellStyle="Comma"/>
    <tableColumn id="44" xr3:uid="{CD5A5521-BAC5-44D2-B63D-57B1A71F7176}" name="Volume ($M)" dataDxfId="68" totalsRowDxfId="67" dataCellStyle="Currency"/>
    <tableColumn id="10" xr3:uid="{BFE0F21A-9495-4AB2-B6C1-FA1F30500E36}" name="MKT CAP(M)" dataDxfId="66" totalsRowDxfId="65" dataCellStyle="Comma"/>
    <tableColumn id="11" xr3:uid="{6CCE291E-CD97-4AE1-9A3D-721D50B4D8C7}" name="FLOAT(M)" dataDxfId="64" totalsRowDxfId="63" dataCellStyle="Normal"/>
    <tableColumn id="12" xr3:uid="{832E7E88-6EB5-4D8C-B1FD-4E5BC3BB0FD4}" name="PM VOL" dataDxfId="62" totalsRowDxfId="61" dataCellStyle="Comma"/>
    <tableColumn id="53" xr3:uid="{11E9CE6D-6BC5-4891-9238-BCC52F28E5C2}" name="Overhead supply above 20m (Y/N)" dataDxfId="60" totalsRowDxfId="59" dataCellStyle="Comma"/>
    <tableColumn id="13" xr3:uid="{0EEB2C1B-C947-45F1-8333-EC4DD1F4ECF3}" name="Day 1 (Y/N)" dataDxfId="58" dataCellStyle="Comma"/>
    <tableColumn id="14" xr3:uid="{8272D7A4-14E9-441D-AC25-A417FAD52B09}" name="Time until lowest lo (mins) from open" dataDxfId="57" dataCellStyle="Percent"/>
    <tableColumn id="26" xr3:uid="{8640A8DC-0829-4EDB-AFD1-13BF76855BB0}" name="Time until ideal entry point (mins) from open" dataDxfId="56" dataCellStyle="Normal"/>
    <tableColumn id="56" xr3:uid="{0F3F2B45-6562-4E96-90ED-E229C2353A71}" name="Entry Price" dataDxfId="55"/>
    <tableColumn id="15" xr3:uid="{574DFA09-E52E-4E99-866A-8CB82BF49380}" name="Duration of frontside (mins)" dataDxfId="54" dataCellStyle="Normal"/>
    <tableColumn id="45" xr3:uid="{E77C58CF-DB22-4B17-B36A-B91B63B60192}" name="Time of Entry" dataDxfId="53" totalsRowDxfId="52">
      <calculatedColumnFormula>Table133[[#This Row],[Time until ideal entry + 390 (6:30)]]/(1440)</calculatedColumnFormula>
    </tableColumn>
    <tableColumn id="35" xr3:uid="{86009A95-A706-4910-9ACD-A1776DFF5A51}" name="Prior Close to PM Hi %" dataDxfId="51" totalsRowDxfId="50" dataCellStyle="Percent"/>
    <tableColumn id="46" xr3:uid="{9570B4D4-E57C-428A-9D60-BD8AE157AD0C}" name="Full day % Change" dataDxfId="49" totalsRowDxfId="48" dataCellStyle="Percent">
      <calculatedColumnFormula>IF(Table133[[#This Row],[HOD AFTER PM HI]]&gt;=Table133[[#This Row],[PM Hi]],((Table133[[#This Row],[HOD AFTER PM HI]]-Table133[[#This Row],[Prior day close]])/Table133[[#This Row],[Prior day close]]),Table133[[#This Row],[Prior Close to PM Hi %]])</calculatedColumnFormula>
    </tableColumn>
    <tableColumn id="17" xr3:uid="{F17AC7F3-732E-4A41-B96E-CD0ED6B20295}" name="Squeeze % from open" dataDxfId="47" totalsRowDxfId="46" dataCellStyle="Currency">
      <calculatedColumnFormula>(Table133[[#This Row],[Price at hi of squeeze]]-Table133[[#This Row],[MKT Open Price]])/Table133[[#This Row],[MKT Open Price]]</calculatedColumnFormula>
    </tableColumn>
    <tableColumn id="19" xr3:uid="{676F96CA-10A1-47D7-A3B3-23B565DE7AFE}" name="Squeeze % above PM HI" dataDxfId="45" totalsRowDxfId="44" dataCellStyle="Percent">
      <calculatedColumnFormula>(Table133[[#This Row],[Price at hi of squeeze]]-Table133[[#This Row],[PM Hi]])/Table133[[#This Row],[PM Hi]]</calculatedColumnFormula>
    </tableColumn>
    <tableColumn id="7" xr3:uid="{01E3C95E-0B2C-4F14-8FFA-6C62518BF0BD}" name="Squeeze %" totalsRowDxfId="43" dataCellStyle="Percent"/>
    <tableColumn id="40" xr3:uid="{ECCE9B12-1140-4F04-8CA9-24331A5D1E1A}" name="PM Float Rotations" dataDxfId="42" totalsRowDxfId="41" dataCellStyle="Comma">
      <calculatedColumnFormula>Table133[[#This Row],[PM VOL]]/1000000/Table133[[#This Row],[FLOAT(M)]]</calculatedColumnFormula>
    </tableColumn>
    <tableColumn id="32" xr3:uid="{2568CCBA-46BF-42D9-9D73-29E58231791E}" name="Float Rotations per day" dataDxfId="40" totalsRowDxfId="39" dataCellStyle="Comma">
      <calculatedColumnFormula>(Table133[[#This Row],[Volume]]/1000000)/Table133[[#This Row],[FLOAT(M)]]</calculatedColumnFormula>
    </tableColumn>
    <tableColumn id="39" xr3:uid="{4EE1D1CA-EA27-4819-9A8A-C4DD509F94BC}" name="Spike % on open before drop" dataDxfId="38" totalsRowDxfId="37" dataCellStyle="Percent"/>
    <tableColumn id="67" xr3:uid="{39535E52-6B98-4486-B649-03FCE5CAAE8E}" name="Opening Price % Retracement of Prior Move" totalsRowDxfId="36" dataCellStyle="Percent">
      <calculatedColumnFormula>(Table133[[#This Row],[PM Hi]]-Table133[[#This Row],[MKT Open Price]])/(Table133[[#This Row],[PM Hi]])</calculatedColumnFormula>
    </tableColumn>
    <tableColumn id="47" xr3:uid="{2EA1CBB2-DBB3-4E55-B6F8-7AE5EADE9D92}" name="Opening Price % Retracement of Prior Move (relative to day)" totalsRowDxfId="35" dataCellStyle="Percent">
      <calculatedColumnFormula>IF(Table133[[#This Row],[PM LO]]&gt;Table133[[#This Row],[Prior day close]],(Table133[[#This Row],[PM Hi]]-Table133[[#This Row],[MKT Open Price]])/(Table133[[#This Row],[PM Hi]]-Table133[[#This Row],[Prior day close]]),(Table133[[#This Row],[PM Hi]]-Table133[[#This Row],[MKT Open Price]])/(Table133[[#This Row],[PM Hi]]-Table133[[#This Row],[PM LO]]))</calculatedColumnFormula>
    </tableColumn>
    <tableColumn id="5" xr3:uid="{7A131CE8-DA3D-4EBE-9CBC-10D50C424EE7}" name="Pullback % from open (relative to day) " dataDxfId="34" totalsRowDxfId="33" dataCellStyle="Percent">
      <calculatedColumnFormula>IF(Table133[[#This Row],[Prior day close]]&lt;Table133[[#This Row],[PM LO]],(I2-K2)/(I2-Table133[[#This Row],[Prior day close]]),(I2-K2)/(I2-Table133[[#This Row],[PM LO]]))</calculatedColumnFormula>
    </tableColumn>
    <tableColumn id="18" xr3:uid="{88420B3D-F324-4FA9-B09A-ABFCE26F3E60}" name="Pullback from spike " dataDxfId="32" totalsRowDxfId="31" dataCellStyle="Percent">
      <calculatedColumnFormula>Table133[[#This Row],[Spike % on open before drop]]+AL2</calculatedColumnFormula>
    </tableColumn>
    <tableColumn id="41" xr3:uid="{6C552A7C-AAD1-4E16-87F2-26A233C97CC5}" name="Pullback % from open" totalsRowDxfId="30" dataCellStyle="Percent"/>
    <tableColumn id="68" xr3:uid="{1D925348-4115-40C3-96AE-6D8CB6071B5B}" name="Retracement of Prior Move % until lowerst low (Not relative)" dataDxfId="29" totalsRowDxfId="28" dataCellStyle="Percent"/>
    <tableColumn id="69" xr3:uid="{70061059-6092-4B9B-B161-983F73320CCB}" name="Retracement of prior move w/ if pm lo &lt; prior day close" dataDxfId="27" totalsRowDxfId="26" dataCellStyle="Percent">
      <calculatedColumnFormula>IF(Table133[[#This Row],[Prior day close]]&lt;=Table133[[#This Row],[PM LO]],IF($J2&gt;=$F2,($J2-$K2)/($J2-Table133[[#This Row],[Prior day close]]),(IF($H2&lt;=$K2,($F2-$H2)/($F2-Table133[[#This Row],[Prior day close]]),(Table133[[#This Row],[PM Hi]]-Table133[[#This Row],[Lowest lo from open to squeeze]])/(Table133[[#This Row],[PM Hi]]-Table133[[#This Row],[Prior day close]])))),IF($J2&gt;=$F2,($J2-$K2)/($J2-Table133[[#This Row],[PM LO]]),(IF($H2&lt;=$K2,($F2-$H2)/($F2-Table133[[#This Row],[PM LO]]),(Table133[[#This Row],[PM Hi]]-Table133[[#This Row],[Lowest lo from open to squeeze]])/(Table133[[#This Row],[PM Hi]]-Table133[[#This Row],[PM LO]])))))</calculatedColumnFormula>
    </tableColumn>
    <tableColumn id="28" xr3:uid="{1CB374B2-65FF-43D0-A877-979E96DFA3A3}" name="Retracement of prior move % until lowest lo (relative to day)" totalsRowDxfId="25" dataCellStyle="Percent"/>
    <tableColumn id="48" xr3:uid="{57C0A5EE-DC35-494C-82B6-6B7E17453E34}" name="Time until ideal entry + 390 (6:30)" dataDxfId="24" dataCellStyle="Percent">
      <calculatedColumnFormula>390+Table133[[#This Row],[Time until ideal entry point (mins) from open]]</calculatedColumnFormula>
    </tableColumn>
    <tableColumn id="50" xr3:uid="{6696F6B1-E18C-4486-A386-2F5036E875D8}" name="Time until top" dataDxfId="23" dataCellStyle="Percent">
      <calculatedColumnFormula>Table133[[#This Row],[Time until ideal entry + 390 (6:30)]]+Table133[[#This Row],[Duration of frontside (mins)]]</calculatedColumnFormula>
    </tableColumn>
  </tableColumns>
  <tableStyleInfo name="TableStyleLight20"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0-09-13T19:48:30.35" personId="{79675405-5FBD-4F7E-B612-8AF7BC845AAD}" id="{365BEAC5-3471-4322-8C3A-15C01C6D14BF}">
    <text>Highest point after premarket</text>
  </threadedComment>
  <threadedComment ref="L1" dT="2020-09-13T19:51:13.36" personId="{79675405-5FBD-4F7E-B612-8AF7BC845AAD}" id="{5F3A74CE-F9B9-4969-B092-ECCEE4802B55}" parentId="{365BEAC5-3471-4322-8C3A-15C01C6D14BF}">
    <text>High should not be before squeeze and after premarket. Hi in this case should only be created after squeeze.</text>
  </threadedComment>
  <threadedComment ref="T1" dT="2020-09-12T06:57:02.26" personId="{79675405-5FBD-4F7E-B612-8AF7BC845AAD}" id="{099EA61F-5CA2-4FE0-B266-65E03C2B088F}">
    <text>Shares traded at prior running day</text>
  </threadedComment>
  <threadedComment ref="T1" dT="2020-09-12T19:38:15.95" personId="{79675405-5FBD-4F7E-B612-8AF7BC845AAD}" id="{CD5EC258-968E-47F6-B147-011EF0669AA2}" parentId="{099EA61F-5CA2-4FE0-B266-65E03C2B088F}">
    <text>Is there overhead supply above the market open price from a prior day?</text>
  </threadedComment>
  <threadedComment ref="V1" dT="2020-08-09T17:19:56.20" personId="{79675405-5FBD-4F7E-B612-8AF7BC845AAD}" id="{6C23FFD6-32EF-4970-A237-69FA28490A1E}">
    <text>Morning Drop: Time from open until bottom 
Level hold: Time from open until bottom
Midday Squeeze: From Hi of move to the lowest low is created</text>
  </threadedComment>
  <threadedComment ref="V1" dT="2020-09-12T20:18:08.51" personId="{79675405-5FBD-4F7E-B612-8AF7BC845AAD}" id="{0A8F5A14-F94E-447D-9BFC-9197127D29AE}" parentId="{6C23FFD6-32EF-4970-A237-69FA28490A1E}">
    <text>If there are two matching lows before squeeze, take the time of the one nearest to the squeeze.</text>
  </threadedComment>
  <threadedComment ref="W1" dT="2020-09-12T06:02:49.33" personId="{79675405-5FBD-4F7E-B612-8AF7BC845AAD}" id="{593819FF-931A-4AF8-8682-868F133110E5}">
    <text>1 minute past the nearest local minimum (found on 3 minute line chart) to squeeze</text>
  </threadedComment>
  <threadedComment ref="Y1" dT="2020-08-09T17:39:52.27" personId="{79675405-5FBD-4F7E-B612-8AF7BC845AAD}" id="{095375AE-8324-4E7E-8B28-BEA642259C1B}">
    <text>This is from the ideal entry point to the top of the move.</text>
  </threadedComment>
  <threadedComment ref="AE1" dT="2020-08-11T00:46:13.96" personId="{79675405-5FBD-4F7E-B612-8AF7BC845AAD}" id="{F34480D3-8B9E-4945-B661-B3677F7C3BB0}">
    <text>Bottom to top</text>
  </threadedComment>
  <threadedComment ref="AE1" dT="2020-09-11T20:04:29.22" personId="{79675405-5FBD-4F7E-B612-8AF7BC845AAD}" id="{FF826E4A-D2F6-41BE-9F22-D58B8E52237B}" parentId="{F34480D3-8B9E-4945-B661-B3677F7C3BB0}">
    <text>Lowest point from after open local minimum</text>
  </threadedComment>
  <threadedComment ref="AE1" dT="2020-09-12T19:00:19.79" personId="{79675405-5FBD-4F7E-B612-8AF7BC845AAD}" id="{3F00E7BD-099D-4EAC-9E73-E14548BC50D2}" parentId="{F34480D3-8B9E-4945-B661-B3677F7C3BB0}">
    <text>The point at which the top is formed is when there is a lower lo on a 5 minute line chart.</text>
  </threadedComment>
  <threadedComment ref="AJ1" dT="2020-09-12T21:03:11.44" personId="{79675405-5FBD-4F7E-B612-8AF7BC845AAD}" id="{4EAB0F34-2C9F-431D-B587-6B0E7F8CAB0A}">
    <text>Take the dollar amount from the close to hi of premarket then take the dollar amount from the pm hi to the open price. Divide hi to open by close to hi.</text>
  </threadedComment>
  <threadedComment ref="AM1" dT="2020-09-11T21:35:33.64" personId="{79675405-5FBD-4F7E-B612-8AF7BC845AAD}" id="{A925F336-C120-4657-BBC2-68E377F68630}">
    <text>*Use trendline, DO NOT DIVIDE PULLBACK FROM PRIOR MOVE. Use basic trendline to measure relative pullback. 
Start from opening price to the low of the absolute extremum (relative to this move, and after market open). 
Go to bottom of wick.</text>
  </threadedComment>
  <threadedComment ref="AP1" dT="2020-09-11T21:32:09.00" personId="{79675405-5FBD-4F7E-B612-8AF7BC845AAD}" id="{7C5B32D1-4A8E-4082-B166-CDE220C905CF}">
    <text>Take the dollar amount of close of prior day to the high of premarket. Then take the high of day to the absolute minimum to the right of the high prior to the morning squeeze.</text>
  </threadedComment>
  <threadedComment ref="AP1" dT="2020-09-12T18:34:26.38" personId="{79675405-5FBD-4F7E-B612-8AF7BC845AAD}" id="{A8C24EE4-B6AB-40A2-8144-5DFA5B09A83A}" parentId="{7C5B32D1-4A8E-4082-B166-CDE220C905CF}">
    <text>Take the highest dollar amount the stock reaches before the drop, can be after open.</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9-13T19:48:30.35" personId="{79675405-5FBD-4F7E-B612-8AF7BC845AAD}" id="{8F2D3DF7-1B86-44BA-854C-2918B13F9A9F}">
    <text>Highest point after premarket</text>
  </threadedComment>
  <threadedComment ref="L1" dT="2020-09-13T19:51:13.36" personId="{79675405-5FBD-4F7E-B612-8AF7BC845AAD}" id="{755ED740-F183-41F6-B2DA-A778CE15F4C0}" parentId="{8F2D3DF7-1B86-44BA-854C-2918B13F9A9F}">
    <text>High should not be before squeeze and after premarket. Hi in this case should only be created after squeeze.</text>
  </threadedComment>
  <threadedComment ref="S1" dT="2020-09-12T06:57:02.26" personId="{79675405-5FBD-4F7E-B612-8AF7BC845AAD}" id="{13917B21-BBBE-40B0-8DB8-96B9B1B3B7F3}">
    <text>Shares traded at prior running day</text>
  </threadedComment>
  <threadedComment ref="S1" dT="2020-09-12T19:38:15.95" personId="{79675405-5FBD-4F7E-B612-8AF7BC845AAD}" id="{9A64B8FA-7382-448A-A562-1912E30F5946}" parentId="{13917B21-BBBE-40B0-8DB8-96B9B1B3B7F3}">
    <text>Is there overhead supply above the market open price from a prior day?</text>
  </threadedComment>
  <threadedComment ref="U1" dT="2020-08-09T17:19:56.20" personId="{79675405-5FBD-4F7E-B612-8AF7BC845AAD}" id="{55922BB1-5A1E-41C6-A79A-273E8A971865}">
    <text>Morning Drop: Time from open until bottom 
Level hold: Time from open until bottom
Midday Squeeze: From Hi of move to the lowest low is created</text>
  </threadedComment>
  <threadedComment ref="U1" dT="2020-09-12T20:18:08.51" personId="{79675405-5FBD-4F7E-B612-8AF7BC845AAD}" id="{9B604852-E605-4966-91E6-F918D47E2B7E}" parentId="{55922BB1-5A1E-41C6-A79A-273E8A971865}">
    <text>If there are two matching lows before squeeze, take the time of the one nearest to the squeeze.</text>
  </threadedComment>
  <threadedComment ref="V1" dT="2020-09-12T06:02:49.33" personId="{79675405-5FBD-4F7E-B612-8AF7BC845AAD}" id="{677A6B2E-2308-4D42-A944-19133C0ADA0E}">
    <text>1 minute past the nearest local minimum (found on 3 minute line chart) to squeeze</text>
  </threadedComment>
  <threadedComment ref="X1" dT="2020-08-09T17:39:52.27" personId="{79675405-5FBD-4F7E-B612-8AF7BC845AAD}" id="{638D87D4-231B-4597-8ACF-8A09421F3618}">
    <text>This is from the ideal entry point to the top of the move.</text>
  </threadedComment>
  <threadedComment ref="AD1" dT="2020-08-11T00:46:13.96" personId="{79675405-5FBD-4F7E-B612-8AF7BC845AAD}" id="{CB89E82A-6602-4C2C-BF2A-5EC05C26EB1A}">
    <text>Bottom to top</text>
  </threadedComment>
  <threadedComment ref="AD1" dT="2020-09-11T20:04:29.22" personId="{79675405-5FBD-4F7E-B612-8AF7BC845AAD}" id="{729DB6C3-179B-4966-99CC-69C99C967DD1}" parentId="{CB89E82A-6602-4C2C-BF2A-5EC05C26EB1A}">
    <text>Lowest point from after open local minimum</text>
  </threadedComment>
  <threadedComment ref="AD1" dT="2020-09-12T19:00:19.79" personId="{79675405-5FBD-4F7E-B612-8AF7BC845AAD}" id="{BE398D48-6221-406C-84BD-CCFC852DD23D}" parentId="{CB89E82A-6602-4C2C-BF2A-5EC05C26EB1A}">
    <text>The point at which the top is formed is when there is a lower lo on a 5 minute line chart.</text>
  </threadedComment>
  <threadedComment ref="AI1" dT="2020-09-12T21:03:11.44" personId="{79675405-5FBD-4F7E-B612-8AF7BC845AAD}" id="{447F82C6-6F01-4CA6-B4D0-E1BA08F322C2}">
    <text>Take the dollar amount from the close to hi of premarket then take the dollar amount from the pm hi to the open price. Divide hi to open by close to hi.</text>
  </threadedComment>
  <threadedComment ref="AL1" dT="2020-09-11T21:35:33.64" personId="{79675405-5FBD-4F7E-B612-8AF7BC845AAD}" id="{06E02266-EE04-4210-8117-FD2F26959147}">
    <text>*Use trendline, DO NOT DIVIDE PULLBACK FROM PRIOR MOVE. Use basic trendline to measure relative pullback. 
Start from opening price to the low of the absolute extremum (relative to this move, and after market open). 
Go to bottom of wick.</text>
  </threadedComment>
  <threadedComment ref="AO1" dT="2020-09-11T21:32:09.00" personId="{79675405-5FBD-4F7E-B612-8AF7BC845AAD}" id="{477E6204-F2D9-4AF6-BDD5-097BB590938A}">
    <text>Take the dollar amount of close of prior day to the high of premarket. Then take the high of day to the absolute minimum to the right of the high prior to the morning squeeze.</text>
  </threadedComment>
  <threadedComment ref="AO1" dT="2020-09-12T18:34:26.38" personId="{79675405-5FBD-4F7E-B612-8AF7BC845AAD}" id="{E100EE07-12FA-4B87-AD0B-35703CC3A0A1}" parentId="{477E6204-F2D9-4AF6-BDD5-097BB590938A}">
    <text>Take the highest dollar amount the stock reaches before the drop, can be after open.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tos.mx/XbOKIXJ" TargetMode="External"/><Relationship Id="rId21" Type="http://schemas.openxmlformats.org/officeDocument/2006/relationships/hyperlink" Target="http://tos.mx/ghZP9Aw" TargetMode="External"/><Relationship Id="rId63" Type="http://schemas.openxmlformats.org/officeDocument/2006/relationships/hyperlink" Target="http://tos.mx/tEx3xJB" TargetMode="External"/><Relationship Id="rId159" Type="http://schemas.openxmlformats.org/officeDocument/2006/relationships/hyperlink" Target="http://tos.mx/idvMro1" TargetMode="External"/><Relationship Id="rId170" Type="http://schemas.openxmlformats.org/officeDocument/2006/relationships/hyperlink" Target="http://tos.mx/yVWFeyH" TargetMode="External"/><Relationship Id="rId226" Type="http://schemas.openxmlformats.org/officeDocument/2006/relationships/hyperlink" Target="http://tos.mx/RDpeVVb" TargetMode="External"/><Relationship Id="rId268" Type="http://schemas.openxmlformats.org/officeDocument/2006/relationships/hyperlink" Target="http://tos.mx/dB12VVe" TargetMode="External"/><Relationship Id="rId32" Type="http://schemas.openxmlformats.org/officeDocument/2006/relationships/hyperlink" Target="http://tos.mx/rP2gQcz" TargetMode="External"/><Relationship Id="rId74" Type="http://schemas.openxmlformats.org/officeDocument/2006/relationships/hyperlink" Target="http://tos.mx/9YEwUT9" TargetMode="External"/><Relationship Id="rId128" Type="http://schemas.openxmlformats.org/officeDocument/2006/relationships/hyperlink" Target="http://tos.mx/X3cIjl2" TargetMode="External"/><Relationship Id="rId5" Type="http://schemas.openxmlformats.org/officeDocument/2006/relationships/hyperlink" Target="http://tos.mx/HIQs0Tw" TargetMode="External"/><Relationship Id="rId181" Type="http://schemas.openxmlformats.org/officeDocument/2006/relationships/hyperlink" Target="http://tos.mx/uh9muWA" TargetMode="External"/><Relationship Id="rId237" Type="http://schemas.openxmlformats.org/officeDocument/2006/relationships/hyperlink" Target="http://tos.mx/Ct3Y568" TargetMode="External"/><Relationship Id="rId258" Type="http://schemas.openxmlformats.org/officeDocument/2006/relationships/hyperlink" Target="http://tos.mx/T1FMPeq" TargetMode="External"/><Relationship Id="rId22" Type="http://schemas.openxmlformats.org/officeDocument/2006/relationships/hyperlink" Target="http://tos.mx/zYmuNJ8" TargetMode="External"/><Relationship Id="rId43" Type="http://schemas.openxmlformats.org/officeDocument/2006/relationships/hyperlink" Target="http://tos.mx/JNwBZMb" TargetMode="External"/><Relationship Id="rId64" Type="http://schemas.openxmlformats.org/officeDocument/2006/relationships/hyperlink" Target="http://tos.mx/osm4T7v" TargetMode="External"/><Relationship Id="rId118" Type="http://schemas.openxmlformats.org/officeDocument/2006/relationships/hyperlink" Target="http://tos.mx/8GOms4c" TargetMode="External"/><Relationship Id="rId139" Type="http://schemas.openxmlformats.org/officeDocument/2006/relationships/hyperlink" Target="http://tos.mx/LhRiFVl" TargetMode="External"/><Relationship Id="rId85" Type="http://schemas.openxmlformats.org/officeDocument/2006/relationships/hyperlink" Target="http://tos.mx/sXth9TD" TargetMode="External"/><Relationship Id="rId150" Type="http://schemas.openxmlformats.org/officeDocument/2006/relationships/hyperlink" Target="http://tos.mx/J7v1ar2" TargetMode="External"/><Relationship Id="rId171" Type="http://schemas.openxmlformats.org/officeDocument/2006/relationships/hyperlink" Target="http://tos.mx/6qt2xrS" TargetMode="External"/><Relationship Id="rId192" Type="http://schemas.openxmlformats.org/officeDocument/2006/relationships/hyperlink" Target="http://tos.mx/L5zoo2j" TargetMode="External"/><Relationship Id="rId206" Type="http://schemas.openxmlformats.org/officeDocument/2006/relationships/hyperlink" Target="http://tos.mx/BYMzEYv" TargetMode="External"/><Relationship Id="rId227" Type="http://schemas.openxmlformats.org/officeDocument/2006/relationships/hyperlink" Target="http://tos.mx/9OD6I1Y" TargetMode="External"/><Relationship Id="rId248" Type="http://schemas.openxmlformats.org/officeDocument/2006/relationships/hyperlink" Target="http://tos.mx/lukXdiB" TargetMode="External"/><Relationship Id="rId269" Type="http://schemas.openxmlformats.org/officeDocument/2006/relationships/hyperlink" Target="http://tos.mx/gRIFHK7" TargetMode="External"/><Relationship Id="rId12" Type="http://schemas.openxmlformats.org/officeDocument/2006/relationships/hyperlink" Target="http://tos.mx/etFqvar" TargetMode="External"/><Relationship Id="rId33" Type="http://schemas.openxmlformats.org/officeDocument/2006/relationships/hyperlink" Target="http://tos.mx/uwAPqJV" TargetMode="External"/><Relationship Id="rId108" Type="http://schemas.openxmlformats.org/officeDocument/2006/relationships/hyperlink" Target="../AppData/Broken%20Down%20Trading%20Charts/LXRX_12_8_2020_MARKEDUP.png" TargetMode="External"/><Relationship Id="rId129" Type="http://schemas.openxmlformats.org/officeDocument/2006/relationships/hyperlink" Target="http://tos.mx/zPkodjb" TargetMode="External"/><Relationship Id="rId54" Type="http://schemas.openxmlformats.org/officeDocument/2006/relationships/hyperlink" Target="http://tos.mx/dbvJSJQ" TargetMode="External"/><Relationship Id="rId75" Type="http://schemas.openxmlformats.org/officeDocument/2006/relationships/hyperlink" Target="http://tos.mx/dp7oJYX" TargetMode="External"/><Relationship Id="rId96" Type="http://schemas.openxmlformats.org/officeDocument/2006/relationships/hyperlink" Target="http://tos.mx/ZnjFQEi" TargetMode="External"/><Relationship Id="rId140" Type="http://schemas.openxmlformats.org/officeDocument/2006/relationships/hyperlink" Target="http://tos.mx/WqgumJZ" TargetMode="External"/><Relationship Id="rId161" Type="http://schemas.openxmlformats.org/officeDocument/2006/relationships/hyperlink" Target="http://tos.mx/bKRzGsd" TargetMode="External"/><Relationship Id="rId182" Type="http://schemas.openxmlformats.org/officeDocument/2006/relationships/hyperlink" Target="http://tos.mx/BLqhfUM" TargetMode="External"/><Relationship Id="rId217" Type="http://schemas.openxmlformats.org/officeDocument/2006/relationships/hyperlink" Target="http://tos.mx/Kukt6oy" TargetMode="External"/><Relationship Id="rId6" Type="http://schemas.openxmlformats.org/officeDocument/2006/relationships/hyperlink" Target="http://tos.mx/bv0cERL" TargetMode="External"/><Relationship Id="rId238" Type="http://schemas.openxmlformats.org/officeDocument/2006/relationships/hyperlink" Target="http://tos.mx/srSqFeG" TargetMode="External"/><Relationship Id="rId259" Type="http://schemas.openxmlformats.org/officeDocument/2006/relationships/hyperlink" Target="http://tos.mx/oPvGYis" TargetMode="External"/><Relationship Id="rId23" Type="http://schemas.openxmlformats.org/officeDocument/2006/relationships/hyperlink" Target="http://tos.mx/ZJMnzkC" TargetMode="External"/><Relationship Id="rId119" Type="http://schemas.openxmlformats.org/officeDocument/2006/relationships/hyperlink" Target="http://tos.mx/a1b5mC8" TargetMode="External"/><Relationship Id="rId270" Type="http://schemas.openxmlformats.org/officeDocument/2006/relationships/hyperlink" Target="http://tos.mx/yD6fn1K" TargetMode="External"/><Relationship Id="rId44" Type="http://schemas.openxmlformats.org/officeDocument/2006/relationships/hyperlink" Target="http://tos.mx/vg2uJGH" TargetMode="External"/><Relationship Id="rId65" Type="http://schemas.openxmlformats.org/officeDocument/2006/relationships/hyperlink" Target="http://tos.mx/zS8LYVl" TargetMode="External"/><Relationship Id="rId86" Type="http://schemas.openxmlformats.org/officeDocument/2006/relationships/hyperlink" Target="http://tos.mx/EsvbXll" TargetMode="External"/><Relationship Id="rId130" Type="http://schemas.openxmlformats.org/officeDocument/2006/relationships/hyperlink" Target="http://tos.mx/GAfpshe" TargetMode="External"/><Relationship Id="rId151" Type="http://schemas.openxmlformats.org/officeDocument/2006/relationships/hyperlink" Target="http://tos.mx/6pIeEhA" TargetMode="External"/><Relationship Id="rId172" Type="http://schemas.openxmlformats.org/officeDocument/2006/relationships/hyperlink" Target="http://tos.mx/wiS3COE" TargetMode="External"/><Relationship Id="rId193" Type="http://schemas.openxmlformats.org/officeDocument/2006/relationships/hyperlink" Target="http://tos.mx/Ghvo66x" TargetMode="External"/><Relationship Id="rId207" Type="http://schemas.openxmlformats.org/officeDocument/2006/relationships/hyperlink" Target="http://tos.mx/6q5qocJ" TargetMode="External"/><Relationship Id="rId228" Type="http://schemas.openxmlformats.org/officeDocument/2006/relationships/hyperlink" Target="http://tos.mx/CORNe3o" TargetMode="External"/><Relationship Id="rId249" Type="http://schemas.openxmlformats.org/officeDocument/2006/relationships/hyperlink" Target="http://tos.mx/IhOVKvh" TargetMode="External"/><Relationship Id="rId13" Type="http://schemas.openxmlformats.org/officeDocument/2006/relationships/hyperlink" Target="http://tos.mx/Jbcnz0H" TargetMode="External"/><Relationship Id="rId109" Type="http://schemas.openxmlformats.org/officeDocument/2006/relationships/hyperlink" Target="../AppData/Broken%20Down%20Trading%20Charts/XBIO_12_9_2020_MARKEDUP.png" TargetMode="External"/><Relationship Id="rId260" Type="http://schemas.openxmlformats.org/officeDocument/2006/relationships/hyperlink" Target="http://tos.mx/LW5qo4q" TargetMode="External"/><Relationship Id="rId34" Type="http://schemas.openxmlformats.org/officeDocument/2006/relationships/hyperlink" Target="http://tos.mx/Wgf9v4y" TargetMode="External"/><Relationship Id="rId55" Type="http://schemas.openxmlformats.org/officeDocument/2006/relationships/hyperlink" Target="http://tos.mx/O9XAaUM" TargetMode="External"/><Relationship Id="rId76" Type="http://schemas.openxmlformats.org/officeDocument/2006/relationships/hyperlink" Target="http://tos.mx/GwXbomC" TargetMode="External"/><Relationship Id="rId97" Type="http://schemas.openxmlformats.org/officeDocument/2006/relationships/hyperlink" Target="http://tos.mx/hTeQD3K" TargetMode="External"/><Relationship Id="rId120" Type="http://schemas.openxmlformats.org/officeDocument/2006/relationships/hyperlink" Target="http://tos.mx/g8dkqOk" TargetMode="External"/><Relationship Id="rId141" Type="http://schemas.openxmlformats.org/officeDocument/2006/relationships/hyperlink" Target="http://tos.mx/n1uV1ak" TargetMode="External"/><Relationship Id="rId7" Type="http://schemas.openxmlformats.org/officeDocument/2006/relationships/hyperlink" Target="http://tos.mx/G8qZd50" TargetMode="External"/><Relationship Id="rId162" Type="http://schemas.openxmlformats.org/officeDocument/2006/relationships/hyperlink" Target="http://tos.mx/TmVGnhI" TargetMode="External"/><Relationship Id="rId183" Type="http://schemas.openxmlformats.org/officeDocument/2006/relationships/hyperlink" Target="http://tos.mx/KZn45n1" TargetMode="External"/><Relationship Id="rId218" Type="http://schemas.openxmlformats.org/officeDocument/2006/relationships/hyperlink" Target="http://tos.mx/vASMmKF" TargetMode="External"/><Relationship Id="rId239" Type="http://schemas.openxmlformats.org/officeDocument/2006/relationships/hyperlink" Target="http://tos.mx/vPx5L0j" TargetMode="External"/><Relationship Id="rId250" Type="http://schemas.openxmlformats.org/officeDocument/2006/relationships/hyperlink" Target="http://tos.mx/nqhtWN7" TargetMode="External"/><Relationship Id="rId271" Type="http://schemas.openxmlformats.org/officeDocument/2006/relationships/hyperlink" Target="http://tos.mx/IIEEKFR" TargetMode="External"/><Relationship Id="rId24" Type="http://schemas.openxmlformats.org/officeDocument/2006/relationships/hyperlink" Target="http://tos.mx/0maNlQT" TargetMode="External"/><Relationship Id="rId45" Type="http://schemas.openxmlformats.org/officeDocument/2006/relationships/hyperlink" Target="http://tos.mx/OQf8J0B" TargetMode="External"/><Relationship Id="rId66" Type="http://schemas.openxmlformats.org/officeDocument/2006/relationships/hyperlink" Target="http://tos.mx/La9CxYF" TargetMode="External"/><Relationship Id="rId87" Type="http://schemas.openxmlformats.org/officeDocument/2006/relationships/hyperlink" Target="http://tos.mx/wx9IXTE" TargetMode="External"/><Relationship Id="rId110" Type="http://schemas.openxmlformats.org/officeDocument/2006/relationships/hyperlink" Target="http://tos.mx/dLHTwOS" TargetMode="External"/><Relationship Id="rId131" Type="http://schemas.openxmlformats.org/officeDocument/2006/relationships/hyperlink" Target="http://tos.mx/NQp4zDV" TargetMode="External"/><Relationship Id="rId152" Type="http://schemas.openxmlformats.org/officeDocument/2006/relationships/hyperlink" Target="http://tos.mx/UfDopNj" TargetMode="External"/><Relationship Id="rId173" Type="http://schemas.openxmlformats.org/officeDocument/2006/relationships/hyperlink" Target="http://tos.mx/tuoGNZw" TargetMode="External"/><Relationship Id="rId194" Type="http://schemas.openxmlformats.org/officeDocument/2006/relationships/hyperlink" Target="http://tos.mx/zn6o04j" TargetMode="External"/><Relationship Id="rId208" Type="http://schemas.openxmlformats.org/officeDocument/2006/relationships/hyperlink" Target="http://tos.mx/erz090Y" TargetMode="External"/><Relationship Id="rId229" Type="http://schemas.openxmlformats.org/officeDocument/2006/relationships/hyperlink" Target="http://tos.mx/kIKNzkF" TargetMode="External"/><Relationship Id="rId240" Type="http://schemas.openxmlformats.org/officeDocument/2006/relationships/hyperlink" Target="http://tos.mx/hAiGM30" TargetMode="External"/><Relationship Id="rId261" Type="http://schemas.openxmlformats.org/officeDocument/2006/relationships/hyperlink" Target="http://tos.mx/BoQmxA7" TargetMode="External"/><Relationship Id="rId14" Type="http://schemas.openxmlformats.org/officeDocument/2006/relationships/hyperlink" Target="http://tos.mx/RokI0MV" TargetMode="External"/><Relationship Id="rId35" Type="http://schemas.openxmlformats.org/officeDocument/2006/relationships/hyperlink" Target="http://tos.mx/8BsDSD0" TargetMode="External"/><Relationship Id="rId56" Type="http://schemas.openxmlformats.org/officeDocument/2006/relationships/hyperlink" Target="https://tos.mx/125Py5a" TargetMode="External"/><Relationship Id="rId77" Type="http://schemas.openxmlformats.org/officeDocument/2006/relationships/hyperlink" Target="http://tos.mx/04WTSGZ" TargetMode="External"/><Relationship Id="rId100" Type="http://schemas.openxmlformats.org/officeDocument/2006/relationships/hyperlink" Target="../AppData/Broken%20Down%20Trading%20Charts/PPSI_12_4_2020_MARKEDUP.png" TargetMode="External"/><Relationship Id="rId8" Type="http://schemas.openxmlformats.org/officeDocument/2006/relationships/hyperlink" Target="http://tos.mx/WYAsZSL" TargetMode="External"/><Relationship Id="rId98" Type="http://schemas.openxmlformats.org/officeDocument/2006/relationships/hyperlink" Target="http://tos.mx/TJxiJVx" TargetMode="External"/><Relationship Id="rId121" Type="http://schemas.openxmlformats.org/officeDocument/2006/relationships/hyperlink" Target="http://tos.mx/rIu7HW9" TargetMode="External"/><Relationship Id="rId142" Type="http://schemas.openxmlformats.org/officeDocument/2006/relationships/hyperlink" Target="http://tos.mx/WJMgwu2" TargetMode="External"/><Relationship Id="rId163" Type="http://schemas.openxmlformats.org/officeDocument/2006/relationships/hyperlink" Target="http://tos.mx/PBwbvIY" TargetMode="External"/><Relationship Id="rId184" Type="http://schemas.openxmlformats.org/officeDocument/2006/relationships/hyperlink" Target="http://tos.mx/N0Q5Ifd" TargetMode="External"/><Relationship Id="rId219" Type="http://schemas.openxmlformats.org/officeDocument/2006/relationships/hyperlink" Target="http://tos.mx/YCpAaiK" TargetMode="External"/><Relationship Id="rId230" Type="http://schemas.openxmlformats.org/officeDocument/2006/relationships/hyperlink" Target="http://tos.mx/Do33gG9" TargetMode="External"/><Relationship Id="rId251" Type="http://schemas.openxmlformats.org/officeDocument/2006/relationships/hyperlink" Target="http://tos.mx/QyLBrsh" TargetMode="External"/><Relationship Id="rId25" Type="http://schemas.openxmlformats.org/officeDocument/2006/relationships/hyperlink" Target="http://tos.mx/e1HTesa" TargetMode="External"/><Relationship Id="rId46" Type="http://schemas.openxmlformats.org/officeDocument/2006/relationships/hyperlink" Target="http://tos.mx/Gw3I1S1" TargetMode="External"/><Relationship Id="rId67" Type="http://schemas.openxmlformats.org/officeDocument/2006/relationships/hyperlink" Target="http://tos.mx/3F551mk" TargetMode="External"/><Relationship Id="rId272" Type="http://schemas.openxmlformats.org/officeDocument/2006/relationships/hyperlink" Target="http://tos.mx/F3aobHQ" TargetMode="External"/><Relationship Id="rId88" Type="http://schemas.openxmlformats.org/officeDocument/2006/relationships/hyperlink" Target="http://tos.mx/DwGKQz0" TargetMode="External"/><Relationship Id="rId111" Type="http://schemas.openxmlformats.org/officeDocument/2006/relationships/hyperlink" Target="http://tos.mx/OZsDomH" TargetMode="External"/><Relationship Id="rId132" Type="http://schemas.openxmlformats.org/officeDocument/2006/relationships/hyperlink" Target="http://tos.mx/3XK6T1U" TargetMode="External"/><Relationship Id="rId153" Type="http://schemas.openxmlformats.org/officeDocument/2006/relationships/hyperlink" Target="http://tos.mx/SN88TwL" TargetMode="External"/><Relationship Id="rId174" Type="http://schemas.openxmlformats.org/officeDocument/2006/relationships/hyperlink" Target="http://tos.mx/XIacE4h" TargetMode="External"/><Relationship Id="rId195" Type="http://schemas.openxmlformats.org/officeDocument/2006/relationships/hyperlink" Target="http://tos.mx/Iw7F8j1" TargetMode="External"/><Relationship Id="rId209" Type="http://schemas.openxmlformats.org/officeDocument/2006/relationships/hyperlink" Target="http://tos.mx/GzXjVCw" TargetMode="External"/><Relationship Id="rId220" Type="http://schemas.openxmlformats.org/officeDocument/2006/relationships/hyperlink" Target="http://tos.mx/QPzaHRF" TargetMode="External"/><Relationship Id="rId241" Type="http://schemas.openxmlformats.org/officeDocument/2006/relationships/hyperlink" Target="http://tos.mx/BCNtNJX" TargetMode="External"/><Relationship Id="rId15" Type="http://schemas.openxmlformats.org/officeDocument/2006/relationships/hyperlink" Target="http://tos.mx/ogtJI6E" TargetMode="External"/><Relationship Id="rId36" Type="http://schemas.openxmlformats.org/officeDocument/2006/relationships/hyperlink" Target="http://tos.mx/9gawbp0" TargetMode="External"/><Relationship Id="rId57" Type="http://schemas.openxmlformats.org/officeDocument/2006/relationships/hyperlink" Target="http://tos.mx/AIgvQ0U" TargetMode="External"/><Relationship Id="rId262" Type="http://schemas.openxmlformats.org/officeDocument/2006/relationships/hyperlink" Target="http://tos.mx/wQntF2x" TargetMode="External"/><Relationship Id="rId78" Type="http://schemas.openxmlformats.org/officeDocument/2006/relationships/hyperlink" Target="http://tos.mx/bPf3LIq" TargetMode="External"/><Relationship Id="rId99" Type="http://schemas.openxmlformats.org/officeDocument/2006/relationships/hyperlink" Target="http://tos.mx/5RV1ma4" TargetMode="External"/><Relationship Id="rId101" Type="http://schemas.openxmlformats.org/officeDocument/2006/relationships/hyperlink" Target="..\AppData\Broken%20Down%20Trading%20Charts\LIZI_12_3_2020_MarkedUp.png" TargetMode="External"/><Relationship Id="rId122" Type="http://schemas.openxmlformats.org/officeDocument/2006/relationships/hyperlink" Target="http://tos.mx/0exM37l" TargetMode="External"/><Relationship Id="rId143" Type="http://schemas.openxmlformats.org/officeDocument/2006/relationships/hyperlink" Target="http://tos.mx/W7Kq4tQ" TargetMode="External"/><Relationship Id="rId164" Type="http://schemas.openxmlformats.org/officeDocument/2006/relationships/hyperlink" Target="http://tos.mx/2uatZ5B" TargetMode="External"/><Relationship Id="rId185" Type="http://schemas.openxmlformats.org/officeDocument/2006/relationships/hyperlink" Target="http://tos.mx/AFfTS3C" TargetMode="External"/><Relationship Id="rId9" Type="http://schemas.openxmlformats.org/officeDocument/2006/relationships/hyperlink" Target="http://tos.mx/zDQIPae" TargetMode="External"/><Relationship Id="rId210" Type="http://schemas.openxmlformats.org/officeDocument/2006/relationships/hyperlink" Target="http://tos.mx/88Odmpx" TargetMode="External"/><Relationship Id="rId26" Type="http://schemas.openxmlformats.org/officeDocument/2006/relationships/hyperlink" Target="http://tos.mx/blwRHVC" TargetMode="External"/><Relationship Id="rId231" Type="http://schemas.openxmlformats.org/officeDocument/2006/relationships/hyperlink" Target="http://tos.mx/xahEnEe" TargetMode="External"/><Relationship Id="rId252" Type="http://schemas.openxmlformats.org/officeDocument/2006/relationships/hyperlink" Target="http://tos.mx/vRIcCh7" TargetMode="External"/><Relationship Id="rId273" Type="http://schemas.openxmlformats.org/officeDocument/2006/relationships/printerSettings" Target="../printerSettings/printerSettings1.bin"/><Relationship Id="rId47" Type="http://schemas.openxmlformats.org/officeDocument/2006/relationships/hyperlink" Target="http://tos.mx/OPKTsi0" TargetMode="External"/><Relationship Id="rId68" Type="http://schemas.openxmlformats.org/officeDocument/2006/relationships/hyperlink" Target="http://tos.mx/gtgBO1o" TargetMode="External"/><Relationship Id="rId89" Type="http://schemas.openxmlformats.org/officeDocument/2006/relationships/hyperlink" Target="http://tos.mx/wF6EMXp" TargetMode="External"/><Relationship Id="rId112" Type="http://schemas.openxmlformats.org/officeDocument/2006/relationships/hyperlink" Target="http://tos.mx/K00KVNF" TargetMode="External"/><Relationship Id="rId133" Type="http://schemas.openxmlformats.org/officeDocument/2006/relationships/hyperlink" Target="http://tos.mx/maV3y1r" TargetMode="External"/><Relationship Id="rId154" Type="http://schemas.openxmlformats.org/officeDocument/2006/relationships/hyperlink" Target="http://tos.mx/JvyLUsO" TargetMode="External"/><Relationship Id="rId175" Type="http://schemas.openxmlformats.org/officeDocument/2006/relationships/hyperlink" Target="http://tos.mx/YEwked9" TargetMode="External"/><Relationship Id="rId196" Type="http://schemas.openxmlformats.org/officeDocument/2006/relationships/hyperlink" Target="http://tos.mx/VHxPBoN" TargetMode="External"/><Relationship Id="rId200" Type="http://schemas.openxmlformats.org/officeDocument/2006/relationships/hyperlink" Target="http://tos.mx/o4QsBJf" TargetMode="External"/><Relationship Id="rId16" Type="http://schemas.openxmlformats.org/officeDocument/2006/relationships/hyperlink" Target="http://tos.mx/l9HSl1e" TargetMode="External"/><Relationship Id="rId221" Type="http://schemas.openxmlformats.org/officeDocument/2006/relationships/hyperlink" Target="http://tos.mx/kLCW3jI" TargetMode="External"/><Relationship Id="rId242" Type="http://schemas.openxmlformats.org/officeDocument/2006/relationships/hyperlink" Target="http://tos.mx/aLVR4xh" TargetMode="External"/><Relationship Id="rId263" Type="http://schemas.openxmlformats.org/officeDocument/2006/relationships/hyperlink" Target="http://tos.mx/hKiZhiU" TargetMode="External"/><Relationship Id="rId37" Type="http://schemas.openxmlformats.org/officeDocument/2006/relationships/hyperlink" Target="http://tos.mx/FXCznb7" TargetMode="External"/><Relationship Id="rId58" Type="http://schemas.openxmlformats.org/officeDocument/2006/relationships/hyperlink" Target="http://tos.mx/ALGx9Y4" TargetMode="External"/><Relationship Id="rId79" Type="http://schemas.openxmlformats.org/officeDocument/2006/relationships/hyperlink" Target="http://tos.mx/ijs9Rh8" TargetMode="External"/><Relationship Id="rId102" Type="http://schemas.openxmlformats.org/officeDocument/2006/relationships/hyperlink" Target="http://tos.mx/63aZHfz" TargetMode="External"/><Relationship Id="rId123" Type="http://schemas.openxmlformats.org/officeDocument/2006/relationships/hyperlink" Target="http://tos.mx/f2xqvr0" TargetMode="External"/><Relationship Id="rId144" Type="http://schemas.openxmlformats.org/officeDocument/2006/relationships/hyperlink" Target="http://tos.mx/qLJcHG6" TargetMode="External"/><Relationship Id="rId90" Type="http://schemas.openxmlformats.org/officeDocument/2006/relationships/hyperlink" Target="http://tos.mx/0Shgtix" TargetMode="External"/><Relationship Id="rId165" Type="http://schemas.openxmlformats.org/officeDocument/2006/relationships/hyperlink" Target="http://tos.mx/FbYgWT3" TargetMode="External"/><Relationship Id="rId186" Type="http://schemas.openxmlformats.org/officeDocument/2006/relationships/hyperlink" Target="http://tos.mx/UmUaqJr" TargetMode="External"/><Relationship Id="rId211" Type="http://schemas.openxmlformats.org/officeDocument/2006/relationships/hyperlink" Target="http://tos.mx/8FpLsk6" TargetMode="External"/><Relationship Id="rId232" Type="http://schemas.openxmlformats.org/officeDocument/2006/relationships/hyperlink" Target="http://tos.mx/7h93TQQ" TargetMode="External"/><Relationship Id="rId253" Type="http://schemas.openxmlformats.org/officeDocument/2006/relationships/hyperlink" Target="http://tos.mx/qTMHSxl" TargetMode="External"/><Relationship Id="rId274" Type="http://schemas.openxmlformats.org/officeDocument/2006/relationships/vmlDrawing" Target="../drawings/vmlDrawing1.vml"/><Relationship Id="rId27" Type="http://schemas.openxmlformats.org/officeDocument/2006/relationships/hyperlink" Target="http://tos.mx/t02IWEk" TargetMode="External"/><Relationship Id="rId48" Type="http://schemas.openxmlformats.org/officeDocument/2006/relationships/hyperlink" Target="http://tos.mx/s8JeHEs" TargetMode="External"/><Relationship Id="rId69" Type="http://schemas.openxmlformats.org/officeDocument/2006/relationships/hyperlink" Target="http://tos.mx/5zGutQc" TargetMode="External"/><Relationship Id="rId113" Type="http://schemas.openxmlformats.org/officeDocument/2006/relationships/hyperlink" Target="http://tos.mx/A4kpBGm" TargetMode="External"/><Relationship Id="rId134" Type="http://schemas.openxmlformats.org/officeDocument/2006/relationships/hyperlink" Target="http://tos.mx/lhK9YC0" TargetMode="External"/><Relationship Id="rId80" Type="http://schemas.openxmlformats.org/officeDocument/2006/relationships/hyperlink" Target="http://tos.mx/n8Q6paz" TargetMode="External"/><Relationship Id="rId155" Type="http://schemas.openxmlformats.org/officeDocument/2006/relationships/hyperlink" Target="http://tos.mx/YaM6SVt" TargetMode="External"/><Relationship Id="rId176" Type="http://schemas.openxmlformats.org/officeDocument/2006/relationships/hyperlink" Target="http://tos.mx/7ZZABni" TargetMode="External"/><Relationship Id="rId197" Type="http://schemas.openxmlformats.org/officeDocument/2006/relationships/hyperlink" Target="http://tos.mx/rmpVJbt" TargetMode="External"/><Relationship Id="rId201" Type="http://schemas.openxmlformats.org/officeDocument/2006/relationships/hyperlink" Target="http://tos.mx/q0VMbNr" TargetMode="External"/><Relationship Id="rId222" Type="http://schemas.openxmlformats.org/officeDocument/2006/relationships/hyperlink" Target="http://tos.mx/PlZsqd0" TargetMode="External"/><Relationship Id="rId243" Type="http://schemas.openxmlformats.org/officeDocument/2006/relationships/hyperlink" Target="http://tos.mx/7nMf7uz" TargetMode="External"/><Relationship Id="rId264" Type="http://schemas.openxmlformats.org/officeDocument/2006/relationships/hyperlink" Target="http://tos.mx/u3cnWYE" TargetMode="External"/><Relationship Id="rId17" Type="http://schemas.openxmlformats.org/officeDocument/2006/relationships/hyperlink" Target="http://tos.mx/wgeMQjX" TargetMode="External"/><Relationship Id="rId38" Type="http://schemas.openxmlformats.org/officeDocument/2006/relationships/hyperlink" Target="http://tos.mx/2xJkQ1r" TargetMode="External"/><Relationship Id="rId59" Type="http://schemas.openxmlformats.org/officeDocument/2006/relationships/hyperlink" Target="http://tos.mx/r65xX7P" TargetMode="External"/><Relationship Id="rId103" Type="http://schemas.openxmlformats.org/officeDocument/2006/relationships/hyperlink" Target="http://tos.mx/d3OJhOd" TargetMode="External"/><Relationship Id="rId124" Type="http://schemas.openxmlformats.org/officeDocument/2006/relationships/hyperlink" Target="http://tos.mx/pM4ni6d" TargetMode="External"/><Relationship Id="rId70" Type="http://schemas.openxmlformats.org/officeDocument/2006/relationships/hyperlink" Target="http://tos.mx/l0eNXAA" TargetMode="External"/><Relationship Id="rId91" Type="http://schemas.openxmlformats.org/officeDocument/2006/relationships/hyperlink" Target="http://tos.mx/PwBTl7k" TargetMode="External"/><Relationship Id="rId145" Type="http://schemas.openxmlformats.org/officeDocument/2006/relationships/hyperlink" Target="http://tos.mx/VMP5u8q" TargetMode="External"/><Relationship Id="rId166" Type="http://schemas.openxmlformats.org/officeDocument/2006/relationships/hyperlink" Target="http://tos.mx/8W7KxeZ" TargetMode="External"/><Relationship Id="rId187" Type="http://schemas.openxmlformats.org/officeDocument/2006/relationships/hyperlink" Target="http://tos.mx/RQxb83l" TargetMode="External"/><Relationship Id="rId1" Type="http://schemas.openxmlformats.org/officeDocument/2006/relationships/hyperlink" Target="http://tos.mx/2OiVQ9r" TargetMode="External"/><Relationship Id="rId212" Type="http://schemas.openxmlformats.org/officeDocument/2006/relationships/hyperlink" Target="http://tos.mx/Ke5xYDt" TargetMode="External"/><Relationship Id="rId233" Type="http://schemas.openxmlformats.org/officeDocument/2006/relationships/hyperlink" Target="http://tos.mx/9rrne2J" TargetMode="External"/><Relationship Id="rId254" Type="http://schemas.openxmlformats.org/officeDocument/2006/relationships/hyperlink" Target="http://tos.mx/VBRqEFz" TargetMode="External"/><Relationship Id="rId28" Type="http://schemas.openxmlformats.org/officeDocument/2006/relationships/hyperlink" Target="http://tos.mx/uBewgND" TargetMode="External"/><Relationship Id="rId49" Type="http://schemas.openxmlformats.org/officeDocument/2006/relationships/hyperlink" Target="http://tos.mx/zZzgiBp" TargetMode="External"/><Relationship Id="rId114" Type="http://schemas.openxmlformats.org/officeDocument/2006/relationships/hyperlink" Target="http://tos.mx/jspUOBY" TargetMode="External"/><Relationship Id="rId275" Type="http://schemas.openxmlformats.org/officeDocument/2006/relationships/table" Target="../tables/table1.xml"/><Relationship Id="rId60" Type="http://schemas.openxmlformats.org/officeDocument/2006/relationships/hyperlink" Target="http://tos.mx/hmiXZ5e" TargetMode="External"/><Relationship Id="rId81" Type="http://schemas.openxmlformats.org/officeDocument/2006/relationships/hyperlink" Target="http://tos.mx/OKbVL6A" TargetMode="External"/><Relationship Id="rId135" Type="http://schemas.openxmlformats.org/officeDocument/2006/relationships/hyperlink" Target="http://tos.mx/iroNQR3" TargetMode="External"/><Relationship Id="rId156" Type="http://schemas.openxmlformats.org/officeDocument/2006/relationships/hyperlink" Target="http://tos.mx/Tno8hxt" TargetMode="External"/><Relationship Id="rId177" Type="http://schemas.openxmlformats.org/officeDocument/2006/relationships/hyperlink" Target="http://tos.mx/Dnat0ET" TargetMode="External"/><Relationship Id="rId198" Type="http://schemas.openxmlformats.org/officeDocument/2006/relationships/hyperlink" Target="http://tos.mx/MO7ZoJI" TargetMode="External"/><Relationship Id="rId202" Type="http://schemas.openxmlformats.org/officeDocument/2006/relationships/hyperlink" Target="http://tos.mx/Wr4dUq5" TargetMode="External"/><Relationship Id="rId223" Type="http://schemas.openxmlformats.org/officeDocument/2006/relationships/hyperlink" Target="http://tos.mx/JcZmD3f" TargetMode="External"/><Relationship Id="rId244" Type="http://schemas.openxmlformats.org/officeDocument/2006/relationships/hyperlink" Target="http://tos.mx/M151FbC" TargetMode="External"/><Relationship Id="rId18" Type="http://schemas.openxmlformats.org/officeDocument/2006/relationships/hyperlink" Target="http://tos.mx/IyFxlBL" TargetMode="External"/><Relationship Id="rId39" Type="http://schemas.openxmlformats.org/officeDocument/2006/relationships/hyperlink" Target="http://tos.mx/QXnUOvR" TargetMode="External"/><Relationship Id="rId265" Type="http://schemas.openxmlformats.org/officeDocument/2006/relationships/hyperlink" Target="http://tos.mx/4eqhMHP" TargetMode="External"/><Relationship Id="rId50" Type="http://schemas.openxmlformats.org/officeDocument/2006/relationships/hyperlink" Target="http://tos.mx/hlf2Jcw" TargetMode="External"/><Relationship Id="rId104" Type="http://schemas.openxmlformats.org/officeDocument/2006/relationships/hyperlink" Target="http://tos.mx/lHeGHuG" TargetMode="External"/><Relationship Id="rId125" Type="http://schemas.openxmlformats.org/officeDocument/2006/relationships/hyperlink" Target="http://tos.mx/YNgoHxg" TargetMode="External"/><Relationship Id="rId146" Type="http://schemas.openxmlformats.org/officeDocument/2006/relationships/hyperlink" Target="http://tos.mx/y17PqUZ" TargetMode="External"/><Relationship Id="rId167" Type="http://schemas.openxmlformats.org/officeDocument/2006/relationships/hyperlink" Target="http://tos.mx/NzT9lQP" TargetMode="External"/><Relationship Id="rId188" Type="http://schemas.openxmlformats.org/officeDocument/2006/relationships/hyperlink" Target="http://tos.mx/skdd3ze" TargetMode="External"/><Relationship Id="rId71" Type="http://schemas.openxmlformats.org/officeDocument/2006/relationships/hyperlink" Target="http://tos.mx/R6pFtAS" TargetMode="External"/><Relationship Id="rId92" Type="http://schemas.openxmlformats.org/officeDocument/2006/relationships/hyperlink" Target="http://tos.mx/mtrqH0i" TargetMode="External"/><Relationship Id="rId213" Type="http://schemas.openxmlformats.org/officeDocument/2006/relationships/hyperlink" Target="http://tos.mx/HCKdbci" TargetMode="External"/><Relationship Id="rId234" Type="http://schemas.openxmlformats.org/officeDocument/2006/relationships/hyperlink" Target="http://tos.mx/yqxm32u" TargetMode="External"/><Relationship Id="rId2" Type="http://schemas.openxmlformats.org/officeDocument/2006/relationships/hyperlink" Target="http://tos.mx/4A2pWbH" TargetMode="External"/><Relationship Id="rId29" Type="http://schemas.openxmlformats.org/officeDocument/2006/relationships/hyperlink" Target="http://tos.mx/UuIkzhe" TargetMode="External"/><Relationship Id="rId255" Type="http://schemas.openxmlformats.org/officeDocument/2006/relationships/hyperlink" Target="http://tos.mx/lpFdSxT" TargetMode="External"/><Relationship Id="rId276" Type="http://schemas.openxmlformats.org/officeDocument/2006/relationships/comments" Target="../comments1.xml"/><Relationship Id="rId40" Type="http://schemas.openxmlformats.org/officeDocument/2006/relationships/hyperlink" Target="http://tos.mx/C9NZ6Sg" TargetMode="External"/><Relationship Id="rId115" Type="http://schemas.openxmlformats.org/officeDocument/2006/relationships/hyperlink" Target="http://tos.mx/0c0uhlf" TargetMode="External"/><Relationship Id="rId136" Type="http://schemas.openxmlformats.org/officeDocument/2006/relationships/hyperlink" Target="http://tos.mx/ZhouUSA" TargetMode="External"/><Relationship Id="rId157" Type="http://schemas.openxmlformats.org/officeDocument/2006/relationships/hyperlink" Target="http://tos.mx/E29TbYR" TargetMode="External"/><Relationship Id="rId178" Type="http://schemas.openxmlformats.org/officeDocument/2006/relationships/hyperlink" Target="http://tos.mx/GwajoTK" TargetMode="External"/><Relationship Id="rId61" Type="http://schemas.openxmlformats.org/officeDocument/2006/relationships/hyperlink" Target="http://tos.mx/kdyXH11" TargetMode="External"/><Relationship Id="rId82" Type="http://schemas.openxmlformats.org/officeDocument/2006/relationships/hyperlink" Target="http://tos.mx/iavHBDT" TargetMode="External"/><Relationship Id="rId199" Type="http://schemas.openxmlformats.org/officeDocument/2006/relationships/hyperlink" Target="http://tos.mx/iHZS2sy" TargetMode="External"/><Relationship Id="rId203" Type="http://schemas.openxmlformats.org/officeDocument/2006/relationships/hyperlink" Target="http://tos.mx/TtAl35h" TargetMode="External"/><Relationship Id="rId19" Type="http://schemas.openxmlformats.org/officeDocument/2006/relationships/hyperlink" Target="http://tos.mx/cu8M3kQ" TargetMode="External"/><Relationship Id="rId224" Type="http://schemas.openxmlformats.org/officeDocument/2006/relationships/hyperlink" Target="http://tos.mx/SacMByU" TargetMode="External"/><Relationship Id="rId245" Type="http://schemas.openxmlformats.org/officeDocument/2006/relationships/hyperlink" Target="http://tos.mx/rl0VcKO" TargetMode="External"/><Relationship Id="rId266" Type="http://schemas.openxmlformats.org/officeDocument/2006/relationships/hyperlink" Target="http://tos.mx/WPzMHUY" TargetMode="External"/><Relationship Id="rId30" Type="http://schemas.openxmlformats.org/officeDocument/2006/relationships/hyperlink" Target="http://tos.mx/NMQNpqY" TargetMode="External"/><Relationship Id="rId105" Type="http://schemas.openxmlformats.org/officeDocument/2006/relationships/hyperlink" Target="http://tos.mx/0GjDvu4" TargetMode="External"/><Relationship Id="rId126" Type="http://schemas.openxmlformats.org/officeDocument/2006/relationships/hyperlink" Target="http://tos.mx/DotIwag" TargetMode="External"/><Relationship Id="rId147" Type="http://schemas.openxmlformats.org/officeDocument/2006/relationships/hyperlink" Target="http://tos.mx/qUgkWmb" TargetMode="External"/><Relationship Id="rId168" Type="http://schemas.openxmlformats.org/officeDocument/2006/relationships/hyperlink" Target="http://tos.mx/lStbq10" TargetMode="External"/><Relationship Id="rId51" Type="http://schemas.openxmlformats.org/officeDocument/2006/relationships/hyperlink" Target="http://tos.mx/xGFeBXj" TargetMode="External"/><Relationship Id="rId72" Type="http://schemas.openxmlformats.org/officeDocument/2006/relationships/hyperlink" Target="http://tos.mx/1pFVXB5" TargetMode="External"/><Relationship Id="rId93" Type="http://schemas.openxmlformats.org/officeDocument/2006/relationships/hyperlink" Target="http://tos.mx/EixnGPZ" TargetMode="External"/><Relationship Id="rId189" Type="http://schemas.openxmlformats.org/officeDocument/2006/relationships/hyperlink" Target="http://tos.mx/tiXbIaN" TargetMode="External"/><Relationship Id="rId3" Type="http://schemas.openxmlformats.org/officeDocument/2006/relationships/hyperlink" Target="http://tos.mx/rVAOnfH" TargetMode="External"/><Relationship Id="rId214" Type="http://schemas.openxmlformats.org/officeDocument/2006/relationships/hyperlink" Target="http://tos.mx/gdLuUqh" TargetMode="External"/><Relationship Id="rId235" Type="http://schemas.openxmlformats.org/officeDocument/2006/relationships/hyperlink" Target="http://tos.mx/7jIXeOR" TargetMode="External"/><Relationship Id="rId256" Type="http://schemas.openxmlformats.org/officeDocument/2006/relationships/hyperlink" Target="http://tos.mx/q9xqhBH" TargetMode="External"/><Relationship Id="rId277" Type="http://schemas.microsoft.com/office/2017/10/relationships/threadedComment" Target="../threadedComments/threadedComment1.xml"/><Relationship Id="rId116" Type="http://schemas.openxmlformats.org/officeDocument/2006/relationships/hyperlink" Target="http://tos.mx/w92fEjd" TargetMode="External"/><Relationship Id="rId137" Type="http://schemas.openxmlformats.org/officeDocument/2006/relationships/hyperlink" Target="http://tos.mx/Q6IH8cJ" TargetMode="External"/><Relationship Id="rId158" Type="http://schemas.openxmlformats.org/officeDocument/2006/relationships/hyperlink" Target="http://tos.mx/sGtr7OW" TargetMode="External"/><Relationship Id="rId20" Type="http://schemas.openxmlformats.org/officeDocument/2006/relationships/hyperlink" Target="http://tos.mx/OD8Xjou" TargetMode="External"/><Relationship Id="rId41" Type="http://schemas.openxmlformats.org/officeDocument/2006/relationships/hyperlink" Target="http://tos.mx/5IgzJKG" TargetMode="External"/><Relationship Id="rId62" Type="http://schemas.openxmlformats.org/officeDocument/2006/relationships/hyperlink" Target="http://tos.mx/zCZR4L1" TargetMode="External"/><Relationship Id="rId83" Type="http://schemas.openxmlformats.org/officeDocument/2006/relationships/hyperlink" Target="http://tos.mx/s2MVN5C" TargetMode="External"/><Relationship Id="rId179" Type="http://schemas.openxmlformats.org/officeDocument/2006/relationships/hyperlink" Target="http://tos.mx/iaIuUcv" TargetMode="External"/><Relationship Id="rId190" Type="http://schemas.openxmlformats.org/officeDocument/2006/relationships/hyperlink" Target="http://tos.mx/i2pFAZK" TargetMode="External"/><Relationship Id="rId204" Type="http://schemas.openxmlformats.org/officeDocument/2006/relationships/hyperlink" Target="http://tos.mx/vLEyqQe" TargetMode="External"/><Relationship Id="rId225" Type="http://schemas.openxmlformats.org/officeDocument/2006/relationships/hyperlink" Target="http://tos.mx/cJpSPPF" TargetMode="External"/><Relationship Id="rId246" Type="http://schemas.openxmlformats.org/officeDocument/2006/relationships/hyperlink" Target="http://tos.mx/jrmsg3u" TargetMode="External"/><Relationship Id="rId267" Type="http://schemas.openxmlformats.org/officeDocument/2006/relationships/hyperlink" Target="http://tos.mx/RIqDgKj" TargetMode="External"/><Relationship Id="rId106" Type="http://schemas.openxmlformats.org/officeDocument/2006/relationships/hyperlink" Target="../AppData/Broken%20Down%20Trading%20Charts/GTEC_12_7_20_MARKEDUP.png" TargetMode="External"/><Relationship Id="rId127" Type="http://schemas.openxmlformats.org/officeDocument/2006/relationships/hyperlink" Target="http://tos.mx/QDKpY71" TargetMode="External"/><Relationship Id="rId10" Type="http://schemas.openxmlformats.org/officeDocument/2006/relationships/hyperlink" Target="http://tos.mx/PLEmOpP" TargetMode="External"/><Relationship Id="rId31" Type="http://schemas.openxmlformats.org/officeDocument/2006/relationships/hyperlink" Target="http://tos.mx/0sVltX7" TargetMode="External"/><Relationship Id="rId52" Type="http://schemas.openxmlformats.org/officeDocument/2006/relationships/hyperlink" Target="http://tos.mx/ClK7LIx" TargetMode="External"/><Relationship Id="rId73" Type="http://schemas.openxmlformats.org/officeDocument/2006/relationships/hyperlink" Target="http://tos.mx/Rk4hcIH" TargetMode="External"/><Relationship Id="rId94" Type="http://schemas.openxmlformats.org/officeDocument/2006/relationships/hyperlink" Target="http://tos.mx/y2kpKYp" TargetMode="External"/><Relationship Id="rId148" Type="http://schemas.openxmlformats.org/officeDocument/2006/relationships/hyperlink" Target="http://tos.mx/45rsFqs" TargetMode="External"/><Relationship Id="rId169" Type="http://schemas.openxmlformats.org/officeDocument/2006/relationships/hyperlink" Target="http://tos.mx/BF2Vfli" TargetMode="External"/><Relationship Id="rId4" Type="http://schemas.openxmlformats.org/officeDocument/2006/relationships/hyperlink" Target="http://tos.mx/6nvSLTW" TargetMode="External"/><Relationship Id="rId180" Type="http://schemas.openxmlformats.org/officeDocument/2006/relationships/hyperlink" Target="http://tos.mx/XdcXg5z" TargetMode="External"/><Relationship Id="rId215" Type="http://schemas.openxmlformats.org/officeDocument/2006/relationships/hyperlink" Target="http://tos.mx/abcm06k" TargetMode="External"/><Relationship Id="rId236" Type="http://schemas.openxmlformats.org/officeDocument/2006/relationships/hyperlink" Target="http://tos.mx/bAYWuzo" TargetMode="External"/><Relationship Id="rId257" Type="http://schemas.openxmlformats.org/officeDocument/2006/relationships/hyperlink" Target="http://tos.mx/HLDKTYy" TargetMode="External"/><Relationship Id="rId42" Type="http://schemas.openxmlformats.org/officeDocument/2006/relationships/hyperlink" Target="http://tos.mx/gX2fSSD" TargetMode="External"/><Relationship Id="rId84" Type="http://schemas.openxmlformats.org/officeDocument/2006/relationships/hyperlink" Target="http://tos.mx/naNqtpm" TargetMode="External"/><Relationship Id="rId138" Type="http://schemas.openxmlformats.org/officeDocument/2006/relationships/hyperlink" Target="http://tos.mx/TY5NEMh" TargetMode="External"/><Relationship Id="rId191" Type="http://schemas.openxmlformats.org/officeDocument/2006/relationships/hyperlink" Target="http://tos.mx/euZbAiq" TargetMode="External"/><Relationship Id="rId205" Type="http://schemas.openxmlformats.org/officeDocument/2006/relationships/hyperlink" Target="http://tos.mx/N85EDLo" TargetMode="External"/><Relationship Id="rId247" Type="http://schemas.openxmlformats.org/officeDocument/2006/relationships/hyperlink" Target="http://tos.mx/tapsSmm" TargetMode="External"/><Relationship Id="rId107" Type="http://schemas.openxmlformats.org/officeDocument/2006/relationships/hyperlink" Target="../AppData/Broken%20Down%20Trading%20Charts/CRIS_12_8_2020_MARKEDUP.png" TargetMode="External"/><Relationship Id="rId11" Type="http://schemas.openxmlformats.org/officeDocument/2006/relationships/hyperlink" Target="http://tos.mx/kKTI1pL" TargetMode="External"/><Relationship Id="rId53" Type="http://schemas.openxmlformats.org/officeDocument/2006/relationships/hyperlink" Target="http://tos.mx/sNTvQpz" TargetMode="External"/><Relationship Id="rId149" Type="http://schemas.openxmlformats.org/officeDocument/2006/relationships/hyperlink" Target="http://tos.mx/ECbDLdV" TargetMode="External"/><Relationship Id="rId95" Type="http://schemas.openxmlformats.org/officeDocument/2006/relationships/hyperlink" Target="http://tos.mx/Qjf7lR7" TargetMode="External"/><Relationship Id="rId160" Type="http://schemas.openxmlformats.org/officeDocument/2006/relationships/hyperlink" Target="http://tos.mx/ZV6dCeD" TargetMode="External"/><Relationship Id="rId216" Type="http://schemas.openxmlformats.org/officeDocument/2006/relationships/hyperlink" Target="http://tos.mx/KSUc4W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tos.mx/iaIuUcv" TargetMode="External"/><Relationship Id="rId21" Type="http://schemas.openxmlformats.org/officeDocument/2006/relationships/hyperlink" Target="http://tos.mx/0sVltX7" TargetMode="External"/><Relationship Id="rId42" Type="http://schemas.openxmlformats.org/officeDocument/2006/relationships/hyperlink" Target="http://tos.mx/hmiXZ5e" TargetMode="External"/><Relationship Id="rId63" Type="http://schemas.openxmlformats.org/officeDocument/2006/relationships/hyperlink" Target="http://tos.mx/hTeQD3K" TargetMode="External"/><Relationship Id="rId84" Type="http://schemas.openxmlformats.org/officeDocument/2006/relationships/hyperlink" Target="http://tos.mx/3XK6T1U" TargetMode="External"/><Relationship Id="rId138" Type="http://schemas.openxmlformats.org/officeDocument/2006/relationships/hyperlink" Target="http://tos.mx/Ke5xYDt" TargetMode="External"/><Relationship Id="rId159" Type="http://schemas.openxmlformats.org/officeDocument/2006/relationships/hyperlink" Target="http://tos.mx/srSqFeG" TargetMode="External"/><Relationship Id="rId170" Type="http://schemas.openxmlformats.org/officeDocument/2006/relationships/hyperlink" Target="http://tos.mx/qTMHSxl" TargetMode="External"/><Relationship Id="rId107" Type="http://schemas.openxmlformats.org/officeDocument/2006/relationships/hyperlink" Target="http://tos.mx/8W7KxeZ" TargetMode="External"/><Relationship Id="rId11" Type="http://schemas.openxmlformats.org/officeDocument/2006/relationships/hyperlink" Target="http://tos.mx/l9HSl1e" TargetMode="External"/><Relationship Id="rId32" Type="http://schemas.openxmlformats.org/officeDocument/2006/relationships/hyperlink" Target="http://tos.mx/OPKTsi0" TargetMode="External"/><Relationship Id="rId53" Type="http://schemas.openxmlformats.org/officeDocument/2006/relationships/hyperlink" Target="http://tos.mx/bPf3LIq" TargetMode="External"/><Relationship Id="rId74" Type="http://schemas.openxmlformats.org/officeDocument/2006/relationships/hyperlink" Target="http://tos.mx/0c0uhlf" TargetMode="External"/><Relationship Id="rId128" Type="http://schemas.openxmlformats.org/officeDocument/2006/relationships/hyperlink" Target="http://tos.mx/zn6o04j" TargetMode="External"/><Relationship Id="rId149" Type="http://schemas.openxmlformats.org/officeDocument/2006/relationships/hyperlink" Target="http://tos.mx/9OD6I1Y" TargetMode="External"/><Relationship Id="rId5" Type="http://schemas.openxmlformats.org/officeDocument/2006/relationships/hyperlink" Target="http://tos.mx/WYAsZSL" TargetMode="External"/><Relationship Id="rId95" Type="http://schemas.openxmlformats.org/officeDocument/2006/relationships/hyperlink" Target="http://tos.mx/UfDopNj" TargetMode="External"/><Relationship Id="rId160" Type="http://schemas.openxmlformats.org/officeDocument/2006/relationships/hyperlink" Target="http://tos.mx/vPx5L0j" TargetMode="External"/><Relationship Id="rId181" Type="http://schemas.openxmlformats.org/officeDocument/2006/relationships/hyperlink" Target="http://tos.mx/JNwBZMb" TargetMode="External"/><Relationship Id="rId22" Type="http://schemas.openxmlformats.org/officeDocument/2006/relationships/hyperlink" Target="http://tos.mx/rP2gQcz" TargetMode="External"/><Relationship Id="rId43" Type="http://schemas.openxmlformats.org/officeDocument/2006/relationships/hyperlink" Target="http://tos.mx/tEx3xJB" TargetMode="External"/><Relationship Id="rId64" Type="http://schemas.openxmlformats.org/officeDocument/2006/relationships/hyperlink" Target="http://tos.mx/TJxiJVx" TargetMode="External"/><Relationship Id="rId118" Type="http://schemas.openxmlformats.org/officeDocument/2006/relationships/hyperlink" Target="http://tos.mx/XdcXg5z" TargetMode="External"/><Relationship Id="rId139" Type="http://schemas.openxmlformats.org/officeDocument/2006/relationships/hyperlink" Target="http://tos.mx/HCKdbci" TargetMode="External"/><Relationship Id="rId85" Type="http://schemas.openxmlformats.org/officeDocument/2006/relationships/hyperlink" Target="http://tos.mx/ZhouUSA" TargetMode="External"/><Relationship Id="rId150" Type="http://schemas.openxmlformats.org/officeDocument/2006/relationships/hyperlink" Target="http://tos.mx/CORNe3o" TargetMode="External"/><Relationship Id="rId171" Type="http://schemas.openxmlformats.org/officeDocument/2006/relationships/hyperlink" Target="http://tos.mx/VBRqEFz" TargetMode="External"/><Relationship Id="rId12" Type="http://schemas.openxmlformats.org/officeDocument/2006/relationships/hyperlink" Target="http://tos.mx/IyFxlBL" TargetMode="External"/><Relationship Id="rId33" Type="http://schemas.openxmlformats.org/officeDocument/2006/relationships/hyperlink" Target="http://tos.mx/s8JeHEs" TargetMode="External"/><Relationship Id="rId108" Type="http://schemas.openxmlformats.org/officeDocument/2006/relationships/hyperlink" Target="http://tos.mx/NzT9lQP" TargetMode="External"/><Relationship Id="rId129" Type="http://schemas.openxmlformats.org/officeDocument/2006/relationships/hyperlink" Target="http://tos.mx/Iw7F8j1" TargetMode="External"/><Relationship Id="rId54" Type="http://schemas.openxmlformats.org/officeDocument/2006/relationships/hyperlink" Target="http://tos.mx/ijs9Rh8" TargetMode="External"/><Relationship Id="rId75" Type="http://schemas.openxmlformats.org/officeDocument/2006/relationships/hyperlink" Target="http://tos.mx/w92fEjd" TargetMode="External"/><Relationship Id="rId96" Type="http://schemas.openxmlformats.org/officeDocument/2006/relationships/hyperlink" Target="http://tos.mx/SN88TwL" TargetMode="External"/><Relationship Id="rId140" Type="http://schemas.openxmlformats.org/officeDocument/2006/relationships/hyperlink" Target="http://tos.mx/gdLuUqh" TargetMode="External"/><Relationship Id="rId161" Type="http://schemas.openxmlformats.org/officeDocument/2006/relationships/hyperlink" Target="http://tos.mx/hAiGM30" TargetMode="External"/><Relationship Id="rId182" Type="http://schemas.openxmlformats.org/officeDocument/2006/relationships/hyperlink" Target="http://tos.mx/Wr4dUq5" TargetMode="External"/><Relationship Id="rId6" Type="http://schemas.openxmlformats.org/officeDocument/2006/relationships/hyperlink" Target="http://tos.mx/zDQIPae" TargetMode="External"/><Relationship Id="rId23" Type="http://schemas.openxmlformats.org/officeDocument/2006/relationships/hyperlink" Target="http://tos.mx/uwAPqJV" TargetMode="External"/><Relationship Id="rId119" Type="http://schemas.openxmlformats.org/officeDocument/2006/relationships/hyperlink" Target="http://tos.mx/uh9muWA" TargetMode="External"/><Relationship Id="rId44" Type="http://schemas.openxmlformats.org/officeDocument/2006/relationships/hyperlink" Target="http://tos.mx/osm4T7v" TargetMode="External"/><Relationship Id="rId65" Type="http://schemas.openxmlformats.org/officeDocument/2006/relationships/hyperlink" Target="http://tos.mx/5RV1ma4" TargetMode="External"/><Relationship Id="rId86" Type="http://schemas.openxmlformats.org/officeDocument/2006/relationships/hyperlink" Target="http://tos.mx/Q6IH8cJ" TargetMode="External"/><Relationship Id="rId130" Type="http://schemas.openxmlformats.org/officeDocument/2006/relationships/hyperlink" Target="http://tos.mx/MO7ZoJI" TargetMode="External"/><Relationship Id="rId151" Type="http://schemas.openxmlformats.org/officeDocument/2006/relationships/hyperlink" Target="http://tos.mx/kIKNzkF" TargetMode="External"/><Relationship Id="rId172" Type="http://schemas.openxmlformats.org/officeDocument/2006/relationships/hyperlink" Target="http://tos.mx/lpFdSxT" TargetMode="External"/><Relationship Id="rId13" Type="http://schemas.openxmlformats.org/officeDocument/2006/relationships/hyperlink" Target="http://tos.mx/cu8M3kQ" TargetMode="External"/><Relationship Id="rId18" Type="http://schemas.openxmlformats.org/officeDocument/2006/relationships/hyperlink" Target="http://tos.mx/uBewgND" TargetMode="External"/><Relationship Id="rId39" Type="http://schemas.openxmlformats.org/officeDocument/2006/relationships/hyperlink" Target="http://tos.mx/dbvJSJQ" TargetMode="External"/><Relationship Id="rId109" Type="http://schemas.openxmlformats.org/officeDocument/2006/relationships/hyperlink" Target="http://tos.mx/BF2Vfli" TargetMode="External"/><Relationship Id="rId34" Type="http://schemas.openxmlformats.org/officeDocument/2006/relationships/hyperlink" Target="http://tos.mx/zZzgiBp" TargetMode="External"/><Relationship Id="rId50" Type="http://schemas.openxmlformats.org/officeDocument/2006/relationships/hyperlink" Target="http://tos.mx/Rk4hcIH" TargetMode="External"/><Relationship Id="rId55" Type="http://schemas.openxmlformats.org/officeDocument/2006/relationships/hyperlink" Target="http://tos.mx/sXth9TD" TargetMode="External"/><Relationship Id="rId76" Type="http://schemas.openxmlformats.org/officeDocument/2006/relationships/hyperlink" Target="http://tos.mx/XbOKIXJ" TargetMode="External"/><Relationship Id="rId97" Type="http://schemas.openxmlformats.org/officeDocument/2006/relationships/hyperlink" Target="http://tos.mx/JvyLUsO" TargetMode="External"/><Relationship Id="rId104" Type="http://schemas.openxmlformats.org/officeDocument/2006/relationships/hyperlink" Target="http://tos.mx/bKRzGsd" TargetMode="External"/><Relationship Id="rId120" Type="http://schemas.openxmlformats.org/officeDocument/2006/relationships/hyperlink" Target="http://tos.mx/BLqhfUM" TargetMode="External"/><Relationship Id="rId125" Type="http://schemas.openxmlformats.org/officeDocument/2006/relationships/hyperlink" Target="http://tos.mx/skdd3ze" TargetMode="External"/><Relationship Id="rId141" Type="http://schemas.openxmlformats.org/officeDocument/2006/relationships/hyperlink" Target="http://tos.mx/KSUc4We" TargetMode="External"/><Relationship Id="rId146" Type="http://schemas.openxmlformats.org/officeDocument/2006/relationships/hyperlink" Target="http://tos.mx/JcZmD3f" TargetMode="External"/><Relationship Id="rId167" Type="http://schemas.openxmlformats.org/officeDocument/2006/relationships/hyperlink" Target="http://tos.mx/lukXdiB" TargetMode="External"/><Relationship Id="rId7" Type="http://schemas.openxmlformats.org/officeDocument/2006/relationships/hyperlink" Target="http://tos.mx/PLEmOpP" TargetMode="External"/><Relationship Id="rId71" Type="http://schemas.openxmlformats.org/officeDocument/2006/relationships/hyperlink" Target="http://tos.mx/K00KVNF" TargetMode="External"/><Relationship Id="rId92" Type="http://schemas.openxmlformats.org/officeDocument/2006/relationships/hyperlink" Target="http://tos.mx/VMP5u8q" TargetMode="External"/><Relationship Id="rId162" Type="http://schemas.openxmlformats.org/officeDocument/2006/relationships/hyperlink" Target="http://tos.mx/BCNtNJX" TargetMode="External"/><Relationship Id="rId183" Type="http://schemas.openxmlformats.org/officeDocument/2006/relationships/printerSettings" Target="../printerSettings/printerSettings2.bin"/><Relationship Id="rId2" Type="http://schemas.openxmlformats.org/officeDocument/2006/relationships/hyperlink" Target="http://tos.mx/HIQs0Tw" TargetMode="External"/><Relationship Id="rId29" Type="http://schemas.openxmlformats.org/officeDocument/2006/relationships/hyperlink" Target="http://tos.mx/5IgzJKG" TargetMode="External"/><Relationship Id="rId24" Type="http://schemas.openxmlformats.org/officeDocument/2006/relationships/hyperlink" Target="http://tos.mx/Wgf9v4y" TargetMode="External"/><Relationship Id="rId40" Type="http://schemas.openxmlformats.org/officeDocument/2006/relationships/hyperlink" Target="https://tos.mx/125Py5a" TargetMode="External"/><Relationship Id="rId45" Type="http://schemas.openxmlformats.org/officeDocument/2006/relationships/hyperlink" Target="http://tos.mx/La9CxYF" TargetMode="External"/><Relationship Id="rId66" Type="http://schemas.openxmlformats.org/officeDocument/2006/relationships/hyperlink" Target="../AppData/Broken%20Down%20Trading%20Charts/PPSI_12_4_2020_MARKEDUP.png" TargetMode="External"/><Relationship Id="rId87" Type="http://schemas.openxmlformats.org/officeDocument/2006/relationships/hyperlink" Target="http://tos.mx/TY5NEMh" TargetMode="External"/><Relationship Id="rId110" Type="http://schemas.openxmlformats.org/officeDocument/2006/relationships/hyperlink" Target="http://tos.mx/yVWFeyH" TargetMode="External"/><Relationship Id="rId115" Type="http://schemas.openxmlformats.org/officeDocument/2006/relationships/hyperlink" Target="http://tos.mx/7ZZABni" TargetMode="External"/><Relationship Id="rId131" Type="http://schemas.openxmlformats.org/officeDocument/2006/relationships/hyperlink" Target="http://tos.mx/iHZS2sy" TargetMode="External"/><Relationship Id="rId136" Type="http://schemas.openxmlformats.org/officeDocument/2006/relationships/hyperlink" Target="http://tos.mx/GzXjVCw" TargetMode="External"/><Relationship Id="rId157" Type="http://schemas.openxmlformats.org/officeDocument/2006/relationships/hyperlink" Target="http://tos.mx/bAYWuzo" TargetMode="External"/><Relationship Id="rId178" Type="http://schemas.openxmlformats.org/officeDocument/2006/relationships/hyperlink" Target="http://tos.mx/4eqhMHP" TargetMode="External"/><Relationship Id="rId61" Type="http://schemas.openxmlformats.org/officeDocument/2006/relationships/hyperlink" Target="http://tos.mx/EixnGPZ" TargetMode="External"/><Relationship Id="rId82" Type="http://schemas.openxmlformats.org/officeDocument/2006/relationships/hyperlink" Target="http://tos.mx/QDKpY71" TargetMode="External"/><Relationship Id="rId152" Type="http://schemas.openxmlformats.org/officeDocument/2006/relationships/hyperlink" Target="http://tos.mx/Do33gG9" TargetMode="External"/><Relationship Id="rId173" Type="http://schemas.openxmlformats.org/officeDocument/2006/relationships/hyperlink" Target="http://tos.mx/q9xqhBH" TargetMode="External"/><Relationship Id="rId19" Type="http://schemas.openxmlformats.org/officeDocument/2006/relationships/hyperlink" Target="http://tos.mx/UuIkzhe" TargetMode="External"/><Relationship Id="rId14" Type="http://schemas.openxmlformats.org/officeDocument/2006/relationships/hyperlink" Target="http://tos.mx/OD8Xjou" TargetMode="External"/><Relationship Id="rId30" Type="http://schemas.openxmlformats.org/officeDocument/2006/relationships/hyperlink" Target="http://tos.mx/gX2fSSD" TargetMode="External"/><Relationship Id="rId35" Type="http://schemas.openxmlformats.org/officeDocument/2006/relationships/hyperlink" Target="http://tos.mx/hlf2Jcw" TargetMode="External"/><Relationship Id="rId56" Type="http://schemas.openxmlformats.org/officeDocument/2006/relationships/hyperlink" Target="http://tos.mx/EsvbXll" TargetMode="External"/><Relationship Id="rId77" Type="http://schemas.openxmlformats.org/officeDocument/2006/relationships/hyperlink" Target="http://tos.mx/g8dkqOk" TargetMode="External"/><Relationship Id="rId100" Type="http://schemas.openxmlformats.org/officeDocument/2006/relationships/hyperlink" Target="http://tos.mx/E29TbYR" TargetMode="External"/><Relationship Id="rId105" Type="http://schemas.openxmlformats.org/officeDocument/2006/relationships/hyperlink" Target="http://tos.mx/TmVGnhI" TargetMode="External"/><Relationship Id="rId126" Type="http://schemas.openxmlformats.org/officeDocument/2006/relationships/hyperlink" Target="http://tos.mx/euZbAiq" TargetMode="External"/><Relationship Id="rId147" Type="http://schemas.openxmlformats.org/officeDocument/2006/relationships/hyperlink" Target="http://tos.mx/SacMByU" TargetMode="External"/><Relationship Id="rId168" Type="http://schemas.openxmlformats.org/officeDocument/2006/relationships/hyperlink" Target="http://tos.mx/nqhtWN7" TargetMode="External"/><Relationship Id="rId8" Type="http://schemas.openxmlformats.org/officeDocument/2006/relationships/hyperlink" Target="http://tos.mx/kKTI1pL" TargetMode="External"/><Relationship Id="rId51" Type="http://schemas.openxmlformats.org/officeDocument/2006/relationships/hyperlink" Target="http://tos.mx/9YEwUT9" TargetMode="External"/><Relationship Id="rId72" Type="http://schemas.openxmlformats.org/officeDocument/2006/relationships/hyperlink" Target="http://tos.mx/A4kpBGm" TargetMode="External"/><Relationship Id="rId93" Type="http://schemas.openxmlformats.org/officeDocument/2006/relationships/hyperlink" Target="http://tos.mx/qUgkWmb" TargetMode="External"/><Relationship Id="rId98" Type="http://schemas.openxmlformats.org/officeDocument/2006/relationships/hyperlink" Target="http://tos.mx/YaM6SVt" TargetMode="External"/><Relationship Id="rId121" Type="http://schemas.openxmlformats.org/officeDocument/2006/relationships/hyperlink" Target="http://tos.mx/KZn45n1" TargetMode="External"/><Relationship Id="rId142" Type="http://schemas.openxmlformats.org/officeDocument/2006/relationships/hyperlink" Target="http://tos.mx/Kukt6oy" TargetMode="External"/><Relationship Id="rId163" Type="http://schemas.openxmlformats.org/officeDocument/2006/relationships/hyperlink" Target="http://tos.mx/7nMf7uz" TargetMode="External"/><Relationship Id="rId184" Type="http://schemas.openxmlformats.org/officeDocument/2006/relationships/vmlDrawing" Target="../drawings/vmlDrawing2.vml"/><Relationship Id="rId3" Type="http://schemas.openxmlformats.org/officeDocument/2006/relationships/hyperlink" Target="http://tos.mx/bv0cERL" TargetMode="External"/><Relationship Id="rId25" Type="http://schemas.openxmlformats.org/officeDocument/2006/relationships/hyperlink" Target="http://tos.mx/8BsDSD0" TargetMode="External"/><Relationship Id="rId46" Type="http://schemas.openxmlformats.org/officeDocument/2006/relationships/hyperlink" Target="http://tos.mx/3F551mk" TargetMode="External"/><Relationship Id="rId67" Type="http://schemas.openxmlformats.org/officeDocument/2006/relationships/hyperlink" Target="..\AppData\Broken%20Down%20Trading%20Charts\LIZI_12_3_2020_MarkedUp.png" TargetMode="External"/><Relationship Id="rId116" Type="http://schemas.openxmlformats.org/officeDocument/2006/relationships/hyperlink" Target="http://tos.mx/Dnat0ET" TargetMode="External"/><Relationship Id="rId137" Type="http://schemas.openxmlformats.org/officeDocument/2006/relationships/hyperlink" Target="http://tos.mx/88Odmpx" TargetMode="External"/><Relationship Id="rId158" Type="http://schemas.openxmlformats.org/officeDocument/2006/relationships/hyperlink" Target="http://tos.mx/Ct3Y568" TargetMode="External"/><Relationship Id="rId20" Type="http://schemas.openxmlformats.org/officeDocument/2006/relationships/hyperlink" Target="http://tos.mx/NMQNpqY" TargetMode="External"/><Relationship Id="rId41" Type="http://schemas.openxmlformats.org/officeDocument/2006/relationships/hyperlink" Target="http://tos.mx/r65xX7P" TargetMode="External"/><Relationship Id="rId62" Type="http://schemas.openxmlformats.org/officeDocument/2006/relationships/hyperlink" Target="http://tos.mx/Qjf7lR7" TargetMode="External"/><Relationship Id="rId83" Type="http://schemas.openxmlformats.org/officeDocument/2006/relationships/hyperlink" Target="http://tos.mx/NQp4zDV" TargetMode="External"/><Relationship Id="rId88" Type="http://schemas.openxmlformats.org/officeDocument/2006/relationships/hyperlink" Target="http://tos.mx/LhRiFVl" TargetMode="External"/><Relationship Id="rId111" Type="http://schemas.openxmlformats.org/officeDocument/2006/relationships/hyperlink" Target="http://tos.mx/6qt2xrS" TargetMode="External"/><Relationship Id="rId132" Type="http://schemas.openxmlformats.org/officeDocument/2006/relationships/hyperlink" Target="http://tos.mx/q0VMbNr" TargetMode="External"/><Relationship Id="rId153" Type="http://schemas.openxmlformats.org/officeDocument/2006/relationships/hyperlink" Target="http://tos.mx/xahEnEe" TargetMode="External"/><Relationship Id="rId174" Type="http://schemas.openxmlformats.org/officeDocument/2006/relationships/hyperlink" Target="http://tos.mx/T1FMPeq" TargetMode="External"/><Relationship Id="rId179" Type="http://schemas.openxmlformats.org/officeDocument/2006/relationships/hyperlink" Target="http://tos.mx/RIqDgKj" TargetMode="External"/><Relationship Id="rId15" Type="http://schemas.openxmlformats.org/officeDocument/2006/relationships/hyperlink" Target="http://tos.mx/ZJMnzkC" TargetMode="External"/><Relationship Id="rId36" Type="http://schemas.openxmlformats.org/officeDocument/2006/relationships/hyperlink" Target="http://tos.mx/xGFeBXj" TargetMode="External"/><Relationship Id="rId57" Type="http://schemas.openxmlformats.org/officeDocument/2006/relationships/hyperlink" Target="http://tos.mx/DwGKQz0" TargetMode="External"/><Relationship Id="rId106" Type="http://schemas.openxmlformats.org/officeDocument/2006/relationships/hyperlink" Target="http://tos.mx/PBwbvIY" TargetMode="External"/><Relationship Id="rId127" Type="http://schemas.openxmlformats.org/officeDocument/2006/relationships/hyperlink" Target="http://tos.mx/Ghvo66x" TargetMode="External"/><Relationship Id="rId10" Type="http://schemas.openxmlformats.org/officeDocument/2006/relationships/hyperlink" Target="http://tos.mx/ogtJI6E" TargetMode="External"/><Relationship Id="rId31" Type="http://schemas.openxmlformats.org/officeDocument/2006/relationships/hyperlink" Target="http://tos.mx/Gw3I1S1" TargetMode="External"/><Relationship Id="rId52" Type="http://schemas.openxmlformats.org/officeDocument/2006/relationships/hyperlink" Target="http://tos.mx/dp7oJYX" TargetMode="External"/><Relationship Id="rId73" Type="http://schemas.openxmlformats.org/officeDocument/2006/relationships/hyperlink" Target="http://tos.mx/jspUOBY" TargetMode="External"/><Relationship Id="rId78" Type="http://schemas.openxmlformats.org/officeDocument/2006/relationships/hyperlink" Target="http://tos.mx/rIu7HW9" TargetMode="External"/><Relationship Id="rId94" Type="http://schemas.openxmlformats.org/officeDocument/2006/relationships/hyperlink" Target="http://tos.mx/ECbDLdV" TargetMode="External"/><Relationship Id="rId99" Type="http://schemas.openxmlformats.org/officeDocument/2006/relationships/hyperlink" Target="http://tos.mx/Tno8hxt" TargetMode="External"/><Relationship Id="rId101" Type="http://schemas.openxmlformats.org/officeDocument/2006/relationships/hyperlink" Target="http://tos.mx/sGtr7OW" TargetMode="External"/><Relationship Id="rId122" Type="http://schemas.openxmlformats.org/officeDocument/2006/relationships/hyperlink" Target="http://tos.mx/N0Q5Ifd" TargetMode="External"/><Relationship Id="rId143" Type="http://schemas.openxmlformats.org/officeDocument/2006/relationships/hyperlink" Target="http://tos.mx/vASMmKF" TargetMode="External"/><Relationship Id="rId148" Type="http://schemas.openxmlformats.org/officeDocument/2006/relationships/hyperlink" Target="http://tos.mx/RDpeVVb" TargetMode="External"/><Relationship Id="rId164" Type="http://schemas.openxmlformats.org/officeDocument/2006/relationships/hyperlink" Target="http://tos.mx/M151FbC" TargetMode="External"/><Relationship Id="rId169" Type="http://schemas.openxmlformats.org/officeDocument/2006/relationships/hyperlink" Target="http://tos.mx/QyLBrsh" TargetMode="External"/><Relationship Id="rId185" Type="http://schemas.openxmlformats.org/officeDocument/2006/relationships/table" Target="../tables/table2.xml"/><Relationship Id="rId4" Type="http://schemas.openxmlformats.org/officeDocument/2006/relationships/hyperlink" Target="http://tos.mx/G8qZd50" TargetMode="External"/><Relationship Id="rId9" Type="http://schemas.openxmlformats.org/officeDocument/2006/relationships/hyperlink" Target="http://tos.mx/Jbcnz0H" TargetMode="External"/><Relationship Id="rId180" Type="http://schemas.openxmlformats.org/officeDocument/2006/relationships/hyperlink" Target="http://tos.mx/yD6fn1K" TargetMode="External"/><Relationship Id="rId26" Type="http://schemas.openxmlformats.org/officeDocument/2006/relationships/hyperlink" Target="http://tos.mx/FXCznb7" TargetMode="External"/><Relationship Id="rId47" Type="http://schemas.openxmlformats.org/officeDocument/2006/relationships/hyperlink" Target="http://tos.mx/gtgBO1o" TargetMode="External"/><Relationship Id="rId68" Type="http://schemas.openxmlformats.org/officeDocument/2006/relationships/hyperlink" Target="http://tos.mx/63aZHfz" TargetMode="External"/><Relationship Id="rId89" Type="http://schemas.openxmlformats.org/officeDocument/2006/relationships/hyperlink" Target="http://tos.mx/n1uV1ak" TargetMode="External"/><Relationship Id="rId112" Type="http://schemas.openxmlformats.org/officeDocument/2006/relationships/hyperlink" Target="http://tos.mx/tuoGNZw" TargetMode="External"/><Relationship Id="rId133" Type="http://schemas.openxmlformats.org/officeDocument/2006/relationships/hyperlink" Target="http://tos.mx/vLEyqQe" TargetMode="External"/><Relationship Id="rId154" Type="http://schemas.openxmlformats.org/officeDocument/2006/relationships/hyperlink" Target="http://tos.mx/7h93TQQ" TargetMode="External"/><Relationship Id="rId175" Type="http://schemas.openxmlformats.org/officeDocument/2006/relationships/hyperlink" Target="http://tos.mx/LW5qo4q" TargetMode="External"/><Relationship Id="rId16" Type="http://schemas.openxmlformats.org/officeDocument/2006/relationships/hyperlink" Target="http://tos.mx/blwRHVC" TargetMode="External"/><Relationship Id="rId37" Type="http://schemas.openxmlformats.org/officeDocument/2006/relationships/hyperlink" Target="http://tos.mx/ClK7LIx" TargetMode="External"/><Relationship Id="rId58" Type="http://schemas.openxmlformats.org/officeDocument/2006/relationships/hyperlink" Target="http://tos.mx/wF6EMXp" TargetMode="External"/><Relationship Id="rId79" Type="http://schemas.openxmlformats.org/officeDocument/2006/relationships/hyperlink" Target="http://tos.mx/f2xqvr0" TargetMode="External"/><Relationship Id="rId102" Type="http://schemas.openxmlformats.org/officeDocument/2006/relationships/hyperlink" Target="http://tos.mx/idvMro1" TargetMode="External"/><Relationship Id="rId123" Type="http://schemas.openxmlformats.org/officeDocument/2006/relationships/hyperlink" Target="http://tos.mx/UmUaqJr" TargetMode="External"/><Relationship Id="rId144" Type="http://schemas.openxmlformats.org/officeDocument/2006/relationships/hyperlink" Target="http://tos.mx/YCpAaiK" TargetMode="External"/><Relationship Id="rId90" Type="http://schemas.openxmlformats.org/officeDocument/2006/relationships/hyperlink" Target="http://tos.mx/WJMgwu2" TargetMode="External"/><Relationship Id="rId165" Type="http://schemas.openxmlformats.org/officeDocument/2006/relationships/hyperlink" Target="http://tos.mx/rl0VcKO" TargetMode="External"/><Relationship Id="rId186" Type="http://schemas.openxmlformats.org/officeDocument/2006/relationships/comments" Target="../comments2.xml"/><Relationship Id="rId27" Type="http://schemas.openxmlformats.org/officeDocument/2006/relationships/hyperlink" Target="http://tos.mx/QXnUOvR" TargetMode="External"/><Relationship Id="rId48" Type="http://schemas.openxmlformats.org/officeDocument/2006/relationships/hyperlink" Target="http://tos.mx/5zGutQc" TargetMode="External"/><Relationship Id="rId69" Type="http://schemas.openxmlformats.org/officeDocument/2006/relationships/hyperlink" Target="../AppData/Broken%20Down%20Trading%20Charts/GTEC_12_7_20_MARKEDUP.png" TargetMode="External"/><Relationship Id="rId113" Type="http://schemas.openxmlformats.org/officeDocument/2006/relationships/hyperlink" Target="http://tos.mx/XIacE4h" TargetMode="External"/><Relationship Id="rId134" Type="http://schemas.openxmlformats.org/officeDocument/2006/relationships/hyperlink" Target="http://tos.mx/BYMzEYv" TargetMode="External"/><Relationship Id="rId80" Type="http://schemas.openxmlformats.org/officeDocument/2006/relationships/hyperlink" Target="http://tos.mx/pM4ni6d" TargetMode="External"/><Relationship Id="rId155" Type="http://schemas.openxmlformats.org/officeDocument/2006/relationships/hyperlink" Target="http://tos.mx/9rrne2J" TargetMode="External"/><Relationship Id="rId176" Type="http://schemas.openxmlformats.org/officeDocument/2006/relationships/hyperlink" Target="http://tos.mx/wQntF2x" TargetMode="External"/><Relationship Id="rId17" Type="http://schemas.openxmlformats.org/officeDocument/2006/relationships/hyperlink" Target="http://tos.mx/t02IWEk" TargetMode="External"/><Relationship Id="rId38" Type="http://schemas.openxmlformats.org/officeDocument/2006/relationships/hyperlink" Target="http://tos.mx/sNTvQpz" TargetMode="External"/><Relationship Id="rId59" Type="http://schemas.openxmlformats.org/officeDocument/2006/relationships/hyperlink" Target="http://tos.mx/0Shgtix" TargetMode="External"/><Relationship Id="rId103" Type="http://schemas.openxmlformats.org/officeDocument/2006/relationships/hyperlink" Target="http://tos.mx/ZV6dCeD" TargetMode="External"/><Relationship Id="rId124" Type="http://schemas.openxmlformats.org/officeDocument/2006/relationships/hyperlink" Target="http://tos.mx/RQxb83l" TargetMode="External"/><Relationship Id="rId70" Type="http://schemas.openxmlformats.org/officeDocument/2006/relationships/hyperlink" Target="http://tos.mx/OZsDomH" TargetMode="External"/><Relationship Id="rId91" Type="http://schemas.openxmlformats.org/officeDocument/2006/relationships/hyperlink" Target="http://tos.mx/qLJcHG6" TargetMode="External"/><Relationship Id="rId145" Type="http://schemas.openxmlformats.org/officeDocument/2006/relationships/hyperlink" Target="http://tos.mx/PlZsqd0" TargetMode="External"/><Relationship Id="rId166" Type="http://schemas.openxmlformats.org/officeDocument/2006/relationships/hyperlink" Target="http://tos.mx/jrmsg3u" TargetMode="External"/><Relationship Id="rId187" Type="http://schemas.microsoft.com/office/2017/10/relationships/threadedComment" Target="../threadedComments/threadedComment2.xml"/><Relationship Id="rId1" Type="http://schemas.openxmlformats.org/officeDocument/2006/relationships/hyperlink" Target="http://tos.mx/6nvSLTW" TargetMode="External"/><Relationship Id="rId28" Type="http://schemas.openxmlformats.org/officeDocument/2006/relationships/hyperlink" Target="http://tos.mx/C9NZ6Sg" TargetMode="External"/><Relationship Id="rId49" Type="http://schemas.openxmlformats.org/officeDocument/2006/relationships/hyperlink" Target="http://tos.mx/R6pFtAS" TargetMode="External"/><Relationship Id="rId114" Type="http://schemas.openxmlformats.org/officeDocument/2006/relationships/hyperlink" Target="http://tos.mx/YEwked9" TargetMode="External"/><Relationship Id="rId60" Type="http://schemas.openxmlformats.org/officeDocument/2006/relationships/hyperlink" Target="http://tos.mx/mtrqH0i" TargetMode="External"/><Relationship Id="rId81" Type="http://schemas.openxmlformats.org/officeDocument/2006/relationships/hyperlink" Target="http://tos.mx/DotIwag" TargetMode="External"/><Relationship Id="rId135" Type="http://schemas.openxmlformats.org/officeDocument/2006/relationships/hyperlink" Target="http://tos.mx/erz090Y" TargetMode="External"/><Relationship Id="rId156" Type="http://schemas.openxmlformats.org/officeDocument/2006/relationships/hyperlink" Target="http://tos.mx/yqxm32u" TargetMode="External"/><Relationship Id="rId177" Type="http://schemas.openxmlformats.org/officeDocument/2006/relationships/hyperlink" Target="http://tos.mx/u3cnWY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81CC6-1F4F-40A5-897E-A039694584B6}">
  <sheetPr codeName="Sheet1">
    <tabColor rgb="FF7030A0"/>
  </sheetPr>
  <dimension ref="A1:AR262"/>
  <sheetViews>
    <sheetView zoomScale="95" zoomScaleNormal="95" workbookViewId="0">
      <pane ySplit="1" topLeftCell="A2" activePane="bottomLeft" state="frozen"/>
      <selection activeCell="J1" sqref="J1"/>
      <selection pane="bottomLeft" activeCell="D1" sqref="D1:D1048576"/>
    </sheetView>
  </sheetViews>
  <sheetFormatPr defaultRowHeight="15" x14ac:dyDescent="0.25"/>
  <cols>
    <col min="1" max="1" width="11" style="10" customWidth="1"/>
    <col min="2" max="2" width="13.5703125" style="11" bestFit="1" customWidth="1"/>
    <col min="3" max="3" width="10.5703125" style="11" bestFit="1" customWidth="1"/>
    <col min="4" max="4" width="23.140625" style="17" customWidth="1"/>
    <col min="5" max="5" width="25" customWidth="1"/>
    <col min="6" max="6" width="8.85546875" style="18" customWidth="1"/>
    <col min="7" max="7" width="10.28515625" bestFit="1" customWidth="1"/>
    <col min="8" max="8" width="21" style="18" bestFit="1" customWidth="1"/>
    <col min="9" max="9" width="23.140625" style="18" customWidth="1"/>
    <col min="10" max="10" width="17.28515625" style="13" customWidth="1"/>
    <col min="11" max="11" width="18.28515625" style="18" customWidth="1"/>
    <col min="12" max="12" width="18.85546875" style="12" customWidth="1"/>
    <col min="13" max="13" width="21.7109375" style="12" customWidth="1"/>
    <col min="14" max="14" width="19.5703125" style="12" customWidth="1"/>
    <col min="15" max="15" width="20.42578125" style="12" customWidth="1"/>
    <col min="16" max="16" width="13.5703125" style="12" bestFit="1" customWidth="1"/>
    <col min="17" max="17" width="23.140625" style="18" customWidth="1"/>
    <col min="18" max="18" width="21" style="12" customWidth="1"/>
    <col min="19" max="20" width="20.85546875" style="18" customWidth="1"/>
    <col min="21" max="21" width="23.140625" style="13" customWidth="1"/>
    <col min="22" max="22" width="30.28515625" style="12" customWidth="1"/>
    <col min="23" max="23" width="24.140625" style="12" customWidth="1"/>
    <col min="24" max="24" width="16.140625" style="13" customWidth="1"/>
    <col min="25" max="25" width="19.140625" style="13" customWidth="1"/>
    <col min="26" max="26" width="30.42578125" style="19" customWidth="1"/>
    <col min="27" max="27" width="16.85546875" style="13" customWidth="1"/>
    <col min="28" max="29" width="25" style="13" customWidth="1"/>
    <col min="30" max="30" width="26.42578125" style="13" customWidth="1"/>
    <col min="31" max="31" width="30.85546875" style="13" customWidth="1"/>
    <col min="32" max="34" width="23.140625" style="18" customWidth="1"/>
    <col min="35" max="35" width="36.28515625" style="18" customWidth="1"/>
    <col min="36" max="37" width="29.7109375" style="17" customWidth="1"/>
    <col min="38" max="38" width="26.140625" style="17" customWidth="1"/>
    <col min="39" max="39" width="17.140625" style="22" customWidth="1"/>
    <col min="40" max="40" width="28.7109375" customWidth="1"/>
    <col min="41" max="41" width="28.42578125" customWidth="1"/>
    <col min="42" max="42" width="19.42578125" customWidth="1"/>
    <col min="43" max="43" width="18.42578125" customWidth="1"/>
    <col min="44" max="44" width="13.7109375" customWidth="1"/>
  </cols>
  <sheetData>
    <row r="1" spans="1:44" s="3" customFormat="1" ht="60" x14ac:dyDescent="0.25">
      <c r="A1" s="1" t="s">
        <v>0</v>
      </c>
      <c r="B1" s="2" t="s">
        <v>1</v>
      </c>
      <c r="C1" s="2" t="s">
        <v>142</v>
      </c>
      <c r="D1" s="4" t="s">
        <v>2</v>
      </c>
      <c r="E1" s="5" t="s">
        <v>3</v>
      </c>
      <c r="F1" s="6" t="s">
        <v>4</v>
      </c>
      <c r="G1" s="6" t="s">
        <v>5</v>
      </c>
      <c r="H1" s="6" t="s">
        <v>6</v>
      </c>
      <c r="I1" s="6" t="s">
        <v>7</v>
      </c>
      <c r="J1" s="6" t="s">
        <v>8</v>
      </c>
      <c r="K1" s="6" t="s">
        <v>9</v>
      </c>
      <c r="L1" s="6" t="s">
        <v>10</v>
      </c>
      <c r="M1" s="6" t="s">
        <v>11</v>
      </c>
      <c r="N1" s="5" t="s">
        <v>12</v>
      </c>
      <c r="O1" s="6" t="s">
        <v>13</v>
      </c>
      <c r="P1" s="5" t="s">
        <v>14</v>
      </c>
      <c r="Q1" s="5" t="s">
        <v>15</v>
      </c>
      <c r="R1" s="5" t="s">
        <v>16</v>
      </c>
      <c r="S1" s="5" t="s">
        <v>17</v>
      </c>
      <c r="T1" s="5" t="s">
        <v>18</v>
      </c>
      <c r="U1" s="3" t="s">
        <v>19</v>
      </c>
      <c r="V1" s="3" t="s">
        <v>20</v>
      </c>
      <c r="W1" s="3" t="s">
        <v>21</v>
      </c>
      <c r="X1" s="3" t="s">
        <v>22</v>
      </c>
      <c r="Y1" s="3" t="s">
        <v>23</v>
      </c>
      <c r="Z1" s="7" t="s">
        <v>24</v>
      </c>
      <c r="AA1" s="4" t="s">
        <v>25</v>
      </c>
      <c r="AB1" s="4" t="s">
        <v>26</v>
      </c>
      <c r="AC1" s="6" t="s">
        <v>27</v>
      </c>
      <c r="AD1" s="6" t="s">
        <v>28</v>
      </c>
      <c r="AE1" s="4" t="s">
        <v>29</v>
      </c>
      <c r="AF1" s="9" t="s">
        <v>30</v>
      </c>
      <c r="AG1" s="5" t="s">
        <v>31</v>
      </c>
      <c r="AH1" s="4" t="s">
        <v>32</v>
      </c>
      <c r="AI1" s="4" t="s">
        <v>152</v>
      </c>
      <c r="AJ1" s="4" t="s">
        <v>153</v>
      </c>
      <c r="AK1" s="4" t="s">
        <v>154</v>
      </c>
      <c r="AL1" s="4" t="s">
        <v>33</v>
      </c>
      <c r="AM1" s="4" t="s">
        <v>34</v>
      </c>
      <c r="AN1" s="4" t="s">
        <v>35</v>
      </c>
      <c r="AO1" s="4" t="s">
        <v>36</v>
      </c>
      <c r="AP1" s="4" t="s">
        <v>37</v>
      </c>
      <c r="AQ1" s="8" t="s">
        <v>38</v>
      </c>
      <c r="AR1" s="8" t="s">
        <v>39</v>
      </c>
    </row>
    <row r="2" spans="1:44" x14ac:dyDescent="0.25">
      <c r="A2" s="10" t="s">
        <v>40</v>
      </c>
      <c r="B2" s="11">
        <v>42048</v>
      </c>
      <c r="C2" s="47" t="s">
        <v>71</v>
      </c>
      <c r="D2" s="12">
        <v>23.4</v>
      </c>
      <c r="E2" s="13">
        <v>23.4</v>
      </c>
      <c r="F2" s="12">
        <v>29.2</v>
      </c>
      <c r="G2" s="12">
        <v>23.12</v>
      </c>
      <c r="H2" s="12">
        <v>28.76</v>
      </c>
      <c r="I2" s="12">
        <v>29.12</v>
      </c>
      <c r="J2" s="12">
        <v>29.12</v>
      </c>
      <c r="K2" s="12">
        <v>28.28</v>
      </c>
      <c r="L2" s="12">
        <v>37.97</v>
      </c>
      <c r="M2" s="12">
        <v>37.97</v>
      </c>
      <c r="N2" s="13">
        <v>36341793</v>
      </c>
      <c r="O2" s="12">
        <v>70600000</v>
      </c>
      <c r="P2" s="13">
        <v>58</v>
      </c>
      <c r="Q2" s="13">
        <f>Table13[[#This Row],[MKT CAP(M)]]/Table13[[#This Row],[Prior day close]]</f>
        <v>2.4786324786324787</v>
      </c>
      <c r="R2" s="14"/>
      <c r="S2" s="13">
        <v>190988</v>
      </c>
      <c r="T2" s="13" t="s">
        <v>41</v>
      </c>
      <c r="U2" t="s">
        <v>41</v>
      </c>
      <c r="V2">
        <v>1</v>
      </c>
      <c r="W2">
        <v>2</v>
      </c>
      <c r="X2">
        <v>29.81</v>
      </c>
      <c r="Y2">
        <v>50</v>
      </c>
      <c r="Z2" s="15">
        <f>Table13[[#This Row],[Time until ideal entry + 390 (6:30)]]/(1440)</f>
        <v>0.2722222222222222</v>
      </c>
      <c r="AA2" s="18">
        <f t="shared" ref="AA2:AA23" si="0">(F2-D2)/D2</f>
        <v>0.2478632478632479</v>
      </c>
      <c r="AB2" s="18">
        <f>IF(Table13[[#This Row],[HOD AFTER PM HI]]&gt;=Table13[[#This Row],[PM Hi]],((Table13[[#This Row],[HOD AFTER PM HI]]-Table13[[#This Row],[Prior day close]])/Table13[[#This Row],[Prior day close]]),Table13[[#This Row],[Prior Close to PM Hi %]])</f>
        <v>0.62264957264957266</v>
      </c>
      <c r="AC2" s="18">
        <f>(Table13[[#This Row],[Price at hi of squeeze]]-Table13[[#This Row],[MKT Open Price]])/Table13[[#This Row],[MKT Open Price]]</f>
        <v>0.30391483516483508</v>
      </c>
      <c r="AD2" s="18">
        <f>(Table13[[#This Row],[Price at hi of squeeze]]-Table13[[#This Row],[PM Hi]])/Table13[[#This Row],[PM Hi]]</f>
        <v>0.30034246575342466</v>
      </c>
      <c r="AE2" s="18">
        <f>(M2-K2)/K2</f>
        <v>0.34264497878359257</v>
      </c>
      <c r="AF2" s="20">
        <f>Table13[[#This Row],[PM VOL]]/1000000/Table13[[#This Row],[FLOAT(M)]]</f>
        <v>7.7053779310344822E-2</v>
      </c>
      <c r="AG2" s="21">
        <f>(Table13[[#This Row],[Volume]]/1000000)/Table13[[#This Row],[FLOAT(M)]]</f>
        <v>14.662033727586207</v>
      </c>
      <c r="AH2" s="18">
        <f>(Table13[[#This Row],[Hi of Spike after open before drop]]-Table13[[#This Row],[MKT Open Price]])/Table13[[#This Row],[MKT Open Price]]</f>
        <v>0</v>
      </c>
      <c r="AI2" s="18">
        <f>(Table13[[#This Row],[PM Hi]]-Table13[[#This Row],[MKT Open Price]])/(Table13[[#This Row],[PM Hi]])</f>
        <v>2.7397260273972017E-3</v>
      </c>
      <c r="AJ2" s="16">
        <f>IF(Table13[[#This Row],[PM LO]]&gt;Table13[[#This Row],[Prior day close]],(Table13[[#This Row],[PM Hi]]-Table13[[#This Row],[MKT Open Price]])/(Table13[[#This Row],[PM Hi]]-Table13[[#This Row],[Prior day close]]),(Table13[[#This Row],[PM Hi]]-Table13[[#This Row],[MKT Open Price]])/(Table13[[#This Row],[PM Hi]]-Table13[[#This Row],[PM LO]]))</f>
        <v>1.3157894736841829E-2</v>
      </c>
      <c r="AK2" s="16">
        <f>IF(Table13[[#This Row],[Prior day close]]&lt;Table13[[#This Row],[PM LO]],(I2-K2)/(I2-Table13[[#This Row],[Prior day close]]),(I2-K2)/(I2-Table13[[#This Row],[PM LO]]))</f>
        <v>0.13999999999999999</v>
      </c>
      <c r="AL2" s="16">
        <f>Table13[[#This Row],[Spike % on open before drop]]+AM2</f>
        <v>2.8846153846153841E-2</v>
      </c>
      <c r="AM2" s="16">
        <f t="shared" ref="AM2:AM11" si="1">(I2-K2)/I2</f>
        <v>2.8846153846153841E-2</v>
      </c>
      <c r="AN2" s="18">
        <f>IF($J2&gt;=$F2,($J2-$K2)/($J2-$D2),(IF($H2&lt;=$K2,($F2-$H2)/($F2-$D2),(Table13[[#This Row],[PM Hi]]-Table13[[#This Row],[Lowest lo from open to squeeze]])/(Table13[[#This Row],[PM Hi]]-Table13[[#This Row],[Prior day close]]))))</f>
        <v>0.15862068965517206</v>
      </c>
      <c r="AO2" s="18">
        <f>IF(Table13[[#This Row],[Prior day close]]&lt;=Table13[[#This Row],[PM LO]],IF($J2&gt;=$F2,($J2-$K2)/($J2-Table13[[#This Row],[Prior day close]]),(IF($H2&lt;=$K2,($F2-$H2)/($F2-Table13[[#This Row],[Prior day close]]),(Table13[[#This Row],[PM Hi]]-Table13[[#This Row],[Lowest lo from open to squeeze]])/(Table13[[#This Row],[PM Hi]]-Table13[[#This Row],[Prior day close]])))),IF($J2&gt;=$F2,($J2-$K2)/($J2-Table13[[#This Row],[PM LO]]),(IF($H2&lt;=$K2,($F2-$H2)/($F2-Table13[[#This Row],[PM LO]]),(Table13[[#This Row],[PM Hi]]-Table13[[#This Row],[Lowest lo from open to squeeze]])/(Table13[[#This Row],[PM Hi]]-Table13[[#This Row],[PM LO]])))))</f>
        <v>0.15131578947368396</v>
      </c>
      <c r="AP2" s="18">
        <f>1.55/4.71</f>
        <v>0.3290870488322718</v>
      </c>
      <c r="AQ2" s="17">
        <f>390+Table13[[#This Row],[Time until ideal entry point (mins) from open]]</f>
        <v>392</v>
      </c>
      <c r="AR2" s="51">
        <f>(Table13[[#This Row],[Time until ideal entry + 390 (6:30)]]+Table13[[#This Row],[Duration of frontside (mins)]])/1440</f>
        <v>0.30694444444444446</v>
      </c>
    </row>
    <row r="3" spans="1:44" x14ac:dyDescent="0.25">
      <c r="A3" s="10" t="s">
        <v>42</v>
      </c>
      <c r="B3" s="11">
        <v>42053</v>
      </c>
      <c r="C3" s="47" t="s">
        <v>71</v>
      </c>
      <c r="D3" s="12">
        <v>4.8600000000000003</v>
      </c>
      <c r="E3" s="13">
        <v>6</v>
      </c>
      <c r="F3" s="12">
        <v>6.88</v>
      </c>
      <c r="G3" s="12">
        <v>5.77</v>
      </c>
      <c r="H3" s="12">
        <v>6.55</v>
      </c>
      <c r="I3" s="12">
        <v>6.6</v>
      </c>
      <c r="J3" s="12">
        <v>6.87</v>
      </c>
      <c r="K3" s="12">
        <v>6.45</v>
      </c>
      <c r="L3" s="12">
        <v>7.8</v>
      </c>
      <c r="M3" s="12">
        <v>7.45</v>
      </c>
      <c r="N3" s="13">
        <v>25872205</v>
      </c>
      <c r="O3" s="12">
        <v>201012225</v>
      </c>
      <c r="P3" s="13">
        <v>455</v>
      </c>
      <c r="Q3" s="13">
        <f>Table13[[#This Row],[MKT CAP(M)]]/Table13[[#This Row],[Prior day close]]</f>
        <v>93.621399176954725</v>
      </c>
      <c r="R3" s="14"/>
      <c r="S3" s="13">
        <v>737291</v>
      </c>
      <c r="T3" s="13" t="s">
        <v>43</v>
      </c>
      <c r="U3" t="s">
        <v>43</v>
      </c>
      <c r="V3">
        <v>2</v>
      </c>
      <c r="W3">
        <v>3</v>
      </c>
      <c r="X3">
        <v>6.58</v>
      </c>
      <c r="Y3">
        <v>19</v>
      </c>
      <c r="Z3" s="15">
        <f>Table13[[#This Row],[Time until ideal entry + 390 (6:30)]]/(1440)</f>
        <v>0.27291666666666664</v>
      </c>
      <c r="AA3" s="18">
        <f t="shared" si="0"/>
        <v>0.41563786008230441</v>
      </c>
      <c r="AB3" s="18">
        <f>IF(Table13[[#This Row],[HOD AFTER PM HI]]&gt;=Table13[[#This Row],[PM Hi]],((Table13[[#This Row],[HOD AFTER PM HI]]-Table13[[#This Row],[Prior day close]])/Table13[[#This Row],[Prior day close]]),Table13[[#This Row],[Prior Close to PM Hi %]])</f>
        <v>0.60493827160493818</v>
      </c>
      <c r="AC3" s="18">
        <f>(Table13[[#This Row],[Price at hi of squeeze]]-Table13[[#This Row],[MKT Open Price]])/Table13[[#This Row],[MKT Open Price]]</f>
        <v>0.12878787878787887</v>
      </c>
      <c r="AD3" s="18">
        <f>(Table13[[#This Row],[Price at hi of squeeze]]-Table13[[#This Row],[PM Hi]])/Table13[[#This Row],[PM Hi]]</f>
        <v>8.2848837209302362E-2</v>
      </c>
      <c r="AE3" s="18">
        <f>(M3-K3)/K3</f>
        <v>0.15503875968992248</v>
      </c>
      <c r="AF3" s="20">
        <f>Table13[[#This Row],[PM VOL]]/1000000/Table13[[#This Row],[FLOAT(M)]]</f>
        <v>7.8752401318681331E-3</v>
      </c>
      <c r="AG3" s="21">
        <f>(Table13[[#This Row],[Volume]]/1000000)/Table13[[#This Row],[FLOAT(M)]]</f>
        <v>0.27634926659340664</v>
      </c>
      <c r="AH3" s="18">
        <f>(Table13[[#This Row],[Hi of Spike after open before drop]]-Table13[[#This Row],[MKT Open Price]])/Table13[[#This Row],[MKT Open Price]]</f>
        <v>4.0909090909090978E-2</v>
      </c>
      <c r="AI3" s="18">
        <f>(Table13[[#This Row],[PM Hi]]-Table13[[#This Row],[MKT Open Price]])/(Table13[[#This Row],[PM Hi]])</f>
        <v>4.0697674418604689E-2</v>
      </c>
      <c r="AJ3" s="16">
        <f>IF(Table13[[#This Row],[PM LO]]&gt;Table13[[#This Row],[Prior day close]],(Table13[[#This Row],[PM Hi]]-Table13[[#This Row],[MKT Open Price]])/(Table13[[#This Row],[PM Hi]]-Table13[[#This Row],[Prior day close]]),(Table13[[#This Row],[PM Hi]]-Table13[[#This Row],[MKT Open Price]])/(Table13[[#This Row],[PM Hi]]-Table13[[#This Row],[PM LO]]))</f>
        <v>0.13861386138613876</v>
      </c>
      <c r="AK3" s="16">
        <f>IF(Table13[[#This Row],[Prior day close]]&lt;Table13[[#This Row],[PM LO]],(I3-K3)/(I3-Table13[[#This Row],[Prior day close]]),(I3-K3)/(I3-Table13[[#This Row],[PM LO]]))</f>
        <v>8.6206896551723866E-2</v>
      </c>
      <c r="AL3" s="16">
        <f>Table13[[#This Row],[Spike % on open before drop]]+AM3</f>
        <v>6.363636363636363E-2</v>
      </c>
      <c r="AM3" s="16">
        <f t="shared" si="1"/>
        <v>2.2727272727272648E-2</v>
      </c>
      <c r="AN3" s="18">
        <f>IF($J3&gt;=$F3,($J3-$K3)/($J3-$D3),(IF($H3&lt;=$K3,($F3-$H3)/($F3-$D3),(Table13[[#This Row],[PM Hi]]-Table13[[#This Row],[Lowest lo from open to squeeze]])/(Table13[[#This Row],[PM Hi]]-Table13[[#This Row],[Prior day close]]))))</f>
        <v>0.21287128712871278</v>
      </c>
      <c r="AO3" s="18">
        <f>IF(Table13[[#This Row],[Prior day close]]&lt;=Table13[[#This Row],[PM LO]],IF($J3&gt;=$F3,($J3-$K3)/($J3-Table13[[#This Row],[Prior day close]]),(IF($H3&lt;=$K3,($F3-$H3)/($F3-Table13[[#This Row],[Prior day close]]),(Table13[[#This Row],[PM Hi]]-Table13[[#This Row],[Lowest lo from open to squeeze]])/(Table13[[#This Row],[PM Hi]]-Table13[[#This Row],[Prior day close]])))),IF($J3&gt;=$F3,($J3-$K3)/($J3-Table13[[#This Row],[PM LO]]),(IF($H3&lt;=$K3,($F3-$H3)/($F3-Table13[[#This Row],[PM LO]]),(Table13[[#This Row],[PM Hi]]-Table13[[#This Row],[Lowest lo from open to squeeze]])/(Table13[[#This Row],[PM Hi]]-Table13[[#This Row],[PM LO]])))))</f>
        <v>0.21287128712871278</v>
      </c>
      <c r="AP3" s="18">
        <f>0.44/2.03</f>
        <v>0.21674876847290642</v>
      </c>
      <c r="AQ3" s="17">
        <f>390+Table13[[#This Row],[Time until ideal entry point (mins) from open]]</f>
        <v>393</v>
      </c>
      <c r="AR3" s="51">
        <f>(Table13[[#This Row],[Time until ideal entry + 390 (6:30)]]+Table13[[#This Row],[Duration of frontside (mins)]])/1440</f>
        <v>0.28611111111111109</v>
      </c>
    </row>
    <row r="4" spans="1:44" x14ac:dyDescent="0.25">
      <c r="A4" s="10" t="s">
        <v>44</v>
      </c>
      <c r="B4" s="11">
        <v>42639</v>
      </c>
      <c r="C4" s="47" t="s">
        <v>71</v>
      </c>
      <c r="D4" s="12">
        <v>3.63</v>
      </c>
      <c r="E4" s="13">
        <v>4.24</v>
      </c>
      <c r="F4" s="12">
        <v>5</v>
      </c>
      <c r="G4" s="12">
        <v>4.21</v>
      </c>
      <c r="H4" s="12">
        <v>4.21</v>
      </c>
      <c r="I4" s="12">
        <v>4.6500000000000004</v>
      </c>
      <c r="J4" s="12">
        <v>4.74</v>
      </c>
      <c r="K4" s="12">
        <v>4.59</v>
      </c>
      <c r="L4" s="12">
        <v>6.65</v>
      </c>
      <c r="M4" s="12">
        <v>5.88</v>
      </c>
      <c r="N4" s="13">
        <v>100971132</v>
      </c>
      <c r="O4" s="12">
        <v>664034634</v>
      </c>
      <c r="P4" s="13">
        <v>529</v>
      </c>
      <c r="Q4" s="13">
        <f>Table13[[#This Row],[MKT CAP(M)]]/Table13[[#This Row],[Prior day close]]</f>
        <v>145.73002754820936</v>
      </c>
      <c r="R4" s="13"/>
      <c r="S4" s="13">
        <v>2548466</v>
      </c>
      <c r="T4" s="13" t="s">
        <v>43</v>
      </c>
      <c r="U4" t="s">
        <v>43</v>
      </c>
      <c r="V4">
        <v>1</v>
      </c>
      <c r="W4">
        <v>6</v>
      </c>
      <c r="X4">
        <v>4.7</v>
      </c>
      <c r="Y4">
        <v>70</v>
      </c>
      <c r="Z4" s="15">
        <f>Table13[[#This Row],[Time until ideal entry + 390 (6:30)]]/(1440)</f>
        <v>0.27500000000000002</v>
      </c>
      <c r="AA4" s="18">
        <f t="shared" si="0"/>
        <v>0.37741046831955927</v>
      </c>
      <c r="AB4" s="18">
        <f>IF(Table13[[#This Row],[HOD AFTER PM HI]]&gt;=Table13[[#This Row],[PM Hi]],((Table13[[#This Row],[HOD AFTER PM HI]]-Table13[[#This Row],[Prior day close]])/Table13[[#This Row],[Prior day close]]),Table13[[#This Row],[Prior Close to PM Hi %]])</f>
        <v>0.83195592286501396</v>
      </c>
      <c r="AC4" s="18">
        <f>(Table13[[#This Row],[Price at hi of squeeze]]-Table13[[#This Row],[MKT Open Price]])/Table13[[#This Row],[MKT Open Price]]</f>
        <v>0.26451612903225796</v>
      </c>
      <c r="AD4" s="18">
        <f>(Table13[[#This Row],[Price at hi of squeeze]]-Table13[[#This Row],[PM Hi]])/Table13[[#This Row],[PM Hi]]</f>
        <v>0.17599999999999999</v>
      </c>
      <c r="AE4" s="18">
        <f>(M4-K4)/K4</f>
        <v>0.28104575163398693</v>
      </c>
      <c r="AF4" s="20">
        <f>Table13[[#This Row],[PM VOL]]/1000000/Table13[[#This Row],[FLOAT(M)]]</f>
        <v>1.7487583327032135E-2</v>
      </c>
      <c r="AG4" s="23">
        <f>(Table13[[#This Row],[Volume]]/1000000)/Table13[[#This Row],[FLOAT(M)]]</f>
        <v>0.69286428952741019</v>
      </c>
      <c r="AH4" s="18">
        <f>(Table13[[#This Row],[Hi of Spike after open before drop]]-Table13[[#This Row],[MKT Open Price]])/Table13[[#This Row],[MKT Open Price]]</f>
        <v>1.9354838709677389E-2</v>
      </c>
      <c r="AI4" s="18">
        <f>(Table13[[#This Row],[PM Hi]]-Table13[[#This Row],[MKT Open Price]])/(Table13[[#This Row],[PM Hi]])</f>
        <v>6.9999999999999923E-2</v>
      </c>
      <c r="AJ4" s="16">
        <f>IF(Table13[[#This Row],[PM LO]]&gt;Table13[[#This Row],[Prior day close]],(Table13[[#This Row],[PM Hi]]-Table13[[#This Row],[MKT Open Price]])/(Table13[[#This Row],[PM Hi]]-Table13[[#This Row],[Prior day close]]),(Table13[[#This Row],[PM Hi]]-Table13[[#This Row],[MKT Open Price]])/(Table13[[#This Row],[PM Hi]]-Table13[[#This Row],[PM LO]]))</f>
        <v>0.25547445255474427</v>
      </c>
      <c r="AK4" s="16">
        <f>IF(Table13[[#This Row],[Prior day close]]&lt;Table13[[#This Row],[PM LO]],(I4-K4)/(I4-Table13[[#This Row],[Prior day close]]),(I4-K4)/(I4-Table13[[#This Row],[PM LO]]))</f>
        <v>5.882352941176517E-2</v>
      </c>
      <c r="AL4" s="16">
        <f>Table13[[#This Row],[Spike % on open before drop]]+AM4</f>
        <v>3.2258064516129108E-2</v>
      </c>
      <c r="AM4" s="16">
        <f t="shared" si="1"/>
        <v>1.2903225806451719E-2</v>
      </c>
      <c r="AN4" s="18">
        <f>IF($J4&gt;=$F4,($J4-$K4)/($J4-$D4),(IF($H4&lt;=$K4,($F4-$H4)/($F4-$D4),(Table13[[#This Row],[PM Hi]]-Table13[[#This Row],[Lowest lo from open to squeeze]])/(Table13[[#This Row],[PM Hi]]-Table13[[#This Row],[Prior day close]]))))</f>
        <v>0.57664233576642332</v>
      </c>
      <c r="AO4" s="18">
        <f>IF(Table13[[#This Row],[Prior day close]]&lt;=Table13[[#This Row],[PM LO]],IF($J4&gt;=$F4,($J4-$K4)/($J4-Table13[[#This Row],[Prior day close]]),(IF($H4&lt;=$K4,($F4-$H4)/($F4-Table13[[#This Row],[Prior day close]]),(Table13[[#This Row],[PM Hi]]-Table13[[#This Row],[Lowest lo from open to squeeze]])/(Table13[[#This Row],[PM Hi]]-Table13[[#This Row],[Prior day close]])))),IF($J4&gt;=$F4,($J4-$K4)/($J4-Table13[[#This Row],[PM LO]]),(IF($H4&lt;=$K4,($F4-$H4)/($F4-Table13[[#This Row],[PM LO]]),(Table13[[#This Row],[PM Hi]]-Table13[[#This Row],[Lowest lo from open to squeeze]])/(Table13[[#This Row],[PM Hi]]-Table13[[#This Row],[PM LO]])))))</f>
        <v>0.57664233576642332</v>
      </c>
      <c r="AP4" s="18">
        <f>0.82/1.37</f>
        <v>0.5985401459854014</v>
      </c>
      <c r="AQ4" s="17">
        <f>390+Table13[[#This Row],[Time until ideal entry point (mins) from open]]</f>
        <v>396</v>
      </c>
      <c r="AR4" s="51">
        <f>(Table13[[#This Row],[Time until ideal entry + 390 (6:30)]]+Table13[[#This Row],[Duration of frontside (mins)]])/1440</f>
        <v>0.32361111111111113</v>
      </c>
    </row>
    <row r="5" spans="1:44" x14ac:dyDescent="0.25">
      <c r="A5" s="24" t="s">
        <v>45</v>
      </c>
      <c r="B5" s="11">
        <v>43104</v>
      </c>
      <c r="C5" s="47" t="s">
        <v>71</v>
      </c>
      <c r="D5" s="12">
        <v>1.17</v>
      </c>
      <c r="E5" s="13">
        <v>1.3</v>
      </c>
      <c r="F5" s="12">
        <v>3.64</v>
      </c>
      <c r="G5" s="12">
        <v>1.3</v>
      </c>
      <c r="H5" s="12">
        <v>2.83</v>
      </c>
      <c r="I5" s="12">
        <v>2.84</v>
      </c>
      <c r="J5" s="12">
        <v>3.33</v>
      </c>
      <c r="K5" s="12">
        <v>2.76</v>
      </c>
      <c r="L5" s="12">
        <v>11.9</v>
      </c>
      <c r="M5" s="12">
        <v>11.9</v>
      </c>
      <c r="N5" s="13">
        <v>81662655</v>
      </c>
      <c r="O5" s="12">
        <v>781491436</v>
      </c>
      <c r="P5" s="13">
        <v>14</v>
      </c>
      <c r="Q5" s="13">
        <v>5</v>
      </c>
      <c r="R5" s="14"/>
      <c r="S5" s="13">
        <v>1381195</v>
      </c>
      <c r="T5" s="13" t="s">
        <v>43</v>
      </c>
      <c r="U5" t="s">
        <v>43</v>
      </c>
      <c r="V5">
        <v>4</v>
      </c>
      <c r="W5">
        <v>5</v>
      </c>
      <c r="X5">
        <v>2.86</v>
      </c>
      <c r="Y5">
        <v>337</v>
      </c>
      <c r="Z5" s="15">
        <f>Table13[[#This Row],[Time until ideal entry + 390 (6:30)]]/(1440)</f>
        <v>0.27430555555555558</v>
      </c>
      <c r="AA5" s="18">
        <f t="shared" si="0"/>
        <v>2.1111111111111116</v>
      </c>
      <c r="AB5" s="18">
        <f>IF(Table13[[#This Row],[HOD AFTER PM HI]]&gt;=Table13[[#This Row],[PM Hi]],((Table13[[#This Row],[HOD AFTER PM HI]]-Table13[[#This Row],[Prior day close]])/Table13[[#This Row],[Prior day close]]),Table13[[#This Row],[Prior Close to PM Hi %]])</f>
        <v>9.1709401709401721</v>
      </c>
      <c r="AC5" s="18">
        <f>(Table13[[#This Row],[Price at hi of squeeze]]-Table13[[#This Row],[MKT Open Price]])/Table13[[#This Row],[MKT Open Price]]</f>
        <v>3.1901408450704229</v>
      </c>
      <c r="AD5" s="18">
        <f>(Table13[[#This Row],[Price at hi of squeeze]]-Table13[[#This Row],[PM Hi]])/Table13[[#This Row],[PM Hi]]</f>
        <v>2.2692307692307692</v>
      </c>
      <c r="AE5" s="18">
        <f>(M5-K5)/K5</f>
        <v>3.3115942028985512</v>
      </c>
      <c r="AF5" s="20">
        <f>Table13[[#This Row],[PM VOL]]/1000000/Table13[[#This Row],[FLOAT(M)]]</f>
        <v>0.27623900000000001</v>
      </c>
      <c r="AG5" s="21">
        <f>(Table13[[#This Row],[Volume]]/1000000)/Table13[[#This Row],[FLOAT(M)]]</f>
        <v>16.332530999999999</v>
      </c>
      <c r="AH5" s="18">
        <f>(Table13[[#This Row],[Hi of Spike after open before drop]]-Table13[[#This Row],[MKT Open Price]])/Table13[[#This Row],[MKT Open Price]]</f>
        <v>0.17253521126760571</v>
      </c>
      <c r="AI5" s="18">
        <f>(Table13[[#This Row],[PM Hi]]-Table13[[#This Row],[MKT Open Price]])/(Table13[[#This Row],[PM Hi]])</f>
        <v>0.21978021978021983</v>
      </c>
      <c r="AJ5" s="16">
        <f>IF(Table13[[#This Row],[PM LO]]&gt;Table13[[#This Row],[Prior day close]],(Table13[[#This Row],[PM Hi]]-Table13[[#This Row],[MKT Open Price]])/(Table13[[#This Row],[PM Hi]]-Table13[[#This Row],[Prior day close]]),(Table13[[#This Row],[PM Hi]]-Table13[[#This Row],[MKT Open Price]])/(Table13[[#This Row],[PM Hi]]-Table13[[#This Row],[PM LO]]))</f>
        <v>0.32388663967611342</v>
      </c>
      <c r="AK5" s="16">
        <f>IF(Table13[[#This Row],[Prior day close]]&lt;Table13[[#This Row],[PM LO]],(I5-K5)/(I5-Table13[[#This Row],[Prior day close]]),(I5-K5)/(I5-Table13[[#This Row],[PM LO]]))</f>
        <v>4.7904191616766512E-2</v>
      </c>
      <c r="AL5" s="16">
        <f>Table13[[#This Row],[Spike % on open before drop]]+AM5</f>
        <v>0.20070422535211277</v>
      </c>
      <c r="AM5" s="16">
        <f t="shared" si="1"/>
        <v>2.8169014084507067E-2</v>
      </c>
      <c r="AN5" s="18">
        <f>IF($J5&gt;=$F5,($J5-$K5)/($J5-$D5),(IF($H5&lt;=$K5,($F5-$H5)/($F5-$D5),(Table13[[#This Row],[PM Hi]]-Table13[[#This Row],[Lowest lo from open to squeeze]])/(Table13[[#This Row],[PM Hi]]-Table13[[#This Row],[Prior day close]]))))</f>
        <v>0.35627530364372478</v>
      </c>
      <c r="AO5" s="18">
        <f>IF(Table13[[#This Row],[Prior day close]]&lt;=Table13[[#This Row],[PM LO]],IF($J5&gt;=$F5,($J5-$K5)/($J5-Table13[[#This Row],[Prior day close]]),(IF($H5&lt;=$K5,($F5-$H5)/($F5-Table13[[#This Row],[Prior day close]]),(Table13[[#This Row],[PM Hi]]-Table13[[#This Row],[Lowest lo from open to squeeze]])/(Table13[[#This Row],[PM Hi]]-Table13[[#This Row],[Prior day close]])))),IF($J5&gt;=$F5,($J5-$K5)/($J5-Table13[[#This Row],[PM LO]]),(IF($H5&lt;=$K5,($F5-$H5)/($F5-Table13[[#This Row],[PM LO]]),(Table13[[#This Row],[PM Hi]]-Table13[[#This Row],[Lowest lo from open to squeeze]])/(Table13[[#This Row],[PM Hi]]-Table13[[#This Row],[PM LO]])))))</f>
        <v>0.35627530364372478</v>
      </c>
      <c r="AP5" s="18">
        <f>0.85/2.4</f>
        <v>0.35416666666666669</v>
      </c>
      <c r="AQ5" s="17">
        <f>390+Table13[[#This Row],[Time until ideal entry point (mins) from open]]</f>
        <v>395</v>
      </c>
      <c r="AR5" s="51">
        <f>(Table13[[#This Row],[Time until ideal entry + 390 (6:30)]]+Table13[[#This Row],[Duration of frontside (mins)]])/1440</f>
        <v>0.5083333333333333</v>
      </c>
    </row>
    <row r="6" spans="1:44" x14ac:dyDescent="0.25">
      <c r="A6" s="25" t="s">
        <v>46</v>
      </c>
      <c r="B6" s="11">
        <v>43391</v>
      </c>
      <c r="C6" s="47" t="s">
        <v>71</v>
      </c>
      <c r="D6" s="12">
        <v>2.36</v>
      </c>
      <c r="E6" s="13">
        <v>2.4700000000000002</v>
      </c>
      <c r="F6" s="12">
        <v>6.55</v>
      </c>
      <c r="G6" s="12">
        <v>2.4700000000000002</v>
      </c>
      <c r="H6" s="12">
        <v>5.7</v>
      </c>
      <c r="I6" s="12">
        <v>5.97</v>
      </c>
      <c r="J6" s="12">
        <v>6.15</v>
      </c>
      <c r="K6" s="12">
        <v>5.7</v>
      </c>
      <c r="L6" s="12">
        <v>10.38</v>
      </c>
      <c r="M6" s="12">
        <v>8</v>
      </c>
      <c r="N6" s="13">
        <v>92939969</v>
      </c>
      <c r="O6" s="12">
        <v>946613731</v>
      </c>
      <c r="P6" s="13">
        <v>69</v>
      </c>
      <c r="Q6" s="13">
        <f>Table13[[#This Row],[MKT CAP(M)]]/Table13[[#This Row],[Prior day close]]</f>
        <v>29.237288135593221</v>
      </c>
      <c r="R6" s="13"/>
      <c r="S6" s="13">
        <v>9384393</v>
      </c>
      <c r="T6" s="13" t="s">
        <v>43</v>
      </c>
      <c r="U6" t="s">
        <v>43</v>
      </c>
      <c r="V6">
        <v>1</v>
      </c>
      <c r="W6">
        <v>2</v>
      </c>
      <c r="X6">
        <v>6.07</v>
      </c>
      <c r="Y6">
        <v>17</v>
      </c>
      <c r="Z6" s="15">
        <f>Table13[[#This Row],[Time until ideal entry + 390 (6:30)]]/(1440)</f>
        <v>0.2722222222222222</v>
      </c>
      <c r="AA6" s="18">
        <f t="shared" si="0"/>
        <v>1.7754237288135593</v>
      </c>
      <c r="AB6" s="18">
        <f>IF(Table13[[#This Row],[HOD AFTER PM HI]]&gt;=Table13[[#This Row],[PM Hi]],((Table13[[#This Row],[HOD AFTER PM HI]]-Table13[[#This Row],[Prior day close]])/Table13[[#This Row],[Prior day close]]),Table13[[#This Row],[Prior Close to PM Hi %]])</f>
        <v>3.3983050847457634</v>
      </c>
      <c r="AC6" s="18">
        <f>(Table13[[#This Row],[Price at hi of squeeze]]-Table13[[#This Row],[MKT Open Price]])/Table13[[#This Row],[MKT Open Price]]</f>
        <v>0.34003350083752099</v>
      </c>
      <c r="AD6" s="18">
        <f>(Table13[[#This Row],[Price at hi of squeeze]]-Table13[[#This Row],[PM Hi]])/Table13[[#This Row],[PM Hi]]</f>
        <v>0.22137404580152675</v>
      </c>
      <c r="AE6" s="18">
        <f>(M6-K6)/K6</f>
        <v>0.40350877192982454</v>
      </c>
      <c r="AF6" s="20">
        <f>Table13[[#This Row],[PM VOL]]/1000000/Table13[[#This Row],[FLOAT(M)]]</f>
        <v>0.32097344173913039</v>
      </c>
      <c r="AG6" s="23">
        <f>(Table13[[#This Row],[Volume]]/1000000)/Table13[[#This Row],[FLOAT(M)]]</f>
        <v>3.178816331014493</v>
      </c>
      <c r="AH6" s="18">
        <f>(Table13[[#This Row],[Hi of Spike after open before drop]]-Table13[[#This Row],[MKT Open Price]])/Table13[[#This Row],[MKT Open Price]]</f>
        <v>3.0150753768844324E-2</v>
      </c>
      <c r="AI6" s="18">
        <f>(Table13[[#This Row],[PM Hi]]-Table13[[#This Row],[MKT Open Price]])/(Table13[[#This Row],[PM Hi]])</f>
        <v>8.8549618320610701E-2</v>
      </c>
      <c r="AJ6" s="16">
        <f>IF(Table13[[#This Row],[PM LO]]&gt;Table13[[#This Row],[Prior day close]],(Table13[[#This Row],[PM Hi]]-Table13[[#This Row],[MKT Open Price]])/(Table13[[#This Row],[PM Hi]]-Table13[[#This Row],[Prior day close]]),(Table13[[#This Row],[PM Hi]]-Table13[[#This Row],[MKT Open Price]])/(Table13[[#This Row],[PM Hi]]-Table13[[#This Row],[PM LO]]))</f>
        <v>0.13842482100238668</v>
      </c>
      <c r="AK6" s="16">
        <f>IF(Table13[[#This Row],[Prior day close]]&lt;Table13[[#This Row],[PM LO]],(I6-K6)/(I6-Table13[[#This Row],[Prior day close]]),(I6-K6)/(I6-Table13[[#This Row],[PM LO]]))</f>
        <v>7.4792243767312902E-2</v>
      </c>
      <c r="AL6" s="16">
        <f>Table13[[#This Row],[Spike % on open before drop]]+AM6</f>
        <v>7.5376884422110588E-2</v>
      </c>
      <c r="AM6" s="16">
        <f t="shared" si="1"/>
        <v>4.5226130653266264E-2</v>
      </c>
      <c r="AN6" s="18">
        <f>IF($J6&gt;=$F6,($J6-$K6)/($J6-$D6),(IF($H6&lt;=$K6,($F6-$H6)/($F6-$D6),(Table13[[#This Row],[PM Hi]]-Table13[[#This Row],[Lowest lo from open to squeeze]])/(Table13[[#This Row],[PM Hi]]-Table13[[#This Row],[Prior day close]]))))</f>
        <v>0.20286396181384242</v>
      </c>
      <c r="AO6" s="18">
        <f>IF(Table13[[#This Row],[Prior day close]]&lt;=Table13[[#This Row],[PM LO]],IF($J6&gt;=$F6,($J6-$K6)/($J6-Table13[[#This Row],[Prior day close]]),(IF($H6&lt;=$K6,($F6-$H6)/($F6-Table13[[#This Row],[Prior day close]]),(Table13[[#This Row],[PM Hi]]-Table13[[#This Row],[Lowest lo from open to squeeze]])/(Table13[[#This Row],[PM Hi]]-Table13[[#This Row],[Prior day close]])))),IF($J6&gt;=$F6,($J6-$K6)/($J6-Table13[[#This Row],[PM LO]]),(IF($H6&lt;=$K6,($F6-$H6)/($F6-Table13[[#This Row],[PM LO]]),(Table13[[#This Row],[PM Hi]]-Table13[[#This Row],[Lowest lo from open to squeeze]])/(Table13[[#This Row],[PM Hi]]-Table13[[#This Row],[PM LO]])))))</f>
        <v>0.20286396181384242</v>
      </c>
      <c r="AP6" s="18">
        <f>0.93/4.27</f>
        <v>0.2177985948477752</v>
      </c>
      <c r="AQ6" s="17">
        <f>390+Table13[[#This Row],[Time until ideal entry point (mins) from open]]</f>
        <v>392</v>
      </c>
      <c r="AR6" s="51">
        <f>(Table13[[#This Row],[Time until ideal entry + 390 (6:30)]]+Table13[[#This Row],[Duration of frontside (mins)]])/1440</f>
        <v>0.28402777777777777</v>
      </c>
    </row>
    <row r="7" spans="1:44" s="26" customFormat="1" x14ac:dyDescent="0.25">
      <c r="A7" s="10" t="s">
        <v>47</v>
      </c>
      <c r="B7" s="11">
        <v>43524</v>
      </c>
      <c r="C7" s="47" t="s">
        <v>71</v>
      </c>
      <c r="D7" s="12">
        <v>5.4</v>
      </c>
      <c r="E7" s="13">
        <v>5.85</v>
      </c>
      <c r="F7" s="12">
        <v>9.6999999999999993</v>
      </c>
      <c r="G7" s="12">
        <v>5.85</v>
      </c>
      <c r="H7" s="12">
        <v>7.83</v>
      </c>
      <c r="I7" s="12">
        <v>8.11</v>
      </c>
      <c r="J7" s="12">
        <v>8.36</v>
      </c>
      <c r="K7" s="12">
        <v>6.93</v>
      </c>
      <c r="L7" s="12">
        <v>10.4</v>
      </c>
      <c r="M7" s="12">
        <v>9.5</v>
      </c>
      <c r="N7" s="13">
        <v>35844942</v>
      </c>
      <c r="O7" s="12">
        <v>290142801</v>
      </c>
      <c r="P7" s="13">
        <f>2.92*5</f>
        <v>14.6</v>
      </c>
      <c r="Q7" s="13">
        <v>2.92</v>
      </c>
      <c r="R7" s="13"/>
      <c r="S7" s="13">
        <v>1341987</v>
      </c>
      <c r="T7" s="13" t="s">
        <v>43</v>
      </c>
      <c r="U7" t="s">
        <v>43</v>
      </c>
      <c r="V7">
        <v>11</v>
      </c>
      <c r="W7">
        <v>12</v>
      </c>
      <c r="X7">
        <v>7.08</v>
      </c>
      <c r="Y7">
        <v>77</v>
      </c>
      <c r="Z7" s="15">
        <f>Table13[[#This Row],[Time until ideal entry + 390 (6:30)]]/(1440)</f>
        <v>0.27916666666666667</v>
      </c>
      <c r="AA7" s="18">
        <f t="shared" si="0"/>
        <v>0.79629629629629606</v>
      </c>
      <c r="AB7" s="18">
        <f>IF(Table13[[#This Row],[HOD AFTER PM HI]]&gt;=Table13[[#This Row],[PM Hi]],((Table13[[#This Row],[HOD AFTER PM HI]]-Table13[[#This Row],[Prior day close]])/Table13[[#This Row],[Prior day close]]),Table13[[#This Row],[Prior Close to PM Hi %]])</f>
        <v>0.92592592592592582</v>
      </c>
      <c r="AC7" s="18">
        <f>(Table13[[#This Row],[Price at hi of squeeze]]-Table13[[#This Row],[MKT Open Price]])/Table13[[#This Row],[MKT Open Price]]</f>
        <v>0.17139334155363756</v>
      </c>
      <c r="AD7" s="18">
        <f>(Table13[[#This Row],[Price at hi of squeeze]]-Table13[[#This Row],[PM Hi]])/Table13[[#This Row],[PM Hi]]</f>
        <v>-2.0618556701030855E-2</v>
      </c>
      <c r="AE7" s="18">
        <v>0.38</v>
      </c>
      <c r="AF7" s="20">
        <f>Table13[[#This Row],[PM VOL]]/1000000/Table13[[#This Row],[FLOAT(M)]]</f>
        <v>0.45958458904109589</v>
      </c>
      <c r="AG7" s="23">
        <f>(Table13[[#This Row],[Volume]]/1000000)/Table13[[#This Row],[FLOAT(M)]]</f>
        <v>12.275665068493153</v>
      </c>
      <c r="AH7" s="18">
        <f>(Table13[[#This Row],[Hi of Spike after open before drop]]-Table13[[#This Row],[MKT Open Price]])/Table13[[#This Row],[MKT Open Price]]</f>
        <v>3.0826140567200989E-2</v>
      </c>
      <c r="AI7" s="18">
        <f>(Table13[[#This Row],[PM Hi]]-Table13[[#This Row],[MKT Open Price]])/(Table13[[#This Row],[PM Hi]])</f>
        <v>0.16391752577319588</v>
      </c>
      <c r="AJ7" s="16">
        <f>IF(Table13[[#This Row],[PM LO]]&gt;Table13[[#This Row],[Prior day close]],(Table13[[#This Row],[PM Hi]]-Table13[[#This Row],[MKT Open Price]])/(Table13[[#This Row],[PM Hi]]-Table13[[#This Row],[Prior day close]]),(Table13[[#This Row],[PM Hi]]-Table13[[#This Row],[MKT Open Price]])/(Table13[[#This Row],[PM Hi]]-Table13[[#This Row],[PM LO]]))</f>
        <v>0.36976744186046517</v>
      </c>
      <c r="AK7" s="16">
        <f>IF(Table13[[#This Row],[Prior day close]]&lt;Table13[[#This Row],[PM LO]],(I7-K7)/(I7-Table13[[#This Row],[Prior day close]]),(I7-K7)/(I7-Table13[[#This Row],[PM LO]]))</f>
        <v>0.43542435424354248</v>
      </c>
      <c r="AL7" s="16">
        <f>Table13[[#This Row],[Spike % on open before drop]]+AM7</f>
        <v>0.17632552404438961</v>
      </c>
      <c r="AM7" s="16">
        <f t="shared" si="1"/>
        <v>0.14549938347718863</v>
      </c>
      <c r="AN7" s="18">
        <f>IF($J7&gt;=$F7,($J7-$K7)/($J7),(IF($H7&lt;=$K7,($F7-$H7)/($F7),(Table13[[#This Row],[PM Hi]]-Table13[[#This Row],[Lowest lo from open to squeeze]])/(Table13[[#This Row],[PM Hi]]))))</f>
        <v>0.28556701030927834</v>
      </c>
      <c r="AO7" s="18">
        <f>IF(Table13[[#This Row],[Prior day close]]&lt;=Table13[[#This Row],[PM LO]],IF($J7&gt;=$F7,($J7-$K7)/($J7-Table13[[#This Row],[Prior day close]]),(IF($H7&lt;=$K7,($F7-$H7)/($F7-Table13[[#This Row],[Prior day close]]),(Table13[[#This Row],[PM Hi]]-Table13[[#This Row],[Lowest lo from open to squeeze]])/(Table13[[#This Row],[PM Hi]]-Table13[[#This Row],[Prior day close]])))),IF($J7&gt;=$F7,($J7-$K7)/($J7-Table13[[#This Row],[PM LO]]),(IF($H7&lt;=$K7,($F7-$H7)/($F7-Table13[[#This Row],[PM LO]]),(Table13[[#This Row],[PM Hi]]-Table13[[#This Row],[Lowest lo from open to squeeze]])/(Table13[[#This Row],[PM Hi]]-Table13[[#This Row],[PM LO]])))))</f>
        <v>0.64418604651162792</v>
      </c>
      <c r="AP7" s="18">
        <f>2.74/3.81</f>
        <v>0.71916010498687666</v>
      </c>
      <c r="AQ7" s="17">
        <f>390+Table13[[#This Row],[Time until ideal entry point (mins) from open]]</f>
        <v>402</v>
      </c>
      <c r="AR7" s="51">
        <f>(Table13[[#This Row],[Time until ideal entry + 390 (6:30)]]+Table13[[#This Row],[Duration of frontside (mins)]])/1440</f>
        <v>0.33263888888888887</v>
      </c>
    </row>
    <row r="8" spans="1:44" x14ac:dyDescent="0.25">
      <c r="A8" s="25" t="s">
        <v>48</v>
      </c>
      <c r="B8" s="11">
        <v>43530</v>
      </c>
      <c r="C8" s="47" t="s">
        <v>71</v>
      </c>
      <c r="D8" s="12">
        <v>4.72</v>
      </c>
      <c r="E8" s="13">
        <v>4.7300000000000004</v>
      </c>
      <c r="F8" s="12">
        <v>7.48</v>
      </c>
      <c r="G8" s="12">
        <v>4.7300000000000004</v>
      </c>
      <c r="H8" s="12">
        <v>7.22</v>
      </c>
      <c r="I8" s="12">
        <v>7.45</v>
      </c>
      <c r="J8" s="12">
        <v>7.72</v>
      </c>
      <c r="K8" s="12">
        <v>6.91</v>
      </c>
      <c r="L8" s="12">
        <v>14.6</v>
      </c>
      <c r="M8" s="12">
        <v>14.22</v>
      </c>
      <c r="N8" s="13">
        <v>71975174</v>
      </c>
      <c r="O8" s="12">
        <v>858591905</v>
      </c>
      <c r="P8" s="13">
        <v>8.1999999999999993</v>
      </c>
      <c r="Q8" s="13">
        <v>0.31571399999999999</v>
      </c>
      <c r="R8" s="13"/>
      <c r="S8" s="13">
        <v>2470999</v>
      </c>
      <c r="T8" s="13" t="s">
        <v>43</v>
      </c>
      <c r="U8" t="s">
        <v>43</v>
      </c>
      <c r="V8">
        <v>11</v>
      </c>
      <c r="W8">
        <v>12</v>
      </c>
      <c r="X8">
        <v>7.09</v>
      </c>
      <c r="Y8">
        <v>164</v>
      </c>
      <c r="Z8" s="15">
        <f>Table13[[#This Row],[Time until ideal entry + 390 (6:30)]]/(1440)</f>
        <v>0.27916666666666667</v>
      </c>
      <c r="AA8" s="18">
        <f t="shared" si="0"/>
        <v>0.58474576271186463</v>
      </c>
      <c r="AB8" s="18">
        <f>IF(Table13[[#This Row],[HOD AFTER PM HI]]&gt;=Table13[[#This Row],[PM Hi]],((Table13[[#This Row],[HOD AFTER PM HI]]-Table13[[#This Row],[Prior day close]])/Table13[[#This Row],[Prior day close]]),Table13[[#This Row],[Prior Close to PM Hi %]])</f>
        <v>2.0932203389830506</v>
      </c>
      <c r="AC8" s="18">
        <f>(Table13[[#This Row],[Price at hi of squeeze]]-Table13[[#This Row],[MKT Open Price]])/Table13[[#This Row],[MKT Open Price]]</f>
        <v>0.90872483221476519</v>
      </c>
      <c r="AD8" s="18">
        <f>(Table13[[#This Row],[Price at hi of squeeze]]-Table13[[#This Row],[PM Hi]])/Table13[[#This Row],[PM Hi]]</f>
        <v>0.90106951871657748</v>
      </c>
      <c r="AE8" s="18">
        <f t="shared" ref="AE8:AE39" si="2">(M8-K8)/K8</f>
        <v>1.0578871201157742</v>
      </c>
      <c r="AF8" s="20">
        <f>Table13[[#This Row],[PM VOL]]/1000000/Table13[[#This Row],[FLOAT(M)]]</f>
        <v>7.8267007481454733</v>
      </c>
      <c r="AG8" s="23">
        <f>(Table13[[#This Row],[Volume]]/1000000)/Table13[[#This Row],[FLOAT(M)]]</f>
        <v>227.9758705663987</v>
      </c>
      <c r="AH8" s="18">
        <f>(Table13[[#This Row],[Hi of Spike after open before drop]]-Table13[[#This Row],[MKT Open Price]])/Table13[[#This Row],[MKT Open Price]]</f>
        <v>3.6241610738254978E-2</v>
      </c>
      <c r="AI8" s="18">
        <f>(Table13[[#This Row],[PM Hi]]-Table13[[#This Row],[MKT Open Price]])/(Table13[[#This Row],[PM Hi]])</f>
        <v>4.0106951871658088E-3</v>
      </c>
      <c r="AJ8" s="16">
        <f>IF(Table13[[#This Row],[PM LO]]&gt;Table13[[#This Row],[Prior day close]],(Table13[[#This Row],[PM Hi]]-Table13[[#This Row],[MKT Open Price]])/(Table13[[#This Row],[PM Hi]]-Table13[[#This Row],[Prior day close]]),(Table13[[#This Row],[PM Hi]]-Table13[[#This Row],[MKT Open Price]])/(Table13[[#This Row],[PM Hi]]-Table13[[#This Row],[PM LO]]))</f>
        <v>1.0869565217391393E-2</v>
      </c>
      <c r="AK8" s="16">
        <f>IF(Table13[[#This Row],[Prior day close]]&lt;Table13[[#This Row],[PM LO]],(I8-K8)/(I8-Table13[[#This Row],[Prior day close]]),(I8-K8)/(I8-Table13[[#This Row],[PM LO]]))</f>
        <v>0.19780219780219779</v>
      </c>
      <c r="AL8" s="16">
        <f>Table13[[#This Row],[Spike % on open before drop]]+AM8</f>
        <v>0.10872483221476505</v>
      </c>
      <c r="AM8" s="16">
        <f t="shared" si="1"/>
        <v>7.2483221476510068E-2</v>
      </c>
      <c r="AN8" s="18">
        <f>IF($J8&gt;=$F8,($J8-$K8)/($J8-$D8),(IF($H8&lt;=$K8,($F8-$H8)/($F8-$D8),(Table13[[#This Row],[PM Hi]]-Table13[[#This Row],[Lowest lo from open to squeeze]])/(Table13[[#This Row],[PM Hi]]-Table13[[#This Row],[Prior day close]]))))</f>
        <v>0.26999999999999985</v>
      </c>
      <c r="AO8" s="18">
        <f>IF(Table13[[#This Row],[Prior day close]]&lt;=Table13[[#This Row],[PM LO]],IF($J8&gt;=$F8,($J8-$K8)/($J8-Table13[[#This Row],[Prior day close]]),(IF($H8&lt;=$K8,($F8-$H8)/($F8-Table13[[#This Row],[Prior day close]]),(Table13[[#This Row],[PM Hi]]-Table13[[#This Row],[Lowest lo from open to squeeze]])/(Table13[[#This Row],[PM Hi]]-Table13[[#This Row],[Prior day close]])))),IF($J8&gt;=$F8,($J8-$K8)/($J8-Table13[[#This Row],[PM LO]]),(IF($H8&lt;=$K8,($F8-$H8)/($F8-Table13[[#This Row],[PM LO]]),(Table13[[#This Row],[PM Hi]]-Table13[[#This Row],[Lowest lo from open to squeeze]])/(Table13[[#This Row],[PM Hi]]-Table13[[#This Row],[PM LO]])))))</f>
        <v>0.26999999999999985</v>
      </c>
      <c r="AP8" s="18">
        <f>1/3.22</f>
        <v>0.3105590062111801</v>
      </c>
      <c r="AQ8" s="17">
        <f>390+Table13[[#This Row],[Time until ideal entry point (mins) from open]]</f>
        <v>402</v>
      </c>
      <c r="AR8" s="51">
        <f>(Table13[[#This Row],[Time until ideal entry + 390 (6:30)]]+Table13[[#This Row],[Duration of frontside (mins)]])/1440</f>
        <v>0.39305555555555555</v>
      </c>
    </row>
    <row r="9" spans="1:44" x14ac:dyDescent="0.25">
      <c r="A9" s="26" t="s">
        <v>49</v>
      </c>
      <c r="B9" s="27">
        <v>43531</v>
      </c>
      <c r="C9" s="47" t="s">
        <v>71</v>
      </c>
      <c r="D9" s="28">
        <v>3.02</v>
      </c>
      <c r="E9" s="29">
        <v>3.02</v>
      </c>
      <c r="F9" s="28">
        <v>4.58</v>
      </c>
      <c r="G9" s="28">
        <v>3.02</v>
      </c>
      <c r="H9" s="28">
        <v>3.76</v>
      </c>
      <c r="I9" s="28">
        <v>3.79</v>
      </c>
      <c r="J9" s="28">
        <v>3.95</v>
      </c>
      <c r="K9" s="28">
        <v>3.37</v>
      </c>
      <c r="L9" s="28">
        <v>5.94</v>
      </c>
      <c r="M9" s="28">
        <v>5.94</v>
      </c>
      <c r="N9" s="29">
        <v>31185756</v>
      </c>
      <c r="O9" s="28">
        <v>140351967</v>
      </c>
      <c r="P9" s="13">
        <f>26</f>
        <v>26</v>
      </c>
      <c r="Q9" s="13">
        <v>8.34</v>
      </c>
      <c r="R9" s="29"/>
      <c r="S9" s="13">
        <v>1288362</v>
      </c>
      <c r="T9" s="29" t="s">
        <v>43</v>
      </c>
      <c r="U9" s="26" t="s">
        <v>41</v>
      </c>
      <c r="V9" s="26">
        <v>26</v>
      </c>
      <c r="W9" s="26">
        <v>27</v>
      </c>
      <c r="X9" s="26">
        <v>3.41</v>
      </c>
      <c r="Y9" s="26">
        <v>135</v>
      </c>
      <c r="Z9" s="30">
        <f>Table13[[#This Row],[Time until ideal entry + 390 (6:30)]]/(1440)</f>
        <v>0.28958333333333336</v>
      </c>
      <c r="AA9" s="31">
        <f t="shared" si="0"/>
        <v>0.51655629139072845</v>
      </c>
      <c r="AB9" s="31">
        <f>IF(Table13[[#This Row],[HOD AFTER PM HI]]&gt;=Table13[[#This Row],[PM Hi]],((Table13[[#This Row],[HOD AFTER PM HI]]-Table13[[#This Row],[Prior day close]])/Table13[[#This Row],[Prior day close]]),Table13[[#This Row],[Prior Close to PM Hi %]])</f>
        <v>0.96688741721854321</v>
      </c>
      <c r="AC9" s="31">
        <f>(Table13[[#This Row],[Price at hi of squeeze]]-Table13[[#This Row],[MKT Open Price]])/Table13[[#This Row],[MKT Open Price]]</f>
        <v>0.56728232189973626</v>
      </c>
      <c r="AD9" s="33">
        <f>(Table13[[#This Row],[Price at hi of squeeze]]-Table13[[#This Row],[PM Hi]])/Table13[[#This Row],[PM Hi]]</f>
        <v>0.29694323144104812</v>
      </c>
      <c r="AE9" s="31">
        <f t="shared" si="2"/>
        <v>0.76261127596439171</v>
      </c>
      <c r="AF9" s="35">
        <f>Table13[[#This Row],[PM VOL]]/1000000/Table13[[#This Row],[FLOAT(M)]]</f>
        <v>0.15447985611510792</v>
      </c>
      <c r="AG9" s="34">
        <f>(Table13[[#This Row],[Volume]]/1000000)/Table13[[#This Row],[FLOAT(M)]]</f>
        <v>3.7392992805755396</v>
      </c>
      <c r="AH9" s="31">
        <f>(Table13[[#This Row],[Hi of Spike after open before drop]]-Table13[[#This Row],[MKT Open Price]])/Table13[[#This Row],[MKT Open Price]]</f>
        <v>4.2216358839050172E-2</v>
      </c>
      <c r="AI9" s="31">
        <f>(Table13[[#This Row],[PM Hi]]-Table13[[#This Row],[MKT Open Price]])/(Table13[[#This Row],[PM Hi]])</f>
        <v>0.17248908296943233</v>
      </c>
      <c r="AJ9" s="16">
        <f>IF(Table13[[#This Row],[PM LO]]&gt;Table13[[#This Row],[Prior day close]],(Table13[[#This Row],[PM Hi]]-Table13[[#This Row],[MKT Open Price]])/(Table13[[#This Row],[PM Hi]]-Table13[[#This Row],[Prior day close]]),(Table13[[#This Row],[PM Hi]]-Table13[[#This Row],[MKT Open Price]])/(Table13[[#This Row],[PM Hi]]-Table13[[#This Row],[PM LO]]))</f>
        <v>0.50641025641025639</v>
      </c>
      <c r="AK9" s="31">
        <f>IF(Table13[[#This Row],[Prior day close]]&lt;Table13[[#This Row],[PM LO]],(I9-K9)/(I9-Table13[[#This Row],[Prior day close]]),(I9-K9)/(I9-Table13[[#This Row],[PM LO]]))</f>
        <v>0.5454545454545453</v>
      </c>
      <c r="AL9" s="31">
        <f>Table13[[#This Row],[Spike % on open before drop]]+AM9</f>
        <v>0.15303430079155675</v>
      </c>
      <c r="AM9" s="31">
        <f t="shared" si="1"/>
        <v>0.11081794195250658</v>
      </c>
      <c r="AN9" s="31">
        <f>IF($J9&gt;=$F9,($J9-$K9)/($J9-$D9),(IF($H9&lt;=$K9,($F9-$H9)/($F9-$D9),(Table13[[#This Row],[PM Hi]]-Table13[[#This Row],[Lowest lo from open to squeeze]])/(Table13[[#This Row],[PM Hi]]-Table13[[#This Row],[Prior day close]]))))</f>
        <v>0.77564102564102555</v>
      </c>
      <c r="AO9" s="31">
        <f>IF(Table13[[#This Row],[Prior day close]]&lt;=Table13[[#This Row],[PM LO]],IF($J9&gt;=$F9,($J9-$K9)/($J9-Table13[[#This Row],[Prior day close]]),(IF($H9&lt;=$K9,($F9-$H9)/($F9-Table13[[#This Row],[Prior day close]]),(Table13[[#This Row],[PM Hi]]-Table13[[#This Row],[Lowest lo from open to squeeze]])/(Table13[[#This Row],[PM Hi]]-Table13[[#This Row],[Prior day close]])))),IF($J9&gt;=$F9,($J9-$K9)/($J9-Table13[[#This Row],[PM LO]]),(IF($H9&lt;=$K9,($F9-$H9)/($F9-Table13[[#This Row],[PM LO]]),(Table13[[#This Row],[PM Hi]]-Table13[[#This Row],[Lowest lo from open to squeeze]])/(Table13[[#This Row],[PM Hi]]-Table13[[#This Row],[PM LO]])))))</f>
        <v>0.77564102564102555</v>
      </c>
      <c r="AP9" s="31">
        <f>0.86/1.19-1</f>
        <v>-0.27731092436974791</v>
      </c>
      <c r="AQ9" s="32">
        <f>390+Table13[[#This Row],[Time until ideal entry point (mins) from open]]</f>
        <v>417</v>
      </c>
      <c r="AR9" s="51">
        <f>(Table13[[#This Row],[Time until ideal entry + 390 (6:30)]]+Table13[[#This Row],[Duration of frontside (mins)]])/1440</f>
        <v>0.38333333333333336</v>
      </c>
    </row>
    <row r="10" spans="1:44" s="36" customFormat="1" x14ac:dyDescent="0.25">
      <c r="A10" s="25" t="s">
        <v>50</v>
      </c>
      <c r="B10" s="11">
        <v>43532</v>
      </c>
      <c r="C10" s="47" t="s">
        <v>71</v>
      </c>
      <c r="D10" s="12">
        <v>4.67</v>
      </c>
      <c r="E10" s="13">
        <v>4.79</v>
      </c>
      <c r="F10" s="12">
        <v>9.6999999999999993</v>
      </c>
      <c r="G10" s="12">
        <v>4.24</v>
      </c>
      <c r="H10" s="12">
        <v>8.6</v>
      </c>
      <c r="I10" s="12">
        <v>8.9</v>
      </c>
      <c r="J10" s="12">
        <v>8.9600000000000009</v>
      </c>
      <c r="K10" s="12">
        <v>6.53</v>
      </c>
      <c r="L10" s="12">
        <v>9.65</v>
      </c>
      <c r="M10" s="12">
        <v>9.65</v>
      </c>
      <c r="N10" s="13">
        <v>28558128</v>
      </c>
      <c r="O10" s="12">
        <v>122533509</v>
      </c>
      <c r="P10" s="13">
        <f>1.97*4.7</f>
        <v>9.2590000000000003</v>
      </c>
      <c r="Q10" s="13">
        <v>1.97</v>
      </c>
      <c r="R10" s="13"/>
      <c r="S10" s="13">
        <v>2814049</v>
      </c>
      <c r="T10" s="13" t="s">
        <v>43</v>
      </c>
      <c r="U10" t="s">
        <v>43</v>
      </c>
      <c r="V10">
        <v>10</v>
      </c>
      <c r="W10">
        <v>62</v>
      </c>
      <c r="X10">
        <v>6.97</v>
      </c>
      <c r="Y10">
        <v>51</v>
      </c>
      <c r="Z10" s="15">
        <f>Table13[[#This Row],[Time until ideal entry + 390 (6:30)]]/(1440)</f>
        <v>0.31388888888888888</v>
      </c>
      <c r="AA10" s="18">
        <f t="shared" si="0"/>
        <v>1.0770877944325481</v>
      </c>
      <c r="AB10" s="18">
        <f>IF(Table13[[#This Row],[HOD AFTER PM HI]]&gt;=Table13[[#This Row],[PM Hi]],((Table13[[#This Row],[HOD AFTER PM HI]]-Table13[[#This Row],[Prior day close]])/Table13[[#This Row],[Prior day close]]),Table13[[#This Row],[Prior Close to PM Hi %]])</f>
        <v>1.0770877944325481</v>
      </c>
      <c r="AC10" s="18">
        <f>(Table13[[#This Row],[Price at hi of squeeze]]-Table13[[#This Row],[MKT Open Price]])/Table13[[#This Row],[MKT Open Price]]</f>
        <v>8.4269662921348312E-2</v>
      </c>
      <c r="AD10" s="18">
        <f>(Table13[[#This Row],[Price at hi of squeeze]]-Table13[[#This Row],[PM Hi]])/Table13[[#This Row],[PM Hi]]</f>
        <v>-5.1546391752576226E-3</v>
      </c>
      <c r="AE10" s="18">
        <f t="shared" si="2"/>
        <v>0.4777947932618683</v>
      </c>
      <c r="AF10" s="20">
        <f>Table13[[#This Row],[PM VOL]]/1000000/Table13[[#This Row],[FLOAT(M)]]</f>
        <v>1.4284512690355329</v>
      </c>
      <c r="AG10" s="23">
        <f>(Table13[[#This Row],[Volume]]/1000000)/Table13[[#This Row],[FLOAT(M)]]</f>
        <v>14.496511675126904</v>
      </c>
      <c r="AH10" s="18">
        <f>(Table13[[#This Row],[Hi of Spike after open before drop]]-Table13[[#This Row],[MKT Open Price]])/Table13[[#This Row],[MKT Open Price]]</f>
        <v>6.7415730337079208E-3</v>
      </c>
      <c r="AI10" s="18">
        <f>(Table13[[#This Row],[PM Hi]]-Table13[[#This Row],[MKT Open Price]])/(Table13[[#This Row],[PM Hi]])</f>
        <v>8.2474226804123613E-2</v>
      </c>
      <c r="AJ10" s="16">
        <f>IF(Table13[[#This Row],[PM LO]]&gt;Table13[[#This Row],[Prior day close]],(Table13[[#This Row],[PM Hi]]-Table13[[#This Row],[MKT Open Price]])/(Table13[[#This Row],[PM Hi]]-Table13[[#This Row],[Prior day close]]),(Table13[[#This Row],[PM Hi]]-Table13[[#This Row],[MKT Open Price]])/(Table13[[#This Row],[PM Hi]]-Table13[[#This Row],[PM LO]]))</f>
        <v>0.14652014652014636</v>
      </c>
      <c r="AK10" s="16">
        <f>IF(Table13[[#This Row],[Prior day close]]&lt;Table13[[#This Row],[PM LO]],(I10-K10)/(I10-Table13[[#This Row],[Prior day close]]),(I10-K10)/(I10-Table13[[#This Row],[PM LO]]))</f>
        <v>0.50858369098712453</v>
      </c>
      <c r="AL10" s="16">
        <f>Table13[[#This Row],[Spike % on open before drop]]+AM10</f>
        <v>0.27303370786516862</v>
      </c>
      <c r="AM10" s="16">
        <f t="shared" si="1"/>
        <v>0.26629213483146069</v>
      </c>
      <c r="AN10" s="18">
        <f>IF($J10&gt;=$F10,($J10-$K10)/($J10-$D10),(IF($H10&lt;=$K10,($F10-$H10)/($F10-$D10),(Table13[[#This Row],[PM Hi]]-Table13[[#This Row],[Lowest lo from open to squeeze]])/(Table13[[#This Row],[PM Hi]]-Table13[[#This Row],[Prior day close]]))))</f>
        <v>0.63021868787276336</v>
      </c>
      <c r="AO10" s="18">
        <f>IF(Table13[[#This Row],[Prior day close]]&lt;=Table13[[#This Row],[PM LO]],IF($J10&gt;=$F10,($J10-$K10)/($J10-Table13[[#This Row],[Prior day close]]),(IF($H10&lt;=$K10,($F10-$H10)/($F10-Table13[[#This Row],[Prior day close]]),(Table13[[#This Row],[PM Hi]]-Table13[[#This Row],[Lowest lo from open to squeeze]])/(Table13[[#This Row],[PM Hi]]-Table13[[#This Row],[Prior day close]])))),IF($J10&gt;=$F10,($J10-$K10)/($J10-Table13[[#This Row],[PM LO]]),(IF($H10&lt;=$K10,($F10-$H10)/($F10-Table13[[#This Row],[PM LO]]),(Table13[[#This Row],[PM Hi]]-Table13[[#This Row],[Lowest lo from open to squeeze]])/(Table13[[#This Row],[PM Hi]]-Table13[[#This Row],[PM LO]])))))</f>
        <v>0.58058608058608052</v>
      </c>
      <c r="AP10" s="18">
        <f>3.14/5.02</f>
        <v>0.6254980079681276</v>
      </c>
      <c r="AQ10" s="17">
        <f>390+Table13[[#This Row],[Time until ideal entry point (mins) from open]]</f>
        <v>452</v>
      </c>
      <c r="AR10" s="51">
        <f>(Table13[[#This Row],[Time until ideal entry + 390 (6:30)]]+Table13[[#This Row],[Duration of frontside (mins)]])/1440</f>
        <v>0.34930555555555554</v>
      </c>
    </row>
    <row r="11" spans="1:44" x14ac:dyDescent="0.25">
      <c r="A11" s="26" t="s">
        <v>51</v>
      </c>
      <c r="B11" s="27">
        <v>43542</v>
      </c>
      <c r="C11" s="47" t="s">
        <v>71</v>
      </c>
      <c r="D11" s="28">
        <v>6.84</v>
      </c>
      <c r="E11" s="29">
        <v>7.32</v>
      </c>
      <c r="F11" s="28">
        <v>14.98</v>
      </c>
      <c r="G11" s="28">
        <v>7.32</v>
      </c>
      <c r="H11" s="28">
        <v>10.66</v>
      </c>
      <c r="I11" s="28">
        <v>13.36</v>
      </c>
      <c r="J11" s="28">
        <v>13.77</v>
      </c>
      <c r="K11" s="28">
        <v>12.81</v>
      </c>
      <c r="L11" s="28">
        <v>14.91</v>
      </c>
      <c r="M11" s="28">
        <v>14.91</v>
      </c>
      <c r="N11" s="29">
        <v>39382237</v>
      </c>
      <c r="O11" s="28">
        <v>525419002</v>
      </c>
      <c r="P11" s="13">
        <f>290</f>
        <v>290</v>
      </c>
      <c r="Q11" s="13">
        <v>38</v>
      </c>
      <c r="R11" s="29"/>
      <c r="S11" s="13">
        <v>2448595</v>
      </c>
      <c r="T11" s="29" t="s">
        <v>43</v>
      </c>
      <c r="U11" s="26" t="s">
        <v>43</v>
      </c>
      <c r="V11" s="26">
        <v>3</v>
      </c>
      <c r="W11" s="26">
        <v>4</v>
      </c>
      <c r="X11" s="26">
        <v>12.94</v>
      </c>
      <c r="Y11" s="26">
        <v>6</v>
      </c>
      <c r="Z11" s="30">
        <f>Table13[[#This Row],[Time until ideal entry + 390 (6:30)]]/(1440)</f>
        <v>0.27361111111111114</v>
      </c>
      <c r="AA11" s="31">
        <f t="shared" si="0"/>
        <v>1.1900584795321638</v>
      </c>
      <c r="AB11" s="31">
        <f>IF(Table13[[#This Row],[HOD AFTER PM HI]]&gt;=Table13[[#This Row],[PM Hi]],((Table13[[#This Row],[HOD AFTER PM HI]]-Table13[[#This Row],[Prior day close]])/Table13[[#This Row],[Prior day close]]),Table13[[#This Row],[Prior Close to PM Hi %]])</f>
        <v>1.1900584795321638</v>
      </c>
      <c r="AC11" s="31">
        <f>(Table13[[#This Row],[Price at hi of squeeze]]-Table13[[#This Row],[MKT Open Price]])/Table13[[#This Row],[MKT Open Price]]</f>
        <v>0.11601796407185634</v>
      </c>
      <c r="AD11" s="33">
        <f>(Table13[[#This Row],[Price at hi of squeeze]]-Table13[[#This Row],[PM Hi]])/Table13[[#This Row],[PM Hi]]</f>
        <v>-4.672897196261701E-3</v>
      </c>
      <c r="AE11" s="31">
        <f t="shared" si="2"/>
        <v>0.16393442622950816</v>
      </c>
      <c r="AF11" s="35">
        <f>Table13[[#This Row],[PM VOL]]/1000000/Table13[[#This Row],[FLOAT(M)]]</f>
        <v>6.4436710526315791E-2</v>
      </c>
      <c r="AG11" s="34">
        <f>(Table13[[#This Row],[Volume]]/1000000)/Table13[[#This Row],[FLOAT(M)]]</f>
        <v>1.036374657894737</v>
      </c>
      <c r="AH11" s="31">
        <f>(Table13[[#This Row],[Hi of Spike after open before drop]]-Table13[[#This Row],[MKT Open Price]])/Table13[[#This Row],[MKT Open Price]]</f>
        <v>3.0688622754491031E-2</v>
      </c>
      <c r="AI11" s="31">
        <f>(Table13[[#This Row],[PM Hi]]-Table13[[#This Row],[MKT Open Price]])/(Table13[[#This Row],[PM Hi]])</f>
        <v>0.10814419225634185</v>
      </c>
      <c r="AJ11" s="16">
        <f>IF(Table13[[#This Row],[PM LO]]&gt;Table13[[#This Row],[Prior day close]],(Table13[[#This Row],[PM Hi]]-Table13[[#This Row],[MKT Open Price]])/(Table13[[#This Row],[PM Hi]]-Table13[[#This Row],[Prior day close]]),(Table13[[#This Row],[PM Hi]]-Table13[[#This Row],[MKT Open Price]])/(Table13[[#This Row],[PM Hi]]-Table13[[#This Row],[PM LO]]))</f>
        <v>0.19901719901719914</v>
      </c>
      <c r="AK11" s="31">
        <f>IF(Table13[[#This Row],[Prior day close]]&lt;Table13[[#This Row],[PM LO]],(I11-K11)/(I11-Table13[[#This Row],[Prior day close]]),(I11-K11)/(I11-Table13[[#This Row],[PM LO]]))</f>
        <v>8.4355828220858742E-2</v>
      </c>
      <c r="AL11" s="31">
        <f>Table13[[#This Row],[Spike % on open before drop]]+AM11</f>
        <v>7.1856287425149629E-2</v>
      </c>
      <c r="AM11" s="31">
        <f t="shared" si="1"/>
        <v>4.1167664670658605E-2</v>
      </c>
      <c r="AN11" s="31">
        <f>IF($J11&gt;=$F11,($J11-$K11)/($J11-$D11),(IF($H11&lt;=$K11,($F11-$H11)/($F11-$D11),(Table13[[#This Row],[PM Hi]]-Table13[[#This Row],[Lowest lo from open to squeeze]])/(Table13[[#This Row],[PM Hi]]-Table13[[#This Row],[Prior day close]]))))</f>
        <v>0.53071253071253066</v>
      </c>
      <c r="AO11" s="31">
        <f>IF(Table13[[#This Row],[Prior day close]]&lt;=Table13[[#This Row],[PM LO]],IF($J11&gt;=$F11,($J11-$K11)/($J11-Table13[[#This Row],[Prior day close]]),(IF($H11&lt;=$K11,($F11-$H11)/($F11-Table13[[#This Row],[Prior day close]]),(Table13[[#This Row],[PM Hi]]-Table13[[#This Row],[Lowest lo from open to squeeze]])/(Table13[[#This Row],[PM Hi]]-Table13[[#This Row],[Prior day close]])))),IF($J11&gt;=$F11,($J11-$K11)/($J11-Table13[[#This Row],[PM LO]]),(IF($H11&lt;=$K11,($F11-$H11)/($F11-Table13[[#This Row],[PM LO]]),(Table13[[#This Row],[PM Hi]]-Table13[[#This Row],[Lowest lo from open to squeeze]])/(Table13[[#This Row],[PM Hi]]-Table13[[#This Row],[PM LO]])))))</f>
        <v>0.53071253071253066</v>
      </c>
      <c r="AP11" s="31">
        <f>4.31/8.11</f>
        <v>0.53144266337854495</v>
      </c>
      <c r="AQ11" s="32">
        <f>390+Table13[[#This Row],[Time until ideal entry point (mins) from open]]</f>
        <v>394</v>
      </c>
      <c r="AR11" s="51">
        <f>(Table13[[#This Row],[Time until ideal entry + 390 (6:30)]]+Table13[[#This Row],[Duration of frontside (mins)]])/1440</f>
        <v>0.27777777777777779</v>
      </c>
    </row>
    <row r="12" spans="1:44" hidden="1" x14ac:dyDescent="0.25">
      <c r="A12" s="25" t="s">
        <v>52</v>
      </c>
      <c r="B12" s="11">
        <v>43558</v>
      </c>
      <c r="C12" s="47" t="s">
        <v>71</v>
      </c>
      <c r="D12" s="12">
        <v>5</v>
      </c>
      <c r="E12" s="13">
        <v>4.9000000000000004</v>
      </c>
      <c r="F12" s="12">
        <v>8.8800000000000008</v>
      </c>
      <c r="G12" s="12">
        <v>4.9000000000000004</v>
      </c>
      <c r="H12" s="12">
        <v>8.35</v>
      </c>
      <c r="I12" s="12">
        <v>8.61</v>
      </c>
      <c r="J12" s="12">
        <v>10.35</v>
      </c>
      <c r="K12" s="12">
        <v>7.81</v>
      </c>
      <c r="L12" s="12">
        <v>16.2</v>
      </c>
      <c r="M12" s="12">
        <v>16.2</v>
      </c>
      <c r="N12" s="13">
        <v>24418284</v>
      </c>
      <c r="O12" s="12">
        <v>192416077</v>
      </c>
      <c r="P12" s="13"/>
      <c r="Q12" s="13"/>
      <c r="R12" s="37" t="s">
        <v>53</v>
      </c>
      <c r="S12" s="13">
        <v>462960</v>
      </c>
      <c r="T12" s="37" t="s">
        <v>41</v>
      </c>
      <c r="U12" s="37" t="s">
        <v>43</v>
      </c>
      <c r="V12" s="38">
        <v>10</v>
      </c>
      <c r="W12">
        <v>11</v>
      </c>
      <c r="X12" s="39">
        <v>8.0500000000000007</v>
      </c>
      <c r="Y12">
        <v>46</v>
      </c>
      <c r="Z12" s="40">
        <f>Table13[[#This Row],[Time until ideal entry + 390 (6:30)]]/(1440)</f>
        <v>0.27847222222222223</v>
      </c>
      <c r="AA12" s="18">
        <f t="shared" si="0"/>
        <v>0.77600000000000013</v>
      </c>
      <c r="AB12" s="18">
        <f>IF(Table13[[#This Row],[HOD AFTER PM HI]]&gt;=Table13[[#This Row],[PM Hi]],((Table13[[#This Row],[HOD AFTER PM HI]]-Table13[[#This Row],[Prior day close]])/Table13[[#This Row],[Prior day close]]),Table13[[#This Row],[Prior Close to PM Hi %]])</f>
        <v>2.2399999999999998</v>
      </c>
      <c r="AC12" s="42">
        <f>(Table13[[#This Row],[Price at hi of squeeze]]-Table13[[#This Row],[MKT Open Price]])/Table13[[#This Row],[MKT Open Price]]</f>
        <v>0.88153310104529625</v>
      </c>
      <c r="AD12" s="18">
        <f>(Table13[[#This Row],[Price at hi of squeeze]]-Table13[[#This Row],[PM Hi]])/Table13[[#This Row],[PM Hi]]</f>
        <v>0.82432432432432412</v>
      </c>
      <c r="AE12" s="18">
        <f t="shared" si="2"/>
        <v>1.0742637644046096</v>
      </c>
      <c r="AF12" s="20" t="e">
        <f>Table13[[#This Row],[PM VOL]]/1000000/Table13[[#This Row],[FLOAT(M)]]</f>
        <v>#DIV/0!</v>
      </c>
      <c r="AG12" s="23" t="e">
        <f>(Table13[[#This Row],[Volume]]/1000000)/Table13[[#This Row],[FLOAT(M)]]</f>
        <v>#DIV/0!</v>
      </c>
      <c r="AI12" s="18">
        <f>(Table13[[#This Row],[PM Hi]]-Table13[[#This Row],[MKT Open Price]])/(Table13[[#This Row],[PM Hi]])</f>
        <v>3.0405405405405556E-2</v>
      </c>
      <c r="AJ12" s="16">
        <f>IF(Table13[[#This Row],[PM LO]]&gt;Table13[[#This Row],[Prior day close]],(Table13[[#This Row],[PM Hi]]-Table13[[#This Row],[MKT Open Price]])/(Table13[[#This Row],[PM Hi]]-Table13[[#This Row],[Prior day close]]),(Table13[[#This Row],[PM Hi]]-Table13[[#This Row],[MKT Open Price]])/(Table13[[#This Row],[PM Hi]]-Table13[[#This Row],[PM LO]]))</f>
        <v>6.7839195979899833E-2</v>
      </c>
      <c r="AK12" s="18">
        <f>IF(Table13[[#This Row],[Prior day close]]&lt;Table13[[#This Row],[PM LO]],(I12-K12)/(I12-Table13[[#This Row],[Prior day close]]),(I12-K12)/(I12-Table13[[#This Row],[PM LO]]))</f>
        <v>0.215633423180593</v>
      </c>
      <c r="AL12" s="18">
        <f>Table13[[#This Row],[Spike % on open before drop]]+AM12</f>
        <v>0</v>
      </c>
      <c r="AM12" s="16"/>
      <c r="AN12" s="16"/>
      <c r="AO12" s="18">
        <f>IF(Table13[[#This Row],[Prior day close]]&lt;=Table13[[#This Row],[PM LO]],IF($J12&gt;=$F12,($J12-$K12)/($J12-Table13[[#This Row],[Prior day close]]),(IF($H12&lt;=$K12,($F12-$H12)/($F12-Table13[[#This Row],[Prior day close]]),(Table13[[#This Row],[PM Hi]]-Table13[[#This Row],[Lowest lo from open to squeeze]])/(Table13[[#This Row],[PM Hi]]-Table13[[#This Row],[Prior day close]])))),IF($J12&gt;=$F12,($J12-$K12)/($J12-Table13[[#This Row],[PM LO]]),(IF($H12&lt;=$K12,($F12-$H12)/($F12-Table13[[#This Row],[PM LO]]),(Table13[[#This Row],[PM Hi]]-Table13[[#This Row],[Lowest lo from open to squeeze]])/(Table13[[#This Row],[PM Hi]]-Table13[[#This Row],[PM LO]])))))</f>
        <v>0.46605504587155971</v>
      </c>
      <c r="AP12" s="18"/>
      <c r="AQ12" s="17">
        <f>390+Table13[[#This Row],[Time until ideal entry point (mins) from open]]</f>
        <v>401</v>
      </c>
      <c r="AR12" s="51">
        <f>(Table13[[#This Row],[Time until ideal entry + 390 (6:30)]]+Table13[[#This Row],[Duration of frontside (mins)]])/1440</f>
        <v>0.31041666666666667</v>
      </c>
    </row>
    <row r="13" spans="1:44" s="26" customFormat="1" x14ac:dyDescent="0.25">
      <c r="A13" s="10" t="s">
        <v>54</v>
      </c>
      <c r="B13" s="11">
        <v>43601</v>
      </c>
      <c r="C13" s="47" t="s">
        <v>71</v>
      </c>
      <c r="D13" s="12">
        <v>0.91</v>
      </c>
      <c r="E13" s="13">
        <v>0.93</v>
      </c>
      <c r="F13" s="12">
        <v>1.34</v>
      </c>
      <c r="G13" s="12">
        <v>0.93</v>
      </c>
      <c r="H13" s="12">
        <v>1.19</v>
      </c>
      <c r="I13" s="12">
        <v>1.25</v>
      </c>
      <c r="J13" s="12">
        <v>1.27</v>
      </c>
      <c r="K13" s="12">
        <v>1.1499999999999999</v>
      </c>
      <c r="L13" s="12">
        <v>1.77</v>
      </c>
      <c r="M13" s="12">
        <v>1.42</v>
      </c>
      <c r="N13" s="13">
        <v>50865833</v>
      </c>
      <c r="O13" s="12">
        <v>71260392</v>
      </c>
      <c r="P13" s="13">
        <v>177</v>
      </c>
      <c r="Q13" s="13">
        <v>9.0500000000000007</v>
      </c>
      <c r="R13" s="14"/>
      <c r="S13" s="13">
        <v>2919768</v>
      </c>
      <c r="T13" s="13" t="s">
        <v>43</v>
      </c>
      <c r="U13" t="s">
        <v>43</v>
      </c>
      <c r="V13">
        <v>21</v>
      </c>
      <c r="W13">
        <v>22</v>
      </c>
      <c r="X13">
        <v>1.1599999999999999</v>
      </c>
      <c r="Y13">
        <v>38</v>
      </c>
      <c r="Z13" s="15">
        <f>Table13[[#This Row],[Time until ideal entry + 390 (6:30)]]/(1440)</f>
        <v>0.28611111111111109</v>
      </c>
      <c r="AA13" s="18">
        <f t="shared" si="0"/>
        <v>0.47252747252747257</v>
      </c>
      <c r="AB13" s="18">
        <f>IF(Table13[[#This Row],[HOD AFTER PM HI]]&gt;=Table13[[#This Row],[PM Hi]],((Table13[[#This Row],[HOD AFTER PM HI]]-Table13[[#This Row],[Prior day close]])/Table13[[#This Row],[Prior day close]]),Table13[[#This Row],[Prior Close to PM Hi %]])</f>
        <v>0.94505494505494503</v>
      </c>
      <c r="AC13" s="18">
        <f>(Table13[[#This Row],[Price at hi of squeeze]]-Table13[[#This Row],[MKT Open Price]])/Table13[[#This Row],[MKT Open Price]]</f>
        <v>0.13599999999999995</v>
      </c>
      <c r="AD13" s="18">
        <f>(Table13[[#This Row],[Price at hi of squeeze]]-Table13[[#This Row],[PM Hi]])/Table13[[#This Row],[PM Hi]]</f>
        <v>5.9701492537313314E-2</v>
      </c>
      <c r="AE13" s="18">
        <f t="shared" si="2"/>
        <v>0.23478260869565221</v>
      </c>
      <c r="AF13" s="20">
        <f>Table13[[#This Row],[PM VOL]]/1000000/Table13[[#This Row],[FLOAT(M)]]</f>
        <v>0.32262629834254142</v>
      </c>
      <c r="AG13" s="21">
        <f>(Table13[[#This Row],[Volume]]/1000000)/Table13[[#This Row],[FLOAT(M)]]</f>
        <v>5.6205340331491707</v>
      </c>
      <c r="AH13" s="18">
        <f>(Table13[[#This Row],[Hi of Spike after open before drop]]-Table13[[#This Row],[MKT Open Price]])/Table13[[#This Row],[MKT Open Price]]</f>
        <v>1.6000000000000014E-2</v>
      </c>
      <c r="AI13" s="18">
        <f>(Table13[[#This Row],[PM Hi]]-Table13[[#This Row],[MKT Open Price]])/(Table13[[#This Row],[PM Hi]])</f>
        <v>6.7164179104477667E-2</v>
      </c>
      <c r="AJ13" s="16">
        <f>IF(Table13[[#This Row],[PM LO]]&gt;Table13[[#This Row],[Prior day close]],(Table13[[#This Row],[PM Hi]]-Table13[[#This Row],[MKT Open Price]])/(Table13[[#This Row],[PM Hi]]-Table13[[#This Row],[Prior day close]]),(Table13[[#This Row],[PM Hi]]-Table13[[#This Row],[MKT Open Price]])/(Table13[[#This Row],[PM Hi]]-Table13[[#This Row],[PM LO]]))</f>
        <v>0.2093023255813955</v>
      </c>
      <c r="AK13" s="16">
        <f>IF(Table13[[#This Row],[Prior day close]]&lt;Table13[[#This Row],[PM LO]],(I13-K13)/(I13-Table13[[#This Row],[Prior day close]]),(I13-K13)/(I13-Table13[[#This Row],[PM LO]]))</f>
        <v>0.29411764705882382</v>
      </c>
      <c r="AL13" s="16">
        <f>Table13[[#This Row],[Spike % on open before drop]]+AM13</f>
        <v>9.6000000000000085E-2</v>
      </c>
      <c r="AM13" s="16">
        <f t="shared" ref="AM13:AM56" si="3">(I13-K13)/I13</f>
        <v>8.0000000000000071E-2</v>
      </c>
      <c r="AN13" s="18">
        <f>IF($J13&gt;=$F13,($J13-$K13)/($J13-$D13),(IF($H13&lt;=$K13,($F13-$H13)/($F13-$D13),(Table13[[#This Row],[PM Hi]]-Table13[[#This Row],[Lowest lo from open to squeeze]])/(Table13[[#This Row],[PM Hi]]-Table13[[#This Row],[Prior day close]]))))</f>
        <v>0.44186046511627941</v>
      </c>
      <c r="AO13" s="18">
        <f>IF(Table13[[#This Row],[Prior day close]]&lt;=Table13[[#This Row],[PM LO]],IF($J13&gt;=$F13,($J13-$K13)/($J13-Table13[[#This Row],[Prior day close]]),(IF($H13&lt;=$K13,($F13-$H13)/($F13-Table13[[#This Row],[Prior day close]]),(Table13[[#This Row],[PM Hi]]-Table13[[#This Row],[Lowest lo from open to squeeze]])/(Table13[[#This Row],[PM Hi]]-Table13[[#This Row],[Prior day close]])))),IF($J13&gt;=$F13,($J13-$K13)/($J13-Table13[[#This Row],[PM LO]]),(IF($H13&lt;=$K13,($F13-$H13)/($F13-Table13[[#This Row],[PM LO]]),(Table13[[#This Row],[PM Hi]]-Table13[[#This Row],[Lowest lo from open to squeeze]])/(Table13[[#This Row],[PM Hi]]-Table13[[#This Row],[PM LO]])))))</f>
        <v>0.44186046511627941</v>
      </c>
      <c r="AP13" s="18">
        <f>0.19/0.42</f>
        <v>0.45238095238095238</v>
      </c>
      <c r="AQ13" s="17">
        <f>390+Table13[[#This Row],[Time until ideal entry point (mins) from open]]</f>
        <v>412</v>
      </c>
      <c r="AR13" s="51">
        <f>(Table13[[#This Row],[Time until ideal entry + 390 (6:30)]]+Table13[[#This Row],[Duration of frontside (mins)]])/1440</f>
        <v>0.3125</v>
      </c>
    </row>
    <row r="14" spans="1:44" x14ac:dyDescent="0.25">
      <c r="A14" s="25" t="s">
        <v>55</v>
      </c>
      <c r="B14" s="11">
        <v>43626</v>
      </c>
      <c r="C14" s="47" t="s">
        <v>71</v>
      </c>
      <c r="D14" s="12">
        <v>5.5</v>
      </c>
      <c r="E14" s="13">
        <v>6.22</v>
      </c>
      <c r="F14" s="12">
        <v>12.9</v>
      </c>
      <c r="G14" s="12">
        <v>6.22</v>
      </c>
      <c r="H14" s="12">
        <v>10.41</v>
      </c>
      <c r="I14" s="12">
        <v>10.79</v>
      </c>
      <c r="J14" s="12">
        <v>11.22</v>
      </c>
      <c r="K14" s="12">
        <v>9.75</v>
      </c>
      <c r="L14" s="12">
        <v>22.82</v>
      </c>
      <c r="M14" s="12">
        <v>22.82</v>
      </c>
      <c r="N14" s="13">
        <v>26121380</v>
      </c>
      <c r="O14" s="12">
        <v>323502243</v>
      </c>
      <c r="P14" s="13">
        <v>163</v>
      </c>
      <c r="Q14" s="13">
        <v>24.62</v>
      </c>
      <c r="R14" s="14"/>
      <c r="S14" s="13">
        <v>1153010</v>
      </c>
      <c r="T14" s="13" t="s">
        <v>41</v>
      </c>
      <c r="U14" t="s">
        <v>43</v>
      </c>
      <c r="V14">
        <v>4</v>
      </c>
      <c r="W14">
        <v>5</v>
      </c>
      <c r="X14">
        <v>10.23</v>
      </c>
      <c r="Y14">
        <v>51</v>
      </c>
      <c r="Z14" s="15">
        <f>Table13[[#This Row],[Time until ideal entry + 390 (6:30)]]/(1440)</f>
        <v>0.27430555555555558</v>
      </c>
      <c r="AA14" s="18">
        <f t="shared" si="0"/>
        <v>1.3454545454545455</v>
      </c>
      <c r="AB14" s="18">
        <f>IF(Table13[[#This Row],[HOD AFTER PM HI]]&gt;=Table13[[#This Row],[PM Hi]],((Table13[[#This Row],[HOD AFTER PM HI]]-Table13[[#This Row],[Prior day close]])/Table13[[#This Row],[Prior day close]]),Table13[[#This Row],[Prior Close to PM Hi %]])</f>
        <v>3.1490909090909089</v>
      </c>
      <c r="AC14" s="18">
        <f>(Table13[[#This Row],[Price at hi of squeeze]]-Table13[[#This Row],[MKT Open Price]])/Table13[[#This Row],[MKT Open Price]]</f>
        <v>1.1149212233549586</v>
      </c>
      <c r="AD14" s="18">
        <f>(Table13[[#This Row],[Price at hi of squeeze]]-Table13[[#This Row],[PM Hi]])/Table13[[#This Row],[PM Hi]]</f>
        <v>0.76899224806201549</v>
      </c>
      <c r="AE14" s="18">
        <f t="shared" si="2"/>
        <v>1.3405128205128205</v>
      </c>
      <c r="AF14" s="20">
        <f>Table13[[#This Row],[PM VOL]]/1000000/Table13[[#This Row],[FLOAT(M)]]</f>
        <v>4.6832250203086921E-2</v>
      </c>
      <c r="AG14" s="21">
        <f>(Table13[[#This Row],[Volume]]/1000000)/Table13[[#This Row],[FLOAT(M)]]</f>
        <v>1.0609821283509342</v>
      </c>
      <c r="AH14" s="18">
        <f>(Table13[[#This Row],[Hi of Spike after open before drop]]-Table13[[#This Row],[MKT Open Price]])/Table13[[#This Row],[MKT Open Price]]</f>
        <v>3.985171455050987E-2</v>
      </c>
      <c r="AI14" s="18">
        <f>(Table13[[#This Row],[PM Hi]]-Table13[[#This Row],[MKT Open Price]])/(Table13[[#This Row],[PM Hi]])</f>
        <v>0.16356589147286832</v>
      </c>
      <c r="AJ14" s="16">
        <f>IF(Table13[[#This Row],[PM LO]]&gt;Table13[[#This Row],[Prior day close]],(Table13[[#This Row],[PM Hi]]-Table13[[#This Row],[MKT Open Price]])/(Table13[[#This Row],[PM Hi]]-Table13[[#This Row],[Prior day close]]),(Table13[[#This Row],[PM Hi]]-Table13[[#This Row],[MKT Open Price]])/(Table13[[#This Row],[PM Hi]]-Table13[[#This Row],[PM LO]]))</f>
        <v>0.28513513513513528</v>
      </c>
      <c r="AK14" s="16">
        <f>IF(Table13[[#This Row],[Prior day close]]&lt;Table13[[#This Row],[PM LO]],(I14-K14)/(I14-Table13[[#This Row],[Prior day close]]),(I14-K14)/(I14-Table13[[#This Row],[PM LO]]))</f>
        <v>0.19659735349716434</v>
      </c>
      <c r="AL14" s="16">
        <f>Table13[[#This Row],[Spike % on open before drop]]+AM14</f>
        <v>0.13623725671918449</v>
      </c>
      <c r="AM14" s="16">
        <f t="shared" si="3"/>
        <v>9.6385542168674621E-2</v>
      </c>
      <c r="AN14" s="18">
        <f>IF($J14&gt;=$F14,($J14-$K14)/($J14-$D14),(IF($H14&lt;=$K14,($F14-$H14)/($F14-$D14),(Table13[[#This Row],[PM Hi]]-Table13[[#This Row],[Lowest lo from open to squeeze]])/(Table13[[#This Row],[PM Hi]]-Table13[[#This Row],[Prior day close]]))))</f>
        <v>0.42567567567567571</v>
      </c>
      <c r="AO14" s="18">
        <f>IF(Table13[[#This Row],[Prior day close]]&lt;=Table13[[#This Row],[PM LO]],IF($J14&gt;=$F14,($J14-$K14)/($J14-Table13[[#This Row],[Prior day close]]),(IF($H14&lt;=$K14,($F14-$H14)/($F14-Table13[[#This Row],[Prior day close]]),(Table13[[#This Row],[PM Hi]]-Table13[[#This Row],[Lowest lo from open to squeeze]])/(Table13[[#This Row],[PM Hi]]-Table13[[#This Row],[Prior day close]])))),IF($J14&gt;=$F14,($J14-$K14)/($J14-Table13[[#This Row],[PM LO]]),(IF($H14&lt;=$K14,($F14-$H14)/($F14-Table13[[#This Row],[PM LO]]),(Table13[[#This Row],[PM Hi]]-Table13[[#This Row],[Lowest lo from open to squeeze]])/(Table13[[#This Row],[PM Hi]]-Table13[[#This Row],[PM LO]])))))</f>
        <v>0.42567567567567571</v>
      </c>
      <c r="AP14" s="18">
        <f>3.13/7.44</f>
        <v>0.42069892473118276</v>
      </c>
      <c r="AQ14" s="17">
        <f>390+Table13[[#This Row],[Time until ideal entry point (mins) from open]]</f>
        <v>395</v>
      </c>
      <c r="AR14" s="51">
        <f>(Table13[[#This Row],[Time until ideal entry + 390 (6:30)]]+Table13[[#This Row],[Duration of frontside (mins)]])/1440</f>
        <v>0.30972222222222223</v>
      </c>
    </row>
    <row r="15" spans="1:44" x14ac:dyDescent="0.25">
      <c r="A15" s="10" t="s">
        <v>47</v>
      </c>
      <c r="B15" s="11">
        <v>43686</v>
      </c>
      <c r="C15" s="47" t="s">
        <v>71</v>
      </c>
      <c r="D15" s="12">
        <v>2.2400000000000002</v>
      </c>
      <c r="E15" s="13">
        <v>2.5</v>
      </c>
      <c r="F15" s="12">
        <v>3.5</v>
      </c>
      <c r="G15" s="12">
        <v>2.4300000000000002</v>
      </c>
      <c r="H15" s="12">
        <v>3.04</v>
      </c>
      <c r="I15" s="12">
        <v>3.23</v>
      </c>
      <c r="J15" s="12">
        <v>3.39</v>
      </c>
      <c r="K15" s="12">
        <v>2.7</v>
      </c>
      <c r="L15" s="12">
        <v>4.97</v>
      </c>
      <c r="M15" s="12">
        <v>4.28</v>
      </c>
      <c r="N15" s="13">
        <v>56134408</v>
      </c>
      <c r="O15" s="12">
        <v>233122567</v>
      </c>
      <c r="P15" s="13">
        <v>11</v>
      </c>
      <c r="Q15" s="13">
        <v>4.7699999999999996</v>
      </c>
      <c r="R15" s="14"/>
      <c r="S15" s="13">
        <v>2809869</v>
      </c>
      <c r="T15" s="13" t="s">
        <v>43</v>
      </c>
      <c r="U15" t="s">
        <v>43</v>
      </c>
      <c r="V15">
        <v>23</v>
      </c>
      <c r="W15">
        <v>24</v>
      </c>
      <c r="X15">
        <v>2.97</v>
      </c>
      <c r="Y15">
        <v>22</v>
      </c>
      <c r="Z15" s="15">
        <f>Table13[[#This Row],[Time until ideal entry + 390 (6:30)]]/(1440)</f>
        <v>0.28749999999999998</v>
      </c>
      <c r="AA15" s="18">
        <f t="shared" si="0"/>
        <v>0.56249999999999989</v>
      </c>
      <c r="AB15" s="18">
        <f>IF(Table13[[#This Row],[HOD AFTER PM HI]]&gt;=Table13[[#This Row],[PM Hi]],((Table13[[#This Row],[HOD AFTER PM HI]]-Table13[[#This Row],[Prior day close]])/Table13[[#This Row],[Prior day close]]),Table13[[#This Row],[Prior Close to PM Hi %]])</f>
        <v>1.2187499999999998</v>
      </c>
      <c r="AC15" s="18">
        <f>(Table13[[#This Row],[Price at hi of squeeze]]-Table13[[#This Row],[MKT Open Price]])/Table13[[#This Row],[MKT Open Price]]</f>
        <v>0.32507739938080504</v>
      </c>
      <c r="AD15" s="18">
        <f>(Table13[[#This Row],[Price at hi of squeeze]]-Table13[[#This Row],[PM Hi]])/Table13[[#This Row],[PM Hi]]</f>
        <v>0.22285714285714292</v>
      </c>
      <c r="AE15" s="18">
        <f t="shared" si="2"/>
        <v>0.58518518518518514</v>
      </c>
      <c r="AF15" s="20">
        <f>Table13[[#This Row],[PM VOL]]/1000000/Table13[[#This Row],[FLOAT(M)]]</f>
        <v>0.58907106918238994</v>
      </c>
      <c r="AG15" s="21">
        <f>(Table13[[#This Row],[Volume]]/1000000)/Table13[[#This Row],[FLOAT(M)]]</f>
        <v>11.768219706498954</v>
      </c>
      <c r="AH15" s="18">
        <f>(Table13[[#This Row],[Hi of Spike after open before drop]]-Table13[[#This Row],[MKT Open Price]])/Table13[[#This Row],[MKT Open Price]]</f>
        <v>4.9535603715170323E-2</v>
      </c>
      <c r="AI15" s="18">
        <f>(Table13[[#This Row],[PM Hi]]-Table13[[#This Row],[MKT Open Price]])/(Table13[[#This Row],[PM Hi]])</f>
        <v>7.7142857142857152E-2</v>
      </c>
      <c r="AJ15" s="16">
        <f>IF(Table13[[#This Row],[PM LO]]&gt;Table13[[#This Row],[Prior day close]],(Table13[[#This Row],[PM Hi]]-Table13[[#This Row],[MKT Open Price]])/(Table13[[#This Row],[PM Hi]]-Table13[[#This Row],[Prior day close]]),(Table13[[#This Row],[PM Hi]]-Table13[[#This Row],[MKT Open Price]])/(Table13[[#This Row],[PM Hi]]-Table13[[#This Row],[PM LO]]))</f>
        <v>0.21428571428571433</v>
      </c>
      <c r="AK15" s="16">
        <f>IF(Table13[[#This Row],[Prior day close]]&lt;Table13[[#This Row],[PM LO]],(I15-K15)/(I15-Table13[[#This Row],[Prior day close]]),(I15-K15)/(I15-Table13[[#This Row],[PM LO]]))</f>
        <v>0.53535353535353525</v>
      </c>
      <c r="AL15" s="16">
        <f>Table13[[#This Row],[Spike % on open before drop]]+AM15</f>
        <v>0.21362229102167182</v>
      </c>
      <c r="AM15" s="16">
        <f t="shared" si="3"/>
        <v>0.1640866873065015</v>
      </c>
      <c r="AN15" s="18">
        <f>IF($J15&gt;=$F15,($J15-$K15)/($J15-$D15),(IF($H15&lt;=$K15,($F15-$H15)/($F15-$D15),(Table13[[#This Row],[PM Hi]]-Table13[[#This Row],[Lowest lo from open to squeeze]])/(Table13[[#This Row],[PM Hi]]-Table13[[#This Row],[Prior day close]]))))</f>
        <v>0.63492063492063489</v>
      </c>
      <c r="AO15" s="18">
        <f>IF(Table13[[#This Row],[Prior day close]]&lt;=Table13[[#This Row],[PM LO]],IF($J15&gt;=$F15,($J15-$K15)/($J15-Table13[[#This Row],[Prior day close]]),(IF($H15&lt;=$K15,($F15-$H15)/($F15-Table13[[#This Row],[Prior day close]]),(Table13[[#This Row],[PM Hi]]-Table13[[#This Row],[Lowest lo from open to squeeze]])/(Table13[[#This Row],[PM Hi]]-Table13[[#This Row],[Prior day close]])))),IF($J15&gt;=$F15,($J15-$K15)/($J15-Table13[[#This Row],[PM LO]]),(IF($H15&lt;=$K15,($F15-$H15)/($F15-Table13[[#This Row],[PM LO]]),(Table13[[#This Row],[PM Hi]]-Table13[[#This Row],[Lowest lo from open to squeeze]])/(Table13[[#This Row],[PM Hi]]-Table13[[#This Row],[PM LO]])))))</f>
        <v>0.63492063492063489</v>
      </c>
      <c r="AP15" s="18">
        <f>0.79/1.27</f>
        <v>0.62204724409448819</v>
      </c>
      <c r="AQ15" s="17">
        <f>390+Table13[[#This Row],[Time until ideal entry point (mins) from open]]</f>
        <v>414</v>
      </c>
      <c r="AR15" s="51">
        <f>(Table13[[#This Row],[Time until ideal entry + 390 (6:30)]]+Table13[[#This Row],[Duration of frontside (mins)]])/1440</f>
        <v>0.30277777777777776</v>
      </c>
    </row>
    <row r="16" spans="1:44" x14ac:dyDescent="0.25">
      <c r="A16" s="25" t="s">
        <v>56</v>
      </c>
      <c r="B16" s="11">
        <v>43839</v>
      </c>
      <c r="C16" s="47" t="s">
        <v>71</v>
      </c>
      <c r="D16" s="12">
        <v>4.9000000000000004</v>
      </c>
      <c r="E16" s="13">
        <v>4.41</v>
      </c>
      <c r="F16" s="12">
        <v>7.75</v>
      </c>
      <c r="G16" s="12">
        <v>4.41</v>
      </c>
      <c r="H16" s="12">
        <v>5.13</v>
      </c>
      <c r="I16" s="12">
        <v>6.65</v>
      </c>
      <c r="J16" s="12">
        <v>6.69</v>
      </c>
      <c r="K16" s="12">
        <v>6.2</v>
      </c>
      <c r="L16" s="12">
        <v>9.5</v>
      </c>
      <c r="M16" s="12">
        <v>7.15</v>
      </c>
      <c r="N16" s="13">
        <v>41847146</v>
      </c>
      <c r="O16" s="12">
        <v>341730596</v>
      </c>
      <c r="P16" s="13">
        <v>76</v>
      </c>
      <c r="Q16" s="13">
        <v>18.03</v>
      </c>
      <c r="R16" s="13"/>
      <c r="S16" s="13">
        <v>2608684</v>
      </c>
      <c r="T16" s="13" t="s">
        <v>43</v>
      </c>
      <c r="U16" t="s">
        <v>43</v>
      </c>
      <c r="V16">
        <v>8</v>
      </c>
      <c r="W16">
        <v>8</v>
      </c>
      <c r="X16">
        <v>6.41</v>
      </c>
      <c r="Y16">
        <v>7</v>
      </c>
      <c r="Z16" s="15">
        <f>Table13[[#This Row],[Time until ideal entry + 390 (6:30)]]/(1440)</f>
        <v>0.27638888888888891</v>
      </c>
      <c r="AA16" s="18">
        <f t="shared" si="0"/>
        <v>0.58163265306122436</v>
      </c>
      <c r="AB16" s="18">
        <f>IF(Table13[[#This Row],[HOD AFTER PM HI]]&gt;=Table13[[#This Row],[PM Hi]],((Table13[[#This Row],[HOD AFTER PM HI]]-Table13[[#This Row],[Prior day close]])/Table13[[#This Row],[Prior day close]]),Table13[[#This Row],[Prior Close to PM Hi %]])</f>
        <v>0.93877551020408145</v>
      </c>
      <c r="AC16" s="18">
        <f>(Table13[[#This Row],[Price at hi of squeeze]]-Table13[[#This Row],[MKT Open Price]])/Table13[[#This Row],[MKT Open Price]]</f>
        <v>7.5187969924812026E-2</v>
      </c>
      <c r="AD16" s="18">
        <f>(Table13[[#This Row],[Price at hi of squeeze]]-Table13[[#This Row],[PM Hi]])/Table13[[#This Row],[PM Hi]]</f>
        <v>-7.7419354838709625E-2</v>
      </c>
      <c r="AE16" s="18">
        <f t="shared" si="2"/>
        <v>0.15322580645161293</v>
      </c>
      <c r="AF16" s="20">
        <f>Table13[[#This Row],[PM VOL]]/1000000/Table13[[#This Row],[FLOAT(M)]]</f>
        <v>0.144685745978924</v>
      </c>
      <c r="AG16" s="23">
        <f>(Table13[[#This Row],[Volume]]/1000000)/Table13[[#This Row],[FLOAT(M)]]</f>
        <v>2.3209731558513589</v>
      </c>
      <c r="AH16" s="18">
        <f>(Table13[[#This Row],[Hi of Spike after open before drop]]-Table13[[#This Row],[MKT Open Price]])/Table13[[#This Row],[MKT Open Price]]</f>
        <v>6.0150375939849671E-3</v>
      </c>
      <c r="AI16" s="18">
        <f>(Table13[[#This Row],[PM Hi]]-Table13[[#This Row],[MKT Open Price]])/(Table13[[#This Row],[PM Hi]])</f>
        <v>0.14193548387096769</v>
      </c>
      <c r="AJ16" s="16">
        <f>IF(Table13[[#This Row],[PM LO]]&gt;Table13[[#This Row],[Prior day close]],(Table13[[#This Row],[PM Hi]]-Table13[[#This Row],[MKT Open Price]])/(Table13[[#This Row],[PM Hi]]-Table13[[#This Row],[Prior day close]]),(Table13[[#This Row],[PM Hi]]-Table13[[#This Row],[MKT Open Price]])/(Table13[[#This Row],[PM Hi]]-Table13[[#This Row],[PM LO]]))</f>
        <v>0.32934131736526939</v>
      </c>
      <c r="AK16" s="16">
        <f>IF(Table13[[#This Row],[Prior day close]]&lt;Table13[[#This Row],[PM LO]],(I16-K16)/(I16-Table13[[#This Row],[Prior day close]]),(I16-K16)/(I16-Table13[[#This Row],[PM LO]]))</f>
        <v>0.20089285714285721</v>
      </c>
      <c r="AL16" s="16">
        <f>Table13[[#This Row],[Spike % on open before drop]]+AM16</f>
        <v>7.3684210526315824E-2</v>
      </c>
      <c r="AM16" s="16">
        <f t="shared" si="3"/>
        <v>6.7669172932330851E-2</v>
      </c>
      <c r="AN16" s="18">
        <f>IF($J16&gt;=$F16,($J16-$K16)/($J16-$D16),(IF($H16&lt;=$K16,($F16-$H16)/($F16-$D16),(Table13[[#This Row],[PM Hi]]-Table13[[#This Row],[Lowest lo from open to squeeze]])/(Table13[[#This Row],[PM Hi]]-Table13[[#This Row],[Prior day close]]))))</f>
        <v>0.91929824561403528</v>
      </c>
      <c r="AO16" s="18">
        <f>IF(Table13[[#This Row],[Prior day close]]&lt;=Table13[[#This Row],[PM LO]],IF($J16&gt;=$F16,($J16-$K16)/($J16-Table13[[#This Row],[Prior day close]]),(IF($H16&lt;=$K16,($F16-$H16)/($F16-Table13[[#This Row],[Prior day close]]),(Table13[[#This Row],[PM Hi]]-Table13[[#This Row],[Lowest lo from open to squeeze]])/(Table13[[#This Row],[PM Hi]]-Table13[[#This Row],[Prior day close]])))),IF($J16&gt;=$F16,($J16-$K16)/($J16-Table13[[#This Row],[PM LO]]),(IF($H16&lt;=$K16,($F16-$H16)/($F16-Table13[[#This Row],[PM LO]]),(Table13[[#This Row],[PM Hi]]-Table13[[#This Row],[Lowest lo from open to squeeze]])/(Table13[[#This Row],[PM Hi]]-Table13[[#This Row],[PM LO]])))))</f>
        <v>0.78443113772455098</v>
      </c>
      <c r="AP16" s="18">
        <f>2.6/2.86</f>
        <v>0.90909090909090917</v>
      </c>
      <c r="AQ16" s="17">
        <f>390+Table13[[#This Row],[Time until ideal entry point (mins) from open]]</f>
        <v>398</v>
      </c>
      <c r="AR16" s="51">
        <f>(Table13[[#This Row],[Time until ideal entry + 390 (6:30)]]+Table13[[#This Row],[Duration of frontside (mins)]])/1440</f>
        <v>0.28125</v>
      </c>
    </row>
    <row r="17" spans="1:44" x14ac:dyDescent="0.25">
      <c r="A17" s="25" t="s">
        <v>57</v>
      </c>
      <c r="B17" s="11">
        <v>43847</v>
      </c>
      <c r="C17" s="47" t="s">
        <v>71</v>
      </c>
      <c r="D17" s="12">
        <v>1.41</v>
      </c>
      <c r="E17" s="13">
        <v>1.38</v>
      </c>
      <c r="F17" s="12">
        <v>1.79</v>
      </c>
      <c r="G17" s="12">
        <v>1.34</v>
      </c>
      <c r="H17" s="12">
        <v>1.62</v>
      </c>
      <c r="I17" s="12">
        <v>1.68</v>
      </c>
      <c r="J17" s="12">
        <v>1.7</v>
      </c>
      <c r="K17" s="12">
        <v>1.53</v>
      </c>
      <c r="L17" s="12">
        <v>4.09</v>
      </c>
      <c r="M17" s="12">
        <v>4.09</v>
      </c>
      <c r="N17" s="13">
        <v>79090647</v>
      </c>
      <c r="O17" s="12">
        <v>125576679</v>
      </c>
      <c r="P17" s="13">
        <v>4.8</v>
      </c>
      <c r="Q17" s="13">
        <v>3.51</v>
      </c>
      <c r="R17" s="14"/>
      <c r="S17" s="13">
        <v>696329</v>
      </c>
      <c r="T17" s="13" t="s">
        <v>43</v>
      </c>
      <c r="U17" t="s">
        <v>43</v>
      </c>
      <c r="V17">
        <v>2</v>
      </c>
      <c r="W17">
        <v>3</v>
      </c>
      <c r="X17">
        <v>1.57</v>
      </c>
      <c r="Y17">
        <v>42</v>
      </c>
      <c r="Z17" s="15">
        <f>Table13[[#This Row],[Time until ideal entry + 390 (6:30)]]/(1440)</f>
        <v>0.27291666666666664</v>
      </c>
      <c r="AA17" s="18">
        <f t="shared" si="0"/>
        <v>0.26950354609929089</v>
      </c>
      <c r="AB17" s="18">
        <f>IF(Table13[[#This Row],[HOD AFTER PM HI]]&gt;=Table13[[#This Row],[PM Hi]],((Table13[[#This Row],[HOD AFTER PM HI]]-Table13[[#This Row],[Prior day close]])/Table13[[#This Row],[Prior day close]]),Table13[[#This Row],[Prior Close to PM Hi %]])</f>
        <v>1.9007092198581559</v>
      </c>
      <c r="AC17" s="18">
        <f>(Table13[[#This Row],[Price at hi of squeeze]]-Table13[[#This Row],[MKT Open Price]])/Table13[[#This Row],[MKT Open Price]]</f>
        <v>1.4345238095238098</v>
      </c>
      <c r="AD17" s="18">
        <f>(Table13[[#This Row],[Price at hi of squeeze]]-Table13[[#This Row],[PM Hi]])/Table13[[#This Row],[PM Hi]]</f>
        <v>1.2849162011173183</v>
      </c>
      <c r="AE17" s="18">
        <f t="shared" si="2"/>
        <v>1.6732026143790846</v>
      </c>
      <c r="AF17" s="20">
        <f>Table13[[#This Row],[PM VOL]]/1000000/Table13[[#This Row],[FLOAT(M)]]</f>
        <v>0.19838433048433049</v>
      </c>
      <c r="AG17" s="21">
        <f>(Table13[[#This Row],[Volume]]/1000000)/Table13[[#This Row],[FLOAT(M)]]</f>
        <v>22.532947863247866</v>
      </c>
      <c r="AH17" s="18">
        <f>(Table13[[#This Row],[Hi of Spike after open before drop]]-Table13[[#This Row],[MKT Open Price]])/Table13[[#This Row],[MKT Open Price]]</f>
        <v>1.1904761904761916E-2</v>
      </c>
      <c r="AI17" s="18">
        <f>(Table13[[#This Row],[PM Hi]]-Table13[[#This Row],[MKT Open Price]])/(Table13[[#This Row],[PM Hi]])</f>
        <v>6.14525139664805E-2</v>
      </c>
      <c r="AJ17" s="16">
        <f>IF(Table13[[#This Row],[PM LO]]&gt;Table13[[#This Row],[Prior day close]],(Table13[[#This Row],[PM Hi]]-Table13[[#This Row],[MKT Open Price]])/(Table13[[#This Row],[PM Hi]]-Table13[[#This Row],[Prior day close]]),(Table13[[#This Row],[PM Hi]]-Table13[[#This Row],[MKT Open Price]])/(Table13[[#This Row],[PM Hi]]-Table13[[#This Row],[PM LO]]))</f>
        <v>0.24444444444444469</v>
      </c>
      <c r="AK17" s="16">
        <f>IF(Table13[[#This Row],[Prior day close]]&lt;Table13[[#This Row],[PM LO]],(I17-K17)/(I17-Table13[[#This Row],[Prior day close]]),(I17-K17)/(I17-Table13[[#This Row],[PM LO]]))</f>
        <v>0.44117647058823523</v>
      </c>
      <c r="AL17" s="16">
        <f>Table13[[#This Row],[Spike % on open before drop]]+AM17</f>
        <v>0.10119047619047615</v>
      </c>
      <c r="AM17" s="16">
        <f t="shared" si="3"/>
        <v>8.9285714285714232E-2</v>
      </c>
      <c r="AN17" s="18">
        <f>IF($J17&gt;=$F17,($J17-$K17)/($J17-$D17),(IF($H17&lt;=$K17,($F17-$H17)/($F17-$D17),(Table13[[#This Row],[PM Hi]]-Table13[[#This Row],[Lowest lo from open to squeeze]])/(Table13[[#This Row],[PM Hi]]-Table13[[#This Row],[Prior day close]]))))</f>
        <v>0.68421052631578927</v>
      </c>
      <c r="AO17" s="18">
        <f>IF(Table13[[#This Row],[Prior day close]]&lt;=Table13[[#This Row],[PM LO]],IF($J17&gt;=$F17,($J17-$K17)/($J17-Table13[[#This Row],[Prior day close]]),(IF($H17&lt;=$K17,($F17-$H17)/($F17-Table13[[#This Row],[Prior day close]]),(Table13[[#This Row],[PM Hi]]-Table13[[#This Row],[Lowest lo from open to squeeze]])/(Table13[[#This Row],[PM Hi]]-Table13[[#This Row],[Prior day close]])))),IF($J17&gt;=$F17,($J17-$K17)/($J17-Table13[[#This Row],[PM LO]]),(IF($H17&lt;=$K17,($F17-$H17)/($F17-Table13[[#This Row],[PM LO]]),(Table13[[#This Row],[PM Hi]]-Table13[[#This Row],[Lowest lo from open to squeeze]])/(Table13[[#This Row],[PM Hi]]-Table13[[#This Row],[PM LO]])))))</f>
        <v>0.57777777777777783</v>
      </c>
      <c r="AP17" s="18">
        <f>0.27/0.39</f>
        <v>0.69230769230769229</v>
      </c>
      <c r="AQ17" s="17">
        <f>390+Table13[[#This Row],[Time until ideal entry point (mins) from open]]</f>
        <v>393</v>
      </c>
      <c r="AR17" s="51">
        <f>(Table13[[#This Row],[Time until ideal entry + 390 (6:30)]]+Table13[[#This Row],[Duration of frontside (mins)]])/1440</f>
        <v>0.30208333333333331</v>
      </c>
    </row>
    <row r="18" spans="1:44" x14ac:dyDescent="0.25">
      <c r="A18" s="25" t="s">
        <v>58</v>
      </c>
      <c r="B18" s="11">
        <v>43908</v>
      </c>
      <c r="C18" s="47" t="s">
        <v>71</v>
      </c>
      <c r="D18" s="39">
        <v>7.17</v>
      </c>
      <c r="E18" s="37">
        <v>6.98</v>
      </c>
      <c r="F18" s="39">
        <v>9.99</v>
      </c>
      <c r="G18" s="39">
        <v>6.8</v>
      </c>
      <c r="H18" s="12">
        <v>9.1999999999999993</v>
      </c>
      <c r="I18" s="39">
        <v>9.4</v>
      </c>
      <c r="J18" s="12">
        <v>9.66</v>
      </c>
      <c r="K18" s="39">
        <v>8.6999999999999993</v>
      </c>
      <c r="L18" s="39">
        <v>19.489999999999998</v>
      </c>
      <c r="M18" s="12">
        <v>19.489999999999998</v>
      </c>
      <c r="N18" s="13">
        <v>48278791</v>
      </c>
      <c r="O18" s="12">
        <v>758023024</v>
      </c>
      <c r="P18" s="13">
        <v>87</v>
      </c>
      <c r="Q18" s="13">
        <v>8.1300000000000008</v>
      </c>
      <c r="R18" s="14"/>
      <c r="S18" s="13">
        <v>1291599</v>
      </c>
      <c r="T18" s="13" t="s">
        <v>43</v>
      </c>
      <c r="U18" t="s">
        <v>41</v>
      </c>
      <c r="V18">
        <v>15</v>
      </c>
      <c r="W18">
        <v>16</v>
      </c>
      <c r="X18">
        <v>9</v>
      </c>
      <c r="Y18">
        <v>54</v>
      </c>
      <c r="Z18" s="15">
        <f>Table13[[#This Row],[Time until ideal entry + 390 (6:30)]]/(1440)</f>
        <v>0.28194444444444444</v>
      </c>
      <c r="AA18" s="18">
        <f t="shared" si="0"/>
        <v>0.39330543933054396</v>
      </c>
      <c r="AB18" s="16">
        <f>IF(Table13[[#This Row],[HOD AFTER PM HI]]&gt;=Table13[[#This Row],[PM Hi]],((Table13[[#This Row],[HOD AFTER PM HI]]-Table13[[#This Row],[Prior day close]])/Table13[[#This Row],[Prior day close]]),Table13[[#This Row],[Prior Close to PM Hi %]])</f>
        <v>1.718270571827057</v>
      </c>
      <c r="AC18" s="18">
        <f>(Table13[[#This Row],[Price at hi of squeeze]]-Table13[[#This Row],[MKT Open Price]])/Table13[[#This Row],[MKT Open Price]]</f>
        <v>1.0734042553191487</v>
      </c>
      <c r="AD18" s="18">
        <f>(Table13[[#This Row],[Price at hi of squeeze]]-Table13[[#This Row],[PM Hi]])/Table13[[#This Row],[PM Hi]]</f>
        <v>0.95095095095095072</v>
      </c>
      <c r="AE18" s="18">
        <f t="shared" si="2"/>
        <v>1.2402298850574713</v>
      </c>
      <c r="AF18" s="20">
        <f>Table13[[#This Row],[PM VOL]]/1000000/Table13[[#This Row],[FLOAT(M)]]</f>
        <v>0.1588682656826568</v>
      </c>
      <c r="AG18" s="21">
        <f>(Table13[[#This Row],[Volume]]/1000000)/Table13[[#This Row],[FLOAT(M)]]</f>
        <v>5.9383506765067642</v>
      </c>
      <c r="AH18" s="18">
        <f>(Table13[[#This Row],[Hi of Spike after open before drop]]-Table13[[#This Row],[MKT Open Price]])/Table13[[#This Row],[MKT Open Price]]</f>
        <v>2.7659574468085084E-2</v>
      </c>
      <c r="AI18" s="18">
        <f>(Table13[[#This Row],[PM Hi]]-Table13[[#This Row],[MKT Open Price]])/(Table13[[#This Row],[PM Hi]])</f>
        <v>5.9059059059059046E-2</v>
      </c>
      <c r="AJ18" s="16">
        <f>IF(Table13[[#This Row],[PM LO]]&gt;Table13[[#This Row],[Prior day close]],(Table13[[#This Row],[PM Hi]]-Table13[[#This Row],[MKT Open Price]])/(Table13[[#This Row],[PM Hi]]-Table13[[#This Row],[Prior day close]]),(Table13[[#This Row],[PM Hi]]-Table13[[#This Row],[MKT Open Price]])/(Table13[[#This Row],[PM Hi]]-Table13[[#This Row],[PM LO]]))</f>
        <v>0.18495297805642627</v>
      </c>
      <c r="AK18" s="16">
        <f>IF(Table13[[#This Row],[Prior day close]]&lt;Table13[[#This Row],[PM LO]],(I18-K18)/(I18-Table13[[#This Row],[Prior day close]]),(I18-K18)/(I18-Table13[[#This Row],[PM LO]]))</f>
        <v>0.26923076923076961</v>
      </c>
      <c r="AL18" s="16">
        <f>Table13[[#This Row],[Spike % on open before drop]]+AM18</f>
        <v>0.10212765957446818</v>
      </c>
      <c r="AM18" s="16">
        <f t="shared" si="3"/>
        <v>7.4468085106383086E-2</v>
      </c>
      <c r="AN18" s="18">
        <f>IF($J18&gt;=$F18,($J18-$K18)/($J18-$D18),(IF($H18&lt;=$K18,($F18-$H18)/($F18-$D18),(Table13[[#This Row],[PM Hi]]-Table13[[#This Row],[Lowest lo from open to squeeze]])/(Table13[[#This Row],[PM Hi]]-Table13[[#This Row],[Prior day close]]))))</f>
        <v>0.45744680851063857</v>
      </c>
      <c r="AO18" s="18">
        <f>IF(Table13[[#This Row],[Prior day close]]&lt;=Table13[[#This Row],[PM LO]],IF($J18&gt;=$F18,($J18-$K18)/($J18-Table13[[#This Row],[Prior day close]]),(IF($H18&lt;=$K18,($F18-$H18)/($F18-Table13[[#This Row],[Prior day close]]),(Table13[[#This Row],[PM Hi]]-Table13[[#This Row],[Lowest lo from open to squeeze]])/(Table13[[#This Row],[PM Hi]]-Table13[[#This Row],[Prior day close]])))),IF($J18&gt;=$F18,($J18-$K18)/($J18-Table13[[#This Row],[PM LO]]),(IF($H18&lt;=$K18,($F18-$H18)/($F18-Table13[[#This Row],[PM LO]]),(Table13[[#This Row],[PM Hi]]-Table13[[#This Row],[Lowest lo from open to squeeze]])/(Table13[[#This Row],[PM Hi]]-Table13[[#This Row],[PM LO]])))))</f>
        <v>0.40438871473354254</v>
      </c>
      <c r="AP18" s="18">
        <f>1.28/2.81</f>
        <v>0.45551601423487542</v>
      </c>
      <c r="AQ18" s="17">
        <f>390+Table13[[#This Row],[Time until ideal entry point (mins) from open]]</f>
        <v>406</v>
      </c>
      <c r="AR18" s="51">
        <f>(Table13[[#This Row],[Time until ideal entry + 390 (6:30)]]+Table13[[#This Row],[Duration of frontside (mins)]])/1440</f>
        <v>0.31944444444444442</v>
      </c>
    </row>
    <row r="19" spans="1:44" x14ac:dyDescent="0.25">
      <c r="A19" s="25" t="s">
        <v>58</v>
      </c>
      <c r="B19" s="11">
        <v>43909</v>
      </c>
      <c r="C19" s="47" t="s">
        <v>71</v>
      </c>
      <c r="D19" s="12">
        <v>18.2</v>
      </c>
      <c r="E19" s="13">
        <v>18.170000000000002</v>
      </c>
      <c r="F19" s="12">
        <v>25.5</v>
      </c>
      <c r="G19" s="12">
        <v>16.350000000000001</v>
      </c>
      <c r="H19" s="12">
        <v>21.07</v>
      </c>
      <c r="I19" s="12">
        <v>24.95</v>
      </c>
      <c r="J19" s="12">
        <v>25.8</v>
      </c>
      <c r="K19" s="12">
        <v>22.49</v>
      </c>
      <c r="L19" s="12">
        <v>28.84</v>
      </c>
      <c r="M19" s="12">
        <v>28.84</v>
      </c>
      <c r="N19" s="13">
        <v>24430750</v>
      </c>
      <c r="O19" s="12">
        <v>335761836</v>
      </c>
      <c r="P19" s="13">
        <v>206</v>
      </c>
      <c r="Q19" s="13">
        <v>8.1300000000000008</v>
      </c>
      <c r="R19" s="13"/>
      <c r="S19" s="13">
        <v>1454586</v>
      </c>
      <c r="T19" s="13" t="s">
        <v>43</v>
      </c>
      <c r="U19" t="s">
        <v>41</v>
      </c>
      <c r="V19">
        <v>6</v>
      </c>
      <c r="W19">
        <v>7</v>
      </c>
      <c r="X19">
        <v>23.23</v>
      </c>
      <c r="Y19">
        <v>13</v>
      </c>
      <c r="Z19" s="15">
        <f>Table13[[#This Row],[Time until ideal entry + 390 (6:30)]]/(1440)</f>
        <v>0.27569444444444446</v>
      </c>
      <c r="AA19" s="18">
        <f t="shared" si="0"/>
        <v>0.40109890109890117</v>
      </c>
      <c r="AB19" s="18">
        <f>IF(Table13[[#This Row],[HOD AFTER PM HI]]&gt;=Table13[[#This Row],[PM Hi]],((Table13[[#This Row],[HOD AFTER PM HI]]-Table13[[#This Row],[Prior day close]])/Table13[[#This Row],[Prior day close]]),Table13[[#This Row],[Prior Close to PM Hi %]])</f>
        <v>0.58461538461538465</v>
      </c>
      <c r="AC19" s="18">
        <f>(Table13[[#This Row],[Price at hi of squeeze]]-Table13[[#This Row],[MKT Open Price]])/Table13[[#This Row],[MKT Open Price]]</f>
        <v>0.15591182364729461</v>
      </c>
      <c r="AD19" s="18">
        <f>(Table13[[#This Row],[Price at hi of squeeze]]-Table13[[#This Row],[PM Hi]])/Table13[[#This Row],[PM Hi]]</f>
        <v>0.13098039215686275</v>
      </c>
      <c r="AE19" s="18">
        <f t="shared" si="2"/>
        <v>0.28234771009337489</v>
      </c>
      <c r="AF19" s="20">
        <f>Table13[[#This Row],[PM VOL]]/1000000/Table13[[#This Row],[FLOAT(M)]]</f>
        <v>0.17891586715867155</v>
      </c>
      <c r="AG19" s="23">
        <f>(Table13[[#This Row],[Volume]]/1000000)/Table13[[#This Row],[FLOAT(M)]]</f>
        <v>3.0050123001230009</v>
      </c>
      <c r="AH19" s="18">
        <f>(Table13[[#This Row],[Hi of Spike after open before drop]]-Table13[[#This Row],[MKT Open Price]])/Table13[[#This Row],[MKT Open Price]]</f>
        <v>3.4068136272545145E-2</v>
      </c>
      <c r="AI19" s="18">
        <f>(Table13[[#This Row],[PM Hi]]-Table13[[#This Row],[MKT Open Price]])/(Table13[[#This Row],[PM Hi]])</f>
        <v>2.156862745098042E-2</v>
      </c>
      <c r="AJ19" s="16">
        <f>IF(Table13[[#This Row],[PM LO]]&gt;Table13[[#This Row],[Prior day close]],(Table13[[#This Row],[PM Hi]]-Table13[[#This Row],[MKT Open Price]])/(Table13[[#This Row],[PM Hi]]-Table13[[#This Row],[Prior day close]]),(Table13[[#This Row],[PM Hi]]-Table13[[#This Row],[MKT Open Price]])/(Table13[[#This Row],[PM Hi]]-Table13[[#This Row],[PM LO]]))</f>
        <v>6.0109289617486426E-2</v>
      </c>
      <c r="AK19" s="16">
        <f>IF(Table13[[#This Row],[Prior day close]]&lt;Table13[[#This Row],[PM LO]],(I19-K19)/(I19-Table13[[#This Row],[Prior day close]]),(I19-K19)/(I19-Table13[[#This Row],[PM LO]]))</f>
        <v>0.28604651162790717</v>
      </c>
      <c r="AL19" s="16">
        <f>Table13[[#This Row],[Spike % on open before drop]]+AM19</f>
        <v>0.13266533066132274</v>
      </c>
      <c r="AM19" s="16">
        <f t="shared" si="3"/>
        <v>9.8597194388777593E-2</v>
      </c>
      <c r="AN19" s="18">
        <f>IF($J19&gt;=$F19,($J19-$K19)/($J19-$D19),(IF($H19&lt;=$K19,($F19-$H19)/($F19-$D19),(Table13[[#This Row],[PM Hi]]-Table13[[#This Row],[Lowest lo from open to squeeze]])/(Table13[[#This Row],[PM Hi]]-Table13[[#This Row],[Prior day close]]))))</f>
        <v>0.43552631578947393</v>
      </c>
      <c r="AO19" s="18">
        <f>IF(Table13[[#This Row],[Prior day close]]&lt;=Table13[[#This Row],[PM LO]],IF($J19&gt;=$F19,($J19-$K19)/($J19-Table13[[#This Row],[Prior day close]]),(IF($H19&lt;=$K19,($F19-$H19)/($F19-Table13[[#This Row],[Prior day close]]),(Table13[[#This Row],[PM Hi]]-Table13[[#This Row],[Lowest lo from open to squeeze]])/(Table13[[#This Row],[PM Hi]]-Table13[[#This Row],[Prior day close]])))),IF($J19&gt;=$F19,($J19-$K19)/($J19-Table13[[#This Row],[PM LO]]),(IF($H19&lt;=$K19,($F19-$H19)/($F19-Table13[[#This Row],[PM LO]]),(Table13[[#This Row],[PM Hi]]-Table13[[#This Row],[Lowest lo from open to squeeze]])/(Table13[[#This Row],[PM Hi]]-Table13[[#This Row],[PM LO]])))))</f>
        <v>0.35026455026455056</v>
      </c>
      <c r="AP19" s="18">
        <f>3.32/7.67</f>
        <v>0.43285528031290743</v>
      </c>
      <c r="AQ19" s="17">
        <f>390+Table13[[#This Row],[Time until ideal entry point (mins) from open]]</f>
        <v>397</v>
      </c>
      <c r="AR19" s="51">
        <f>(Table13[[#This Row],[Time until ideal entry + 390 (6:30)]]+Table13[[#This Row],[Duration of frontside (mins)]])/1440</f>
        <v>0.28472222222222221</v>
      </c>
    </row>
    <row r="20" spans="1:44" x14ac:dyDescent="0.25">
      <c r="A20" s="25" t="s">
        <v>59</v>
      </c>
      <c r="B20" s="11">
        <v>43914</v>
      </c>
      <c r="C20" s="47" t="s">
        <v>71</v>
      </c>
      <c r="D20" s="12">
        <v>0.44</v>
      </c>
      <c r="E20" s="13">
        <v>0.5</v>
      </c>
      <c r="F20" s="12">
        <v>2.1800000000000002</v>
      </c>
      <c r="G20" s="12">
        <v>0.5</v>
      </c>
      <c r="H20" s="12">
        <v>1.86</v>
      </c>
      <c r="I20" s="12">
        <v>2</v>
      </c>
      <c r="J20" s="12">
        <v>2.2000000000000002</v>
      </c>
      <c r="K20" s="12">
        <v>1.55</v>
      </c>
      <c r="L20" s="12">
        <v>4.95</v>
      </c>
      <c r="M20" s="12">
        <v>3.75</v>
      </c>
      <c r="N20" s="13">
        <v>30671611</v>
      </c>
      <c r="O20" s="12">
        <v>143357092</v>
      </c>
      <c r="P20" s="13">
        <v>42.12</v>
      </c>
      <c r="Q20" s="13">
        <v>4.01</v>
      </c>
      <c r="R20" s="13"/>
      <c r="S20" s="13">
        <v>3621815</v>
      </c>
      <c r="T20" s="13" t="s">
        <v>43</v>
      </c>
      <c r="U20" t="s">
        <v>43</v>
      </c>
      <c r="V20">
        <v>37</v>
      </c>
      <c r="W20">
        <v>38</v>
      </c>
      <c r="X20">
        <v>1.61</v>
      </c>
      <c r="Y20">
        <v>166</v>
      </c>
      <c r="Z20" s="15">
        <f>Table13[[#This Row],[Time until ideal entry + 390 (6:30)]]/(1440)</f>
        <v>0.29722222222222222</v>
      </c>
      <c r="AA20" s="18">
        <f t="shared" si="0"/>
        <v>3.954545454545455</v>
      </c>
      <c r="AB20" s="18">
        <f>IF(Table13[[#This Row],[HOD AFTER PM HI]]&gt;=Table13[[#This Row],[PM Hi]],((Table13[[#This Row],[HOD AFTER PM HI]]-Table13[[#This Row],[Prior day close]])/Table13[[#This Row],[Prior day close]]),Table13[[#This Row],[Prior Close to PM Hi %]])</f>
        <v>10.25</v>
      </c>
      <c r="AC20" s="18">
        <f>(Table13[[#This Row],[Price at hi of squeeze]]-Table13[[#This Row],[MKT Open Price]])/Table13[[#This Row],[MKT Open Price]]</f>
        <v>0.875</v>
      </c>
      <c r="AD20" s="18">
        <f>(Table13[[#This Row],[Price at hi of squeeze]]-Table13[[#This Row],[PM Hi]])/Table13[[#This Row],[PM Hi]]</f>
        <v>0.72018348623853201</v>
      </c>
      <c r="AE20" s="18">
        <f t="shared" si="2"/>
        <v>1.4193548387096775</v>
      </c>
      <c r="AF20" s="20">
        <f>Table13[[#This Row],[PM VOL]]/1000000/Table13[[#This Row],[FLOAT(M)]]</f>
        <v>0.90319576059850371</v>
      </c>
      <c r="AG20" s="23">
        <f>(Table13[[#This Row],[Volume]]/1000000)/Table13[[#This Row],[FLOAT(M)]]</f>
        <v>7.6487807980049878</v>
      </c>
      <c r="AH20" s="18">
        <f>(Table13[[#This Row],[Hi of Spike after open before drop]]-Table13[[#This Row],[MKT Open Price]])/Table13[[#This Row],[MKT Open Price]]</f>
        <v>0.10000000000000009</v>
      </c>
      <c r="AI20" s="18">
        <f>(Table13[[#This Row],[PM Hi]]-Table13[[#This Row],[MKT Open Price]])/(Table13[[#This Row],[PM Hi]])</f>
        <v>8.2568807339449615E-2</v>
      </c>
      <c r="AJ20" s="16">
        <f>IF(Table13[[#This Row],[PM LO]]&gt;Table13[[#This Row],[Prior day close]],(Table13[[#This Row],[PM Hi]]-Table13[[#This Row],[MKT Open Price]])/(Table13[[#This Row],[PM Hi]]-Table13[[#This Row],[Prior day close]]),(Table13[[#This Row],[PM Hi]]-Table13[[#This Row],[MKT Open Price]])/(Table13[[#This Row],[PM Hi]]-Table13[[#This Row],[PM LO]]))</f>
        <v>0.10344827586206905</v>
      </c>
      <c r="AK20" s="16">
        <f>IF(Table13[[#This Row],[Prior day close]]&lt;Table13[[#This Row],[PM LO]],(I20-K20)/(I20-Table13[[#This Row],[Prior day close]]),(I20-K20)/(I20-Table13[[#This Row],[PM LO]]))</f>
        <v>0.28846153846153844</v>
      </c>
      <c r="AL20" s="16">
        <f>Table13[[#This Row],[Spike % on open before drop]]+AM20</f>
        <v>0.32500000000000007</v>
      </c>
      <c r="AM20" s="16">
        <f t="shared" si="3"/>
        <v>0.22499999999999998</v>
      </c>
      <c r="AN20" s="18">
        <f>IF($J20&gt;=$F20,($J20-$K20)/($J20-$D20),(IF($H20&lt;=$K20,($F20-$H20)/($F20-$D20),(Table13[[#This Row],[PM Hi]]-Table13[[#This Row],[Lowest lo from open to squeeze]])/(Table13[[#This Row],[PM Hi]]-Table13[[#This Row],[Prior day close]]))))</f>
        <v>0.36931818181818182</v>
      </c>
      <c r="AO20" s="18">
        <f>IF(Table13[[#This Row],[Prior day close]]&lt;=Table13[[#This Row],[PM LO]],IF($J20&gt;=$F20,($J20-$K20)/($J20-Table13[[#This Row],[Prior day close]]),(IF($H20&lt;=$K20,($F20-$H20)/($F20-Table13[[#This Row],[Prior day close]]),(Table13[[#This Row],[PM Hi]]-Table13[[#This Row],[Lowest lo from open to squeeze]])/(Table13[[#This Row],[PM Hi]]-Table13[[#This Row],[Prior day close]])))),IF($J20&gt;=$F20,($J20-$K20)/($J20-Table13[[#This Row],[PM LO]]),(IF($H20&lt;=$K20,($F20-$H20)/($F20-Table13[[#This Row],[PM LO]]),(Table13[[#This Row],[PM Hi]]-Table13[[#This Row],[Lowest lo from open to squeeze]])/(Table13[[#This Row],[PM Hi]]-Table13[[#This Row],[PM LO]])))))</f>
        <v>0.36931818181818182</v>
      </c>
      <c r="AP20" s="18">
        <f>0.65/1.76</f>
        <v>0.36931818181818182</v>
      </c>
      <c r="AQ20" s="17">
        <f>390+Table13[[#This Row],[Time until ideal entry point (mins) from open]]</f>
        <v>428</v>
      </c>
      <c r="AR20" s="51">
        <f>(Table13[[#This Row],[Time until ideal entry + 390 (6:30)]]+Table13[[#This Row],[Duration of frontside (mins)]])/1440</f>
        <v>0.41249999999999998</v>
      </c>
    </row>
    <row r="21" spans="1:44" x14ac:dyDescent="0.25">
      <c r="A21" s="25" t="s">
        <v>60</v>
      </c>
      <c r="B21" s="11">
        <v>43915</v>
      </c>
      <c r="C21" s="47" t="s">
        <v>71</v>
      </c>
      <c r="D21" s="12">
        <v>1.1200000000000001</v>
      </c>
      <c r="E21" s="13">
        <v>1.6</v>
      </c>
      <c r="F21" s="12">
        <v>4.08</v>
      </c>
      <c r="G21" s="12">
        <v>1.6</v>
      </c>
      <c r="H21" s="12">
        <v>3.62</v>
      </c>
      <c r="I21" s="12">
        <v>3.64</v>
      </c>
      <c r="J21" s="12">
        <v>4.34</v>
      </c>
      <c r="K21" s="12">
        <v>3.3</v>
      </c>
      <c r="L21" s="12">
        <v>7.75</v>
      </c>
      <c r="M21" s="12">
        <v>7.74</v>
      </c>
      <c r="N21" s="13">
        <v>46623018</v>
      </c>
      <c r="O21" s="12">
        <v>174472072</v>
      </c>
      <c r="P21" s="13">
        <v>7.1</v>
      </c>
      <c r="Q21" s="13">
        <v>3.66</v>
      </c>
      <c r="R21" s="13"/>
      <c r="S21" s="13">
        <v>1492287</v>
      </c>
      <c r="T21" s="13" t="s">
        <v>41</v>
      </c>
      <c r="U21" t="s">
        <v>43</v>
      </c>
      <c r="V21">
        <v>7</v>
      </c>
      <c r="W21">
        <v>8</v>
      </c>
      <c r="X21">
        <v>3.47</v>
      </c>
      <c r="Y21">
        <v>44</v>
      </c>
      <c r="Z21" s="15">
        <f>Table13[[#This Row],[Time until ideal entry + 390 (6:30)]]/(1440)</f>
        <v>0.27638888888888891</v>
      </c>
      <c r="AA21" s="18">
        <f t="shared" si="0"/>
        <v>2.6428571428571428</v>
      </c>
      <c r="AB21" s="18">
        <f>IF(Table13[[#This Row],[HOD AFTER PM HI]]&gt;=Table13[[#This Row],[PM Hi]],((Table13[[#This Row],[HOD AFTER PM HI]]-Table13[[#This Row],[Prior day close]])/Table13[[#This Row],[Prior day close]]),Table13[[#This Row],[Prior Close to PM Hi %]])</f>
        <v>5.9196428571428568</v>
      </c>
      <c r="AC21" s="18">
        <f>(Table13[[#This Row],[Price at hi of squeeze]]-Table13[[#This Row],[MKT Open Price]])/Table13[[#This Row],[MKT Open Price]]</f>
        <v>1.1263736263736261</v>
      </c>
      <c r="AD21" s="18">
        <f>(Table13[[#This Row],[Price at hi of squeeze]]-Table13[[#This Row],[PM Hi]])/Table13[[#This Row],[PM Hi]]</f>
        <v>0.8970588235294118</v>
      </c>
      <c r="AE21" s="18">
        <f t="shared" si="2"/>
        <v>1.3454545454545457</v>
      </c>
      <c r="AF21" s="20">
        <f>Table13[[#This Row],[PM VOL]]/1000000/Table13[[#This Row],[FLOAT(M)]]</f>
        <v>0.4077286885245901</v>
      </c>
      <c r="AG21" s="23">
        <f>(Table13[[#This Row],[Volume]]/1000000)/Table13[[#This Row],[FLOAT(M)]]</f>
        <v>12.738529508196722</v>
      </c>
      <c r="AH21" s="18">
        <f>(Table13[[#This Row],[Hi of Spike after open before drop]]-Table13[[#This Row],[MKT Open Price]])/Table13[[#This Row],[MKT Open Price]]</f>
        <v>0.19230769230769224</v>
      </c>
      <c r="AI21" s="18">
        <f>(Table13[[#This Row],[PM Hi]]-Table13[[#This Row],[MKT Open Price]])/(Table13[[#This Row],[PM Hi]])</f>
        <v>0.10784313725490195</v>
      </c>
      <c r="AJ21" s="16">
        <f>IF(Table13[[#This Row],[PM LO]]&gt;Table13[[#This Row],[Prior day close]],(Table13[[#This Row],[PM Hi]]-Table13[[#This Row],[MKT Open Price]])/(Table13[[#This Row],[PM Hi]]-Table13[[#This Row],[Prior day close]]),(Table13[[#This Row],[PM Hi]]-Table13[[#This Row],[MKT Open Price]])/(Table13[[#This Row],[PM Hi]]-Table13[[#This Row],[PM LO]]))</f>
        <v>0.14864864864864863</v>
      </c>
      <c r="AK21" s="16">
        <f>IF(Table13[[#This Row],[Prior day close]]&lt;Table13[[#This Row],[PM LO]],(I21-K21)/(I21-Table13[[#This Row],[Prior day close]]),(I21-K21)/(I21-Table13[[#This Row],[PM LO]]))</f>
        <v>0.13492063492063505</v>
      </c>
      <c r="AL21" s="16">
        <f>Table13[[#This Row],[Spike % on open before drop]]+AM21</f>
        <v>0.2857142857142857</v>
      </c>
      <c r="AM21" s="16">
        <f t="shared" si="3"/>
        <v>9.3406593406593491E-2</v>
      </c>
      <c r="AN21" s="18">
        <f>IF($J21&gt;=$F21,($J21-$K21)/($J21-$D21),(IF($H21&lt;=$K21,($F21-$H21)/($F21-$D21),(Table13[[#This Row],[PM Hi]]-Table13[[#This Row],[Lowest lo from open to squeeze]])/(Table13[[#This Row],[PM Hi]]-Table13[[#This Row],[Prior day close]]))))</f>
        <v>0.32298136645962738</v>
      </c>
      <c r="AO21" s="18">
        <f>IF(Table13[[#This Row],[Prior day close]]&lt;=Table13[[#This Row],[PM LO]],IF($J21&gt;=$F21,($J21-$K21)/($J21-Table13[[#This Row],[Prior day close]]),(IF($H21&lt;=$K21,($F21-$H21)/($F21-Table13[[#This Row],[Prior day close]]),(Table13[[#This Row],[PM Hi]]-Table13[[#This Row],[Lowest lo from open to squeeze]])/(Table13[[#This Row],[PM Hi]]-Table13[[#This Row],[Prior day close]])))),IF($J21&gt;=$F21,($J21-$K21)/($J21-Table13[[#This Row],[PM LO]]),(IF($H21&lt;=$K21,($F21-$H21)/($F21-Table13[[#This Row],[PM LO]]),(Table13[[#This Row],[PM Hi]]-Table13[[#This Row],[Lowest lo from open to squeeze]])/(Table13[[#This Row],[PM Hi]]-Table13[[#This Row],[PM LO]])))))</f>
        <v>0.32298136645962738</v>
      </c>
      <c r="AP21" s="18">
        <f>1.04/3.23</f>
        <v>0.32198142414860681</v>
      </c>
      <c r="AQ21" s="17">
        <f>390+Table13[[#This Row],[Time until ideal entry point (mins) from open]]</f>
        <v>398</v>
      </c>
      <c r="AR21" s="51">
        <f>(Table13[[#This Row],[Time until ideal entry + 390 (6:30)]]+Table13[[#This Row],[Duration of frontside (mins)]])/1440</f>
        <v>0.30694444444444446</v>
      </c>
    </row>
    <row r="22" spans="1:44" x14ac:dyDescent="0.25">
      <c r="A22" s="25" t="s">
        <v>61</v>
      </c>
      <c r="B22" s="11">
        <v>43916</v>
      </c>
      <c r="C22" s="47" t="s">
        <v>71</v>
      </c>
      <c r="D22" s="12">
        <v>2.91</v>
      </c>
      <c r="E22" s="13">
        <v>3.21</v>
      </c>
      <c r="F22" s="12">
        <v>5.49</v>
      </c>
      <c r="G22" s="12">
        <v>3.06</v>
      </c>
      <c r="H22" s="12">
        <v>5</v>
      </c>
      <c r="I22" s="12">
        <v>5.0199999999999996</v>
      </c>
      <c r="J22" s="12">
        <v>5.2</v>
      </c>
      <c r="K22" s="12">
        <v>4.5999999999999996</v>
      </c>
      <c r="L22" s="12">
        <v>9.49</v>
      </c>
      <c r="M22" s="12">
        <v>9.49</v>
      </c>
      <c r="N22" s="13">
        <v>33364975</v>
      </c>
      <c r="O22" s="12">
        <v>228217204</v>
      </c>
      <c r="P22" s="13">
        <v>198</v>
      </c>
      <c r="Q22" s="13">
        <v>51.13</v>
      </c>
      <c r="R22" s="13"/>
      <c r="S22" s="13">
        <v>832667</v>
      </c>
      <c r="T22" s="13" t="s">
        <v>43</v>
      </c>
      <c r="U22" t="s">
        <v>43</v>
      </c>
      <c r="V22">
        <v>2</v>
      </c>
      <c r="W22">
        <v>10</v>
      </c>
      <c r="X22">
        <v>4.78</v>
      </c>
      <c r="Y22">
        <v>33</v>
      </c>
      <c r="Z22" s="15">
        <f>Table13[[#This Row],[Time until ideal entry + 390 (6:30)]]/(1440)</f>
        <v>0.27777777777777779</v>
      </c>
      <c r="AA22" s="18">
        <f t="shared" si="0"/>
        <v>0.88659793814432986</v>
      </c>
      <c r="AB22" s="18">
        <f>IF(Table13[[#This Row],[HOD AFTER PM HI]]&gt;=Table13[[#This Row],[PM Hi]],((Table13[[#This Row],[HOD AFTER PM HI]]-Table13[[#This Row],[Prior day close]])/Table13[[#This Row],[Prior day close]]),Table13[[#This Row],[Prior Close to PM Hi %]])</f>
        <v>2.261168384879725</v>
      </c>
      <c r="AC22" s="18">
        <f>(Table13[[#This Row],[Price at hi of squeeze]]-Table13[[#This Row],[MKT Open Price]])/Table13[[#This Row],[MKT Open Price]]</f>
        <v>0.8904382470119524</v>
      </c>
      <c r="AD22" s="18">
        <f>(Table13[[#This Row],[Price at hi of squeeze]]-Table13[[#This Row],[PM Hi]])/Table13[[#This Row],[PM Hi]]</f>
        <v>0.72859744990892528</v>
      </c>
      <c r="AE22" s="18">
        <f t="shared" si="2"/>
        <v>1.0630434782608698</v>
      </c>
      <c r="AF22" s="20">
        <f>Table13[[#This Row],[PM VOL]]/1000000/Table13[[#This Row],[FLOAT(M)]]</f>
        <v>1.6285292391942107E-2</v>
      </c>
      <c r="AG22" s="23">
        <f>(Table13[[#This Row],[Volume]]/1000000)/Table13[[#This Row],[FLOAT(M)]]</f>
        <v>0.65255182867201256</v>
      </c>
      <c r="AH22" s="18">
        <f>(Table13[[#This Row],[Hi of Spike after open before drop]]-Table13[[#This Row],[MKT Open Price]])/Table13[[#This Row],[MKT Open Price]]</f>
        <v>3.5856573705179404E-2</v>
      </c>
      <c r="AI22" s="18">
        <f>(Table13[[#This Row],[PM Hi]]-Table13[[#This Row],[MKT Open Price]])/(Table13[[#This Row],[PM Hi]])</f>
        <v>8.5610200364298839E-2</v>
      </c>
      <c r="AJ22" s="16">
        <f>IF(Table13[[#This Row],[PM LO]]&gt;Table13[[#This Row],[Prior day close]],(Table13[[#This Row],[PM Hi]]-Table13[[#This Row],[MKT Open Price]])/(Table13[[#This Row],[PM Hi]]-Table13[[#This Row],[Prior day close]]),(Table13[[#This Row],[PM Hi]]-Table13[[#This Row],[MKT Open Price]])/(Table13[[#This Row],[PM Hi]]-Table13[[#This Row],[PM LO]]))</f>
        <v>0.18217054263565916</v>
      </c>
      <c r="AK22" s="16">
        <f>IF(Table13[[#This Row],[Prior day close]]&lt;Table13[[#This Row],[PM LO]],(I22-K22)/(I22-Table13[[#This Row],[Prior day close]]),(I22-K22)/(I22-Table13[[#This Row],[PM LO]]))</f>
        <v>0.19905213270142183</v>
      </c>
      <c r="AL22" s="16">
        <f>Table13[[#This Row],[Spike % on open before drop]]+AM22</f>
        <v>0.11952191235059773</v>
      </c>
      <c r="AM22" s="16">
        <f t="shared" si="3"/>
        <v>8.3665338645418322E-2</v>
      </c>
      <c r="AN22" s="18">
        <f>IF($J22&gt;=$F22,($J22-$K22)/($J22-$D22),(IF($H22&lt;=$K22,($F22-$H22)/($F22-$D22),(Table13[[#This Row],[PM Hi]]-Table13[[#This Row],[Lowest lo from open to squeeze]])/(Table13[[#This Row],[PM Hi]]-Table13[[#This Row],[Prior day close]]))))</f>
        <v>0.34496124031007774</v>
      </c>
      <c r="AO22" s="18">
        <f>IF(Table13[[#This Row],[Prior day close]]&lt;=Table13[[#This Row],[PM LO]],IF($J22&gt;=$F22,($J22-$K22)/($J22-Table13[[#This Row],[Prior day close]]),(IF($H22&lt;=$K22,($F22-$H22)/($F22-Table13[[#This Row],[Prior day close]]),(Table13[[#This Row],[PM Hi]]-Table13[[#This Row],[Lowest lo from open to squeeze]])/(Table13[[#This Row],[PM Hi]]-Table13[[#This Row],[Prior day close]])))),IF($J22&gt;=$F22,($J22-$K22)/($J22-Table13[[#This Row],[PM LO]]),(IF($H22&lt;=$K22,($F22-$H22)/($F22-Table13[[#This Row],[PM LO]]),(Table13[[#This Row],[PM Hi]]-Table13[[#This Row],[Lowest lo from open to squeeze]])/(Table13[[#This Row],[PM Hi]]-Table13[[#This Row],[PM LO]])))))</f>
        <v>0.34496124031007774</v>
      </c>
      <c r="AP22" s="18">
        <f>0.86/2.56</f>
        <v>0.3359375</v>
      </c>
      <c r="AQ22" s="17">
        <f>390+Table13[[#This Row],[Time until ideal entry point (mins) from open]]</f>
        <v>400</v>
      </c>
      <c r="AR22" s="51">
        <f>(Table13[[#This Row],[Time until ideal entry + 390 (6:30)]]+Table13[[#This Row],[Duration of frontside (mins)]])/1440</f>
        <v>0.30069444444444443</v>
      </c>
    </row>
    <row r="23" spans="1:44" x14ac:dyDescent="0.25">
      <c r="A23" s="25" t="s">
        <v>62</v>
      </c>
      <c r="B23" s="11">
        <v>43917</v>
      </c>
      <c r="C23" s="47" t="s">
        <v>71</v>
      </c>
      <c r="D23" s="12">
        <v>0.54</v>
      </c>
      <c r="E23" s="13">
        <v>0.59</v>
      </c>
      <c r="F23" s="12">
        <v>2.4500000000000002</v>
      </c>
      <c r="G23" s="12">
        <v>0.59</v>
      </c>
      <c r="H23" s="12">
        <v>1.96</v>
      </c>
      <c r="I23" s="12">
        <v>2.1</v>
      </c>
      <c r="J23" s="12">
        <v>2.29</v>
      </c>
      <c r="K23" s="12">
        <v>1.77</v>
      </c>
      <c r="L23" s="12">
        <v>2.58</v>
      </c>
      <c r="M23" s="12">
        <v>2.58</v>
      </c>
      <c r="N23" s="13">
        <v>52904773</v>
      </c>
      <c r="O23" s="12">
        <v>55298227</v>
      </c>
      <c r="P23" s="13">
        <v>10.1</v>
      </c>
      <c r="Q23" s="13">
        <v>6.89</v>
      </c>
      <c r="R23" s="13"/>
      <c r="S23" s="13">
        <v>4672620</v>
      </c>
      <c r="T23" s="13" t="s">
        <v>43</v>
      </c>
      <c r="U23" t="s">
        <v>43</v>
      </c>
      <c r="V23">
        <v>53</v>
      </c>
      <c r="W23">
        <v>54</v>
      </c>
      <c r="X23">
        <v>1.87</v>
      </c>
      <c r="Y23">
        <v>30</v>
      </c>
      <c r="Z23" s="15">
        <f>Table13[[#This Row],[Time until ideal entry + 390 (6:30)]]/(1440)</f>
        <v>0.30833333333333335</v>
      </c>
      <c r="AA23" s="18">
        <f t="shared" si="0"/>
        <v>3.5370370370370372</v>
      </c>
      <c r="AB23" s="18">
        <f>IF(Table13[[#This Row],[HOD AFTER PM HI]]&gt;=Table13[[#This Row],[PM Hi]],((Table13[[#This Row],[HOD AFTER PM HI]]-Table13[[#This Row],[Prior day close]])/Table13[[#This Row],[Prior day close]]),Table13[[#This Row],[Prior Close to PM Hi %]])</f>
        <v>3.7777777777777777</v>
      </c>
      <c r="AC23" s="18">
        <f>(Table13[[#This Row],[Price at hi of squeeze]]-Table13[[#This Row],[MKT Open Price]])/Table13[[#This Row],[MKT Open Price]]</f>
        <v>0.22857142857142856</v>
      </c>
      <c r="AD23" s="18">
        <f>(Table13[[#This Row],[Price at hi of squeeze]]-Table13[[#This Row],[PM Hi]])/Table13[[#This Row],[PM Hi]]</f>
        <v>5.3061224489795868E-2</v>
      </c>
      <c r="AE23" s="18">
        <f t="shared" si="2"/>
        <v>0.4576271186440678</v>
      </c>
      <c r="AF23" s="20">
        <f>Table13[[#This Row],[PM VOL]]/1000000/Table13[[#This Row],[FLOAT(M)]]</f>
        <v>0.67817416545718434</v>
      </c>
      <c r="AG23" s="23">
        <f>(Table13[[#This Row],[Volume]]/1000000)/Table13[[#This Row],[FLOAT(M)]]</f>
        <v>7.6784866473149496</v>
      </c>
      <c r="AH23" s="18">
        <f>(Table13[[#This Row],[Hi of Spike after open before drop]]-Table13[[#This Row],[MKT Open Price]])/Table13[[#This Row],[MKT Open Price]]</f>
        <v>9.0476190476190446E-2</v>
      </c>
      <c r="AI23" s="18">
        <f>(Table13[[#This Row],[PM Hi]]-Table13[[#This Row],[MKT Open Price]])/(Table13[[#This Row],[PM Hi]])</f>
        <v>0.14285714285714288</v>
      </c>
      <c r="AJ23" s="16">
        <f>IF(Table13[[#This Row],[PM LO]]&gt;Table13[[#This Row],[Prior day close]],(Table13[[#This Row],[PM Hi]]-Table13[[#This Row],[MKT Open Price]])/(Table13[[#This Row],[PM Hi]]-Table13[[#This Row],[Prior day close]]),(Table13[[#This Row],[PM Hi]]-Table13[[#This Row],[MKT Open Price]])/(Table13[[#This Row],[PM Hi]]-Table13[[#This Row],[PM LO]]))</f>
        <v>0.18324607329842935</v>
      </c>
      <c r="AK23" s="16">
        <f>IF(Table13[[#This Row],[Prior day close]]&lt;Table13[[#This Row],[PM LO]],(I23-K23)/(I23-Table13[[#This Row],[Prior day close]]),(I23-K23)/(I23-Table13[[#This Row],[PM LO]]))</f>
        <v>0.21153846153846156</v>
      </c>
      <c r="AL23" s="16">
        <f>Table13[[#This Row],[Spike % on open before drop]]+AM23</f>
        <v>0.24761904761904763</v>
      </c>
      <c r="AM23" s="16">
        <f t="shared" si="3"/>
        <v>0.15714285714285717</v>
      </c>
      <c r="AN23" s="18">
        <f>IF($J23&gt;=$F23,($J23-$K23)/($J23-$D23),(IF($H23&lt;=$K23,($F23-$H23)/($F23-$D23),(Table13[[#This Row],[PM Hi]]-Table13[[#This Row],[Lowest lo from open to squeeze]])/(Table13[[#This Row],[PM Hi]]-Table13[[#This Row],[Prior day close]]))))</f>
        <v>0.35602094240837701</v>
      </c>
      <c r="AO23" s="18">
        <f>IF(Table13[[#This Row],[Prior day close]]&lt;=Table13[[#This Row],[PM LO]],IF($J23&gt;=$F23,($J23-$K23)/($J23-Table13[[#This Row],[Prior day close]]),(IF($H23&lt;=$K23,($F23-$H23)/($F23-Table13[[#This Row],[Prior day close]]),(Table13[[#This Row],[PM Hi]]-Table13[[#This Row],[Lowest lo from open to squeeze]])/(Table13[[#This Row],[PM Hi]]-Table13[[#This Row],[Prior day close]])))),IF($J23&gt;=$F23,($J23-$K23)/($J23-Table13[[#This Row],[PM LO]]),(IF($H23&lt;=$K23,($F23-$H23)/($F23-Table13[[#This Row],[PM LO]]),(Table13[[#This Row],[PM Hi]]-Table13[[#This Row],[Lowest lo from open to squeeze]])/(Table13[[#This Row],[PM Hi]]-Table13[[#This Row],[PM LO]])))))</f>
        <v>0.35602094240837701</v>
      </c>
      <c r="AP23" s="18">
        <f>0.68/1.92</f>
        <v>0.35416666666666669</v>
      </c>
      <c r="AQ23" s="17">
        <f>390+Table13[[#This Row],[Time until ideal entry point (mins) from open]]</f>
        <v>444</v>
      </c>
      <c r="AR23" s="51">
        <f>(Table13[[#This Row],[Time until ideal entry + 390 (6:30)]]+Table13[[#This Row],[Duration of frontside (mins)]])/1440</f>
        <v>0.32916666666666666</v>
      </c>
    </row>
    <row r="24" spans="1:44" x14ac:dyDescent="0.25">
      <c r="A24" s="25" t="s">
        <v>63</v>
      </c>
      <c r="B24" s="11">
        <v>43920</v>
      </c>
      <c r="C24" s="47" t="s">
        <v>71</v>
      </c>
      <c r="D24" s="12">
        <v>0.52</v>
      </c>
      <c r="E24" s="13">
        <v>0.5</v>
      </c>
      <c r="F24" s="12">
        <v>1.25</v>
      </c>
      <c r="G24" s="12">
        <v>0.5</v>
      </c>
      <c r="H24" s="12">
        <v>0.95</v>
      </c>
      <c r="I24" s="12">
        <v>1</v>
      </c>
      <c r="J24" s="12">
        <v>1</v>
      </c>
      <c r="K24" s="12">
        <v>0.92</v>
      </c>
      <c r="L24" s="12">
        <v>1.91</v>
      </c>
      <c r="M24" s="12">
        <v>1.91</v>
      </c>
      <c r="N24" s="13">
        <v>62858519</v>
      </c>
      <c r="O24" s="12">
        <v>67735425</v>
      </c>
      <c r="P24" s="13">
        <v>15.75</v>
      </c>
      <c r="Q24" s="13">
        <v>11.7</v>
      </c>
      <c r="R24" s="13"/>
      <c r="S24" s="13">
        <v>4158637</v>
      </c>
      <c r="T24" s="13" t="s">
        <v>43</v>
      </c>
      <c r="U24" t="s">
        <v>43</v>
      </c>
      <c r="V24">
        <v>2</v>
      </c>
      <c r="W24">
        <v>3</v>
      </c>
      <c r="X24">
        <v>0.97</v>
      </c>
      <c r="Y24">
        <v>44</v>
      </c>
      <c r="Z24" s="15">
        <f>Table13[[#This Row],[Time until ideal entry + 390 (6:30)]]/(1440)</f>
        <v>0.27291666666666664</v>
      </c>
      <c r="AA24" s="18">
        <f t="shared" ref="AA24:AA55" si="4">(F24-D24)/D24</f>
        <v>1.4038461538461537</v>
      </c>
      <c r="AB24" s="18">
        <f>IF(Table13[[#This Row],[HOD AFTER PM HI]]&gt;=Table13[[#This Row],[PM Hi]],((Table13[[#This Row],[HOD AFTER PM HI]]-Table13[[#This Row],[Prior day close]])/Table13[[#This Row],[Prior day close]]),Table13[[#This Row],[Prior Close to PM Hi %]])</f>
        <v>2.6730769230769229</v>
      </c>
      <c r="AC24" s="18">
        <f>(Table13[[#This Row],[Price at hi of squeeze]]-Table13[[#This Row],[MKT Open Price]])/Table13[[#This Row],[MKT Open Price]]</f>
        <v>0.90999999999999992</v>
      </c>
      <c r="AD24" s="18">
        <f>(Table13[[#This Row],[Price at hi of squeeze]]-Table13[[#This Row],[PM Hi]])/Table13[[#This Row],[PM Hi]]</f>
        <v>0.52799999999999991</v>
      </c>
      <c r="AE24" s="18">
        <f t="shared" si="2"/>
        <v>1.076086956521739</v>
      </c>
      <c r="AF24" s="20">
        <f>Table13[[#This Row],[PM VOL]]/1000000/Table13[[#This Row],[FLOAT(M)]]</f>
        <v>0.35543905982905982</v>
      </c>
      <c r="AG24" s="23">
        <f>(Table13[[#This Row],[Volume]]/1000000)/Table13[[#This Row],[FLOAT(M)]]</f>
        <v>5.3725229914529917</v>
      </c>
      <c r="AH24" s="18">
        <f>(Table13[[#This Row],[Hi of Spike after open before drop]]-Table13[[#This Row],[MKT Open Price]])/Table13[[#This Row],[MKT Open Price]]</f>
        <v>0</v>
      </c>
      <c r="AI24" s="18">
        <f>(Table13[[#This Row],[PM Hi]]-Table13[[#This Row],[MKT Open Price]])/(Table13[[#This Row],[PM Hi]])</f>
        <v>0.2</v>
      </c>
      <c r="AJ24" s="16">
        <f>IF(Table13[[#This Row],[PM LO]]&gt;Table13[[#This Row],[Prior day close]],(Table13[[#This Row],[PM Hi]]-Table13[[#This Row],[MKT Open Price]])/(Table13[[#This Row],[PM Hi]]-Table13[[#This Row],[Prior day close]]),(Table13[[#This Row],[PM Hi]]-Table13[[#This Row],[MKT Open Price]])/(Table13[[#This Row],[PM Hi]]-Table13[[#This Row],[PM LO]]))</f>
        <v>0.33333333333333331</v>
      </c>
      <c r="AK24" s="16">
        <f>IF(Table13[[#This Row],[Prior day close]]&lt;Table13[[#This Row],[PM LO]],(I24-K24)/(I24-Table13[[#This Row],[Prior day close]]),(I24-K24)/(I24-Table13[[#This Row],[PM LO]]))</f>
        <v>0.15999999999999992</v>
      </c>
      <c r="AL24" s="16">
        <f>Table13[[#This Row],[Spike % on open before drop]]+AM24</f>
        <v>7.999999999999996E-2</v>
      </c>
      <c r="AM24" s="16">
        <f t="shared" si="3"/>
        <v>7.999999999999996E-2</v>
      </c>
      <c r="AN24" s="18">
        <f>IF($J24&gt;=$F24,($J24-$K24)/($J24-$D24),(IF($H24&lt;=$K24,($F24-$H24)/($F24-$D24),(Table13[[#This Row],[PM Hi]]-Table13[[#This Row],[Lowest lo from open to squeeze]])/(Table13[[#This Row],[PM Hi]]-Table13[[#This Row],[Prior day close]]))))</f>
        <v>0.45205479452054792</v>
      </c>
      <c r="AO24" s="18">
        <f>IF(Table13[[#This Row],[Prior day close]]&lt;=Table13[[#This Row],[PM LO]],IF($J24&gt;=$F24,($J24-$K24)/($J24-Table13[[#This Row],[Prior day close]]),(IF($H24&lt;=$K24,($F24-$H24)/($F24-Table13[[#This Row],[Prior day close]]),(Table13[[#This Row],[PM Hi]]-Table13[[#This Row],[Lowest lo from open to squeeze]])/(Table13[[#This Row],[PM Hi]]-Table13[[#This Row],[Prior day close]])))),IF($J24&gt;=$F24,($J24-$K24)/($J24-Table13[[#This Row],[PM LO]]),(IF($H24&lt;=$K24,($F24-$H24)/($F24-Table13[[#This Row],[PM LO]]),(Table13[[#This Row],[PM Hi]]-Table13[[#This Row],[Lowest lo from open to squeeze]])/(Table13[[#This Row],[PM Hi]]-Table13[[#This Row],[PM LO]])))))</f>
        <v>0.43999999999999995</v>
      </c>
      <c r="AP24" s="18">
        <f>0.33/0.73</f>
        <v>0.45205479452054798</v>
      </c>
      <c r="AQ24" s="17">
        <f>390+Table13[[#This Row],[Time until ideal entry point (mins) from open]]</f>
        <v>393</v>
      </c>
      <c r="AR24" s="51">
        <f>(Table13[[#This Row],[Time until ideal entry + 390 (6:30)]]+Table13[[#This Row],[Duration of frontside (mins)]])/1440</f>
        <v>0.3034722222222222</v>
      </c>
    </row>
    <row r="25" spans="1:44" x14ac:dyDescent="0.25">
      <c r="A25" s="25" t="s">
        <v>65</v>
      </c>
      <c r="B25" s="11">
        <v>43930</v>
      </c>
      <c r="C25" s="47" t="s">
        <v>71</v>
      </c>
      <c r="D25" s="12">
        <v>1.1100000000000001</v>
      </c>
      <c r="E25" s="13">
        <v>1.25</v>
      </c>
      <c r="F25" s="12">
        <v>3.61</v>
      </c>
      <c r="G25" s="12">
        <v>1.25</v>
      </c>
      <c r="H25" s="12">
        <v>3.39</v>
      </c>
      <c r="I25" s="12">
        <v>3.5</v>
      </c>
      <c r="J25" s="12">
        <v>4.1500000000000004</v>
      </c>
      <c r="K25" s="12">
        <v>3.05</v>
      </c>
      <c r="L25" s="12">
        <v>4.1100000000000003</v>
      </c>
      <c r="M25" s="12">
        <v>4.1100000000000003</v>
      </c>
      <c r="N25" s="13">
        <v>19795485</v>
      </c>
      <c r="O25" s="12">
        <v>36224670</v>
      </c>
      <c r="P25" s="13">
        <v>5.4</v>
      </c>
      <c r="Q25" s="13">
        <v>3.38</v>
      </c>
      <c r="R25" s="13"/>
      <c r="S25" s="13">
        <v>782201</v>
      </c>
      <c r="T25" s="13" t="s">
        <v>43</v>
      </c>
      <c r="U25" t="s">
        <v>43</v>
      </c>
      <c r="V25">
        <v>13</v>
      </c>
      <c r="W25">
        <v>14</v>
      </c>
      <c r="X25">
        <v>3.24</v>
      </c>
      <c r="Y25">
        <v>12</v>
      </c>
      <c r="Z25" s="15">
        <f>Table13[[#This Row],[Time until ideal entry + 390 (6:30)]]/(1440)</f>
        <v>0.28055555555555556</v>
      </c>
      <c r="AA25" s="18">
        <f t="shared" si="4"/>
        <v>2.2522522522522519</v>
      </c>
      <c r="AB25" s="18">
        <f>IF(Table13[[#This Row],[HOD AFTER PM HI]]&gt;=Table13[[#This Row],[PM Hi]],((Table13[[#This Row],[HOD AFTER PM HI]]-Table13[[#This Row],[Prior day close]])/Table13[[#This Row],[Prior day close]]),Table13[[#This Row],[Prior Close to PM Hi %]])</f>
        <v>2.7027027027027026</v>
      </c>
      <c r="AC25" s="18">
        <f>(Table13[[#This Row],[Price at hi of squeeze]]-Table13[[#This Row],[MKT Open Price]])/Table13[[#This Row],[MKT Open Price]]</f>
        <v>0.17428571428571438</v>
      </c>
      <c r="AD25" s="18">
        <f>(Table13[[#This Row],[Price at hi of squeeze]]-Table13[[#This Row],[PM Hi]])/Table13[[#This Row],[PM Hi]]</f>
        <v>0.13850415512465386</v>
      </c>
      <c r="AE25" s="18">
        <f t="shared" si="2"/>
        <v>0.34754098360655755</v>
      </c>
      <c r="AF25" s="20">
        <f>Table13[[#This Row],[PM VOL]]/1000000/Table13[[#This Row],[FLOAT(M)]]</f>
        <v>0.23142041420118345</v>
      </c>
      <c r="AG25" s="23">
        <f>(Table13[[#This Row],[Volume]]/1000000)/Table13[[#This Row],[FLOAT(M)]]</f>
        <v>5.856652366863905</v>
      </c>
      <c r="AH25" s="18">
        <f>(Table13[[#This Row],[Hi of Spike after open before drop]]-Table13[[#This Row],[MKT Open Price]])/Table13[[#This Row],[MKT Open Price]]</f>
        <v>0.1857142857142858</v>
      </c>
      <c r="AI25" s="18">
        <f>(Table13[[#This Row],[PM Hi]]-Table13[[#This Row],[MKT Open Price]])/(Table13[[#This Row],[PM Hi]])</f>
        <v>3.0470914127423789E-2</v>
      </c>
      <c r="AJ25" s="16">
        <f>IF(Table13[[#This Row],[PM LO]]&gt;Table13[[#This Row],[Prior day close]],(Table13[[#This Row],[PM Hi]]-Table13[[#This Row],[MKT Open Price]])/(Table13[[#This Row],[PM Hi]]-Table13[[#This Row],[Prior day close]]),(Table13[[#This Row],[PM Hi]]-Table13[[#This Row],[MKT Open Price]])/(Table13[[#This Row],[PM Hi]]-Table13[[#This Row],[PM LO]]))</f>
        <v>4.3999999999999949E-2</v>
      </c>
      <c r="AK25" s="16">
        <f>IF(Table13[[#This Row],[Prior day close]]&lt;Table13[[#This Row],[PM LO]],(I25-K25)/(I25-Table13[[#This Row],[Prior day close]]),(I25-K25)/(I25-Table13[[#This Row],[PM LO]]))</f>
        <v>0.18828451882845199</v>
      </c>
      <c r="AL25" s="16">
        <f>Table13[[#This Row],[Spike % on open before drop]]+AM25</f>
        <v>0.31428571428571439</v>
      </c>
      <c r="AM25" s="16">
        <f t="shared" si="3"/>
        <v>0.12857142857142861</v>
      </c>
      <c r="AN25" s="18">
        <f>IF($J25&gt;=$F25,($J25-$K25)/($J25-$D25),(IF($H25&lt;=$K25,($F25-$H25)/($F25-$D25),(Table13[[#This Row],[PM Hi]]-Table13[[#This Row],[Lowest lo from open to squeeze]])/(Table13[[#This Row],[PM Hi]]-Table13[[#This Row],[Prior day close]]))))</f>
        <v>0.36184210526315808</v>
      </c>
      <c r="AO25" s="18">
        <f>IF(Table13[[#This Row],[Prior day close]]&lt;=Table13[[#This Row],[PM LO]],IF($J25&gt;=$F25,($J25-$K25)/($J25-Table13[[#This Row],[Prior day close]]),(IF($H25&lt;=$K25,($F25-$H25)/($F25-Table13[[#This Row],[Prior day close]]),(Table13[[#This Row],[PM Hi]]-Table13[[#This Row],[Lowest lo from open to squeeze]])/(Table13[[#This Row],[PM Hi]]-Table13[[#This Row],[Prior day close]])))),IF($J25&gt;=$F25,($J25-$K25)/($J25-Table13[[#This Row],[PM LO]]),(IF($H25&lt;=$K25,($F25-$H25)/($F25-Table13[[#This Row],[PM LO]]),(Table13[[#This Row],[PM Hi]]-Table13[[#This Row],[Lowest lo from open to squeeze]])/(Table13[[#This Row],[PM Hi]]-Table13[[#This Row],[PM LO]])))))</f>
        <v>0.36184210526315808</v>
      </c>
      <c r="AP25" s="18">
        <f>1.09/3.05</f>
        <v>0.35737704918032792</v>
      </c>
      <c r="AQ25" s="17">
        <f>390+Table13[[#This Row],[Time until ideal entry point (mins) from open]]</f>
        <v>404</v>
      </c>
      <c r="AR25" s="51">
        <f>(Table13[[#This Row],[Time until ideal entry + 390 (6:30)]]+Table13[[#This Row],[Duration of frontside (mins)]])/1440</f>
        <v>0.28888888888888886</v>
      </c>
    </row>
    <row r="26" spans="1:44" x14ac:dyDescent="0.25">
      <c r="A26" s="25" t="s">
        <v>66</v>
      </c>
      <c r="B26" s="11">
        <v>43934</v>
      </c>
      <c r="C26" s="47" t="s">
        <v>71</v>
      </c>
      <c r="D26" s="12">
        <v>2.25</v>
      </c>
      <c r="E26" s="13">
        <v>2.64</v>
      </c>
      <c r="F26" s="12">
        <v>9.9499999999999993</v>
      </c>
      <c r="G26" s="12">
        <v>2.64</v>
      </c>
      <c r="H26" s="12">
        <v>5.27</v>
      </c>
      <c r="I26" s="12">
        <v>6.45</v>
      </c>
      <c r="J26" s="12">
        <v>7.2</v>
      </c>
      <c r="K26" s="12">
        <v>5.45</v>
      </c>
      <c r="L26" s="12">
        <v>14.88</v>
      </c>
      <c r="M26" s="12">
        <v>14.35</v>
      </c>
      <c r="N26" s="13">
        <v>86483807</v>
      </c>
      <c r="O26" s="12">
        <v>1221549846</v>
      </c>
      <c r="P26" s="13">
        <v>16.809999999999999</v>
      </c>
      <c r="Q26" s="13">
        <v>5.24</v>
      </c>
      <c r="R26" s="14"/>
      <c r="S26" s="13">
        <v>3239842</v>
      </c>
      <c r="T26" s="13" t="s">
        <v>43</v>
      </c>
      <c r="U26" t="s">
        <v>43</v>
      </c>
      <c r="V26">
        <v>28</v>
      </c>
      <c r="W26">
        <v>29</v>
      </c>
      <c r="X26">
        <v>5.52</v>
      </c>
      <c r="Y26">
        <v>199</v>
      </c>
      <c r="Z26" s="15">
        <f>Table13[[#This Row],[Time until ideal entry + 390 (6:30)]]/(1440)</f>
        <v>0.29097222222222224</v>
      </c>
      <c r="AA26" s="18">
        <f t="shared" si="4"/>
        <v>3.4222222222222221</v>
      </c>
      <c r="AB26" s="18">
        <f>IF(Table13[[#This Row],[HOD AFTER PM HI]]&gt;=Table13[[#This Row],[PM Hi]],((Table13[[#This Row],[HOD AFTER PM HI]]-Table13[[#This Row],[Prior day close]])/Table13[[#This Row],[Prior day close]]),Table13[[#This Row],[Prior Close to PM Hi %]])</f>
        <v>5.6133333333333333</v>
      </c>
      <c r="AC26" s="18">
        <f>(Table13[[#This Row],[Price at hi of squeeze]]-Table13[[#This Row],[MKT Open Price]])/Table13[[#This Row],[MKT Open Price]]</f>
        <v>1.2248062015503876</v>
      </c>
      <c r="AD26" s="18">
        <f>(Table13[[#This Row],[Price at hi of squeeze]]-Table13[[#This Row],[PM Hi]])/Table13[[#This Row],[PM Hi]]</f>
        <v>0.44221105527638199</v>
      </c>
      <c r="AE26" s="18">
        <f t="shared" si="2"/>
        <v>1.6330275229357796</v>
      </c>
      <c r="AF26" s="20">
        <f>Table13[[#This Row],[PM VOL]]/1000000/Table13[[#This Row],[FLOAT(M)]]</f>
        <v>0.61829045801526716</v>
      </c>
      <c r="AG26" s="21">
        <f>(Table13[[#This Row],[Volume]]/1000000)/Table13[[#This Row],[FLOAT(M)]]</f>
        <v>16.504543320610686</v>
      </c>
      <c r="AH26" s="18">
        <f>(Table13[[#This Row],[Hi of Spike after open before drop]]-Table13[[#This Row],[MKT Open Price]])/Table13[[#This Row],[MKT Open Price]]</f>
        <v>0.11627906976744186</v>
      </c>
      <c r="AI26" s="18">
        <f>(Table13[[#This Row],[PM Hi]]-Table13[[#This Row],[MKT Open Price]])/(Table13[[#This Row],[PM Hi]])</f>
        <v>0.35175879396984916</v>
      </c>
      <c r="AJ26" s="16">
        <f>IF(Table13[[#This Row],[PM LO]]&gt;Table13[[#This Row],[Prior day close]],(Table13[[#This Row],[PM Hi]]-Table13[[#This Row],[MKT Open Price]])/(Table13[[#This Row],[PM Hi]]-Table13[[#This Row],[Prior day close]]),(Table13[[#This Row],[PM Hi]]-Table13[[#This Row],[MKT Open Price]])/(Table13[[#This Row],[PM Hi]]-Table13[[#This Row],[PM LO]]))</f>
        <v>0.45454545454545447</v>
      </c>
      <c r="AK26" s="16">
        <f>IF(Table13[[#This Row],[Prior day close]]&lt;Table13[[#This Row],[PM LO]],(I26-K26)/(I26-Table13[[#This Row],[Prior day close]]),(I26-K26)/(I26-Table13[[#This Row],[PM LO]]))</f>
        <v>0.23809523809523808</v>
      </c>
      <c r="AL26" s="16">
        <f>Table13[[#This Row],[Spike % on open before drop]]+AM26</f>
        <v>0.27131782945736432</v>
      </c>
      <c r="AM26" s="16">
        <f t="shared" si="3"/>
        <v>0.15503875968992248</v>
      </c>
      <c r="AN26" s="18">
        <f>IF($J26&gt;=$F26,($J26-$K26)/($J26-$D26),(IF($H26&lt;=$K26,($F26-$H26)/($F26-$D26),(Table13[[#This Row],[PM Hi]]-Table13[[#This Row],[Lowest lo from open to squeeze]])/(Table13[[#This Row],[PM Hi]]-Table13[[#This Row],[Prior day close]]))))</f>
        <v>0.60779220779220777</v>
      </c>
      <c r="AO26" s="18">
        <f>IF(Table13[[#This Row],[Prior day close]]&lt;=Table13[[#This Row],[PM LO]],IF($J26&gt;=$F26,($J26-$K26)/($J26-Table13[[#This Row],[Prior day close]]),(IF($H26&lt;=$K26,($F26-$H26)/($F26-Table13[[#This Row],[Prior day close]]),(Table13[[#This Row],[PM Hi]]-Table13[[#This Row],[Lowest lo from open to squeeze]])/(Table13[[#This Row],[PM Hi]]-Table13[[#This Row],[Prior day close]])))),IF($J26&gt;=$F26,($J26-$K26)/($J26-Table13[[#This Row],[PM LO]]),(IF($H26&lt;=$K26,($F26-$H26)/($F26-Table13[[#This Row],[PM LO]]),(Table13[[#This Row],[PM Hi]]-Table13[[#This Row],[Lowest lo from open to squeeze]])/(Table13[[#This Row],[PM Hi]]-Table13[[#This Row],[PM LO]])))))</f>
        <v>0.60779220779220777</v>
      </c>
      <c r="AP26" s="18">
        <f>4.7/7.68</f>
        <v>0.61197916666666674</v>
      </c>
      <c r="AQ26" s="17">
        <f>390+Table13[[#This Row],[Time until ideal entry point (mins) from open]]</f>
        <v>419</v>
      </c>
      <c r="AR26" s="51">
        <f>(Table13[[#This Row],[Time until ideal entry + 390 (6:30)]]+Table13[[#This Row],[Duration of frontside (mins)]])/1440</f>
        <v>0.42916666666666664</v>
      </c>
    </row>
    <row r="27" spans="1:44" x14ac:dyDescent="0.25">
      <c r="A27" s="25" t="s">
        <v>40</v>
      </c>
      <c r="B27" s="11">
        <v>43938</v>
      </c>
      <c r="C27" s="47" t="s">
        <v>71</v>
      </c>
      <c r="D27" s="12">
        <v>1.63</v>
      </c>
      <c r="E27" s="13">
        <v>2.34</v>
      </c>
      <c r="F27" s="12">
        <v>2.93</v>
      </c>
      <c r="G27" s="12">
        <v>1.97</v>
      </c>
      <c r="H27" s="12">
        <v>1.97</v>
      </c>
      <c r="I27" s="12">
        <v>2.1800000000000002</v>
      </c>
      <c r="J27" s="12">
        <v>2.41</v>
      </c>
      <c r="K27" s="12">
        <v>1.99</v>
      </c>
      <c r="L27" s="12">
        <v>2.84</v>
      </c>
      <c r="M27" s="12">
        <v>2.84</v>
      </c>
      <c r="N27" s="13">
        <v>29998532</v>
      </c>
      <c r="O27" s="12">
        <v>59886571</v>
      </c>
      <c r="P27" s="13">
        <v>14.02</v>
      </c>
      <c r="Q27" s="13">
        <v>6.58</v>
      </c>
      <c r="R27" s="14"/>
      <c r="S27" s="13">
        <v>2487617</v>
      </c>
      <c r="T27" s="13" t="s">
        <v>43</v>
      </c>
      <c r="U27" t="s">
        <v>43</v>
      </c>
      <c r="V27">
        <v>19</v>
      </c>
      <c r="W27">
        <v>20</v>
      </c>
      <c r="X27">
        <v>2.02</v>
      </c>
      <c r="Y27">
        <v>35</v>
      </c>
      <c r="Z27" s="15">
        <f>Table13[[#This Row],[Time until ideal entry + 390 (6:30)]]/(1440)</f>
        <v>0.28472222222222221</v>
      </c>
      <c r="AA27" s="18">
        <f t="shared" si="4"/>
        <v>0.79754601226993882</v>
      </c>
      <c r="AB27" s="18">
        <f>IF(Table13[[#This Row],[HOD AFTER PM HI]]&gt;=Table13[[#This Row],[PM Hi]],((Table13[[#This Row],[HOD AFTER PM HI]]-Table13[[#This Row],[Prior day close]])/Table13[[#This Row],[Prior day close]]),Table13[[#This Row],[Prior Close to PM Hi %]])</f>
        <v>0.79754601226993882</v>
      </c>
      <c r="AC27" s="18">
        <f>(Table13[[#This Row],[Price at hi of squeeze]]-Table13[[#This Row],[MKT Open Price]])/Table13[[#This Row],[MKT Open Price]]</f>
        <v>0.3027522935779815</v>
      </c>
      <c r="AD27" s="18">
        <f>(Table13[[#This Row],[Price at hi of squeeze]]-Table13[[#This Row],[PM Hi]])/Table13[[#This Row],[PM Hi]]</f>
        <v>-3.0716723549488158E-2</v>
      </c>
      <c r="AE27" s="18">
        <f t="shared" si="2"/>
        <v>0.42713567839195976</v>
      </c>
      <c r="AF27" s="20">
        <f>Table13[[#This Row],[PM VOL]]/1000000/Table13[[#This Row],[FLOAT(M)]]</f>
        <v>0.3780572948328268</v>
      </c>
      <c r="AG27" s="21">
        <f>(Table13[[#This Row],[Volume]]/1000000)/Table13[[#This Row],[FLOAT(M)]]</f>
        <v>4.5590474164133736</v>
      </c>
      <c r="AH27" s="18">
        <f>(Table13[[#This Row],[Hi of Spike after open before drop]]-Table13[[#This Row],[MKT Open Price]])/Table13[[#This Row],[MKT Open Price]]</f>
        <v>0.10550458715596328</v>
      </c>
      <c r="AI27" s="18">
        <f>(Table13[[#This Row],[PM Hi]]-Table13[[#This Row],[MKT Open Price]])/(Table13[[#This Row],[PM Hi]])</f>
        <v>0.25597269624573377</v>
      </c>
      <c r="AJ27" s="16">
        <f>IF(Table13[[#This Row],[PM LO]]&gt;Table13[[#This Row],[Prior day close]],(Table13[[#This Row],[PM Hi]]-Table13[[#This Row],[MKT Open Price]])/(Table13[[#This Row],[PM Hi]]-Table13[[#This Row],[Prior day close]]),(Table13[[#This Row],[PM Hi]]-Table13[[#This Row],[MKT Open Price]])/(Table13[[#This Row],[PM Hi]]-Table13[[#This Row],[PM LO]]))</f>
        <v>0.57692307692307676</v>
      </c>
      <c r="AK27" s="16">
        <f>IF(Table13[[#This Row],[Prior day close]]&lt;Table13[[#This Row],[PM LO]],(I27-K27)/(I27-Table13[[#This Row],[Prior day close]]),(I27-K27)/(I27-Table13[[#This Row],[PM LO]]))</f>
        <v>0.34545454545454557</v>
      </c>
      <c r="AL27" s="16">
        <f>Table13[[#This Row],[Spike % on open before drop]]+AM27</f>
        <v>0.19266055045871566</v>
      </c>
      <c r="AM27" s="16">
        <f t="shared" si="3"/>
        <v>8.7155963302752368E-2</v>
      </c>
      <c r="AN27" s="18">
        <f>IF($J27&gt;=$F27,($J27-$K27)/($J27-$D27),(IF($H27&lt;=$K27,($F27-$H27)/($F27-$D27),(Table13[[#This Row],[PM Hi]]-Table13[[#This Row],[Lowest lo from open to squeeze]])/(Table13[[#This Row],[PM Hi]]-Table13[[#This Row],[Prior day close]]))))</f>
        <v>0.7384615384615385</v>
      </c>
      <c r="AO27" s="18">
        <f>IF(Table13[[#This Row],[Prior day close]]&lt;=Table13[[#This Row],[PM LO]],IF($J27&gt;=$F27,($J27-$K27)/($J27-Table13[[#This Row],[Prior day close]]),(IF($H27&lt;=$K27,($F27-$H27)/($F27-Table13[[#This Row],[Prior day close]]),(Table13[[#This Row],[PM Hi]]-Table13[[#This Row],[Lowest lo from open to squeeze]])/(Table13[[#This Row],[PM Hi]]-Table13[[#This Row],[Prior day close]])))),IF($J27&gt;=$F27,($J27-$K27)/($J27-Table13[[#This Row],[PM LO]]),(IF($H27&lt;=$K27,($F27-$H27)/($F27-Table13[[#This Row],[PM LO]]),(Table13[[#This Row],[PM Hi]]-Table13[[#This Row],[Lowest lo from open to squeeze]])/(Table13[[#This Row],[PM Hi]]-Table13[[#This Row],[PM LO]])))))</f>
        <v>0.7384615384615385</v>
      </c>
      <c r="AP27" s="18">
        <f>0.93/1.31</f>
        <v>0.70992366412213737</v>
      </c>
      <c r="AQ27" s="17">
        <f>390+Table13[[#This Row],[Time until ideal entry point (mins) from open]]</f>
        <v>410</v>
      </c>
      <c r="AR27" s="51">
        <f>(Table13[[#This Row],[Time until ideal entry + 390 (6:30)]]+Table13[[#This Row],[Duration of frontside (mins)]])/1440</f>
        <v>0.30902777777777779</v>
      </c>
    </row>
    <row r="28" spans="1:44" x14ac:dyDescent="0.25">
      <c r="A28" s="10" t="s">
        <v>67</v>
      </c>
      <c r="B28" s="11">
        <v>43945</v>
      </c>
      <c r="C28" s="47" t="s">
        <v>71</v>
      </c>
      <c r="D28" s="12">
        <v>1.41</v>
      </c>
      <c r="E28" s="13">
        <v>1.45</v>
      </c>
      <c r="F28" s="12">
        <v>3.1</v>
      </c>
      <c r="G28" s="12">
        <v>1.45</v>
      </c>
      <c r="H28" s="12">
        <v>2.3199999999999998</v>
      </c>
      <c r="I28" s="12">
        <v>2.36</v>
      </c>
      <c r="J28" s="12">
        <v>2.48</v>
      </c>
      <c r="K28" s="12">
        <v>2.06</v>
      </c>
      <c r="L28" s="12">
        <v>3.42</v>
      </c>
      <c r="M28" s="12">
        <v>3.42</v>
      </c>
      <c r="N28" s="13">
        <v>32754511</v>
      </c>
      <c r="O28" s="12">
        <v>58613192</v>
      </c>
      <c r="P28" s="13">
        <v>5.82</v>
      </c>
      <c r="Q28" s="13">
        <v>2.14</v>
      </c>
      <c r="R28" s="14"/>
      <c r="S28" s="13">
        <v>2586134</v>
      </c>
      <c r="T28" s="13" t="s">
        <v>43</v>
      </c>
      <c r="U28" t="s">
        <v>43</v>
      </c>
      <c r="V28">
        <v>13</v>
      </c>
      <c r="W28">
        <v>14</v>
      </c>
      <c r="X28">
        <v>2.12</v>
      </c>
      <c r="Y28">
        <v>41</v>
      </c>
      <c r="Z28" s="15">
        <f>Table13[[#This Row],[Time until ideal entry + 390 (6:30)]]/(1440)</f>
        <v>0.28055555555555556</v>
      </c>
      <c r="AA28" s="18">
        <f t="shared" si="4"/>
        <v>1.1985815602836882</v>
      </c>
      <c r="AB28" s="18">
        <f>IF(Table13[[#This Row],[HOD AFTER PM HI]]&gt;=Table13[[#This Row],[PM Hi]],((Table13[[#This Row],[HOD AFTER PM HI]]-Table13[[#This Row],[Prior day close]])/Table13[[#This Row],[Prior day close]]),Table13[[#This Row],[Prior Close to PM Hi %]])</f>
        <v>1.425531914893617</v>
      </c>
      <c r="AC28" s="18">
        <f>(Table13[[#This Row],[Price at hi of squeeze]]-Table13[[#This Row],[MKT Open Price]])/Table13[[#This Row],[MKT Open Price]]</f>
        <v>0.44915254237288138</v>
      </c>
      <c r="AD28" s="18">
        <f>(Table13[[#This Row],[Price at hi of squeeze]]-Table13[[#This Row],[PM Hi]])/Table13[[#This Row],[PM Hi]]</f>
        <v>0.10322580645161285</v>
      </c>
      <c r="AE28" s="18">
        <f t="shared" si="2"/>
        <v>0.66019417475728148</v>
      </c>
      <c r="AF28" s="20">
        <f>Table13[[#This Row],[PM VOL]]/1000000/Table13[[#This Row],[FLOAT(M)]]</f>
        <v>1.2084738317757009</v>
      </c>
      <c r="AG28" s="21">
        <f>(Table13[[#This Row],[Volume]]/1000000)/Table13[[#This Row],[FLOAT(M)]]</f>
        <v>15.305846261682243</v>
      </c>
      <c r="AH28" s="18">
        <f>(Table13[[#This Row],[Hi of Spike after open before drop]]-Table13[[#This Row],[MKT Open Price]])/Table13[[#This Row],[MKT Open Price]]</f>
        <v>5.0847457627118689E-2</v>
      </c>
      <c r="AI28" s="18">
        <f>(Table13[[#This Row],[PM Hi]]-Table13[[#This Row],[MKT Open Price]])/(Table13[[#This Row],[PM Hi]])</f>
        <v>0.23870967741935489</v>
      </c>
      <c r="AJ28" s="16">
        <f>IF(Table13[[#This Row],[PM LO]]&gt;Table13[[#This Row],[Prior day close]],(Table13[[#This Row],[PM Hi]]-Table13[[#This Row],[MKT Open Price]])/(Table13[[#This Row],[PM Hi]]-Table13[[#This Row],[Prior day close]]),(Table13[[#This Row],[PM Hi]]-Table13[[#This Row],[MKT Open Price]])/(Table13[[#This Row],[PM Hi]]-Table13[[#This Row],[PM LO]]))</f>
        <v>0.43786982248520717</v>
      </c>
      <c r="AK28" s="16">
        <f>IF(Table13[[#This Row],[Prior day close]]&lt;Table13[[#This Row],[PM LO]],(I28-K28)/(I28-Table13[[#This Row],[Prior day close]]),(I28-K28)/(I28-Table13[[#This Row],[PM LO]]))</f>
        <v>0.31578947368421034</v>
      </c>
      <c r="AL28" s="16">
        <f>Table13[[#This Row],[Spike % on open before drop]]+AM28</f>
        <v>0.17796610169491522</v>
      </c>
      <c r="AM28" s="16">
        <f t="shared" si="3"/>
        <v>0.12711864406779655</v>
      </c>
      <c r="AN28" s="18">
        <f>IF($J28&gt;=$F28,($J28-$K28)/($J28-$D28),(IF($H28&lt;=$K28,($F28-$H28)/($F28-$D28),(Table13[[#This Row],[PM Hi]]-Table13[[#This Row],[Lowest lo from open to squeeze]])/(Table13[[#This Row],[PM Hi]]-Table13[[#This Row],[Prior day close]]))))</f>
        <v>0.61538461538461531</v>
      </c>
      <c r="AO28" s="18">
        <f>IF(Table13[[#This Row],[Prior day close]]&lt;=Table13[[#This Row],[PM LO]],IF($J28&gt;=$F28,($J28-$K28)/($J28-Table13[[#This Row],[Prior day close]]),(IF($H28&lt;=$K28,($F28-$H28)/($F28-Table13[[#This Row],[Prior day close]]),(Table13[[#This Row],[PM Hi]]-Table13[[#This Row],[Lowest lo from open to squeeze]])/(Table13[[#This Row],[PM Hi]]-Table13[[#This Row],[Prior day close]])))),IF($J28&gt;=$F28,($J28-$K28)/($J28-Table13[[#This Row],[PM LO]]),(IF($H28&lt;=$K28,($F28-$H28)/($F28-Table13[[#This Row],[PM LO]]),(Table13[[#This Row],[PM Hi]]-Table13[[#This Row],[Lowest lo from open to squeeze]])/(Table13[[#This Row],[PM Hi]]-Table13[[#This Row],[PM LO]])))))</f>
        <v>0.61538461538461531</v>
      </c>
      <c r="AP28" s="18">
        <f>1.02/1.7</f>
        <v>0.6</v>
      </c>
      <c r="AQ28" s="17">
        <f>390+Table13[[#This Row],[Time until ideal entry point (mins) from open]]</f>
        <v>404</v>
      </c>
      <c r="AR28" s="51">
        <f>(Table13[[#This Row],[Time until ideal entry + 390 (6:30)]]+Table13[[#This Row],[Duration of frontside (mins)]])/1440</f>
        <v>0.30902777777777779</v>
      </c>
    </row>
    <row r="29" spans="1:44" x14ac:dyDescent="0.25">
      <c r="A29" s="10" t="s">
        <v>68</v>
      </c>
      <c r="B29" s="11">
        <v>43948</v>
      </c>
      <c r="C29" s="47" t="s">
        <v>71</v>
      </c>
      <c r="D29" s="12">
        <v>5.15</v>
      </c>
      <c r="E29" s="13">
        <v>5.69</v>
      </c>
      <c r="F29" s="12">
        <v>8</v>
      </c>
      <c r="G29" s="12">
        <v>5.53</v>
      </c>
      <c r="H29" s="12">
        <v>6.28</v>
      </c>
      <c r="I29" s="12">
        <v>7.21</v>
      </c>
      <c r="J29" s="12">
        <v>7.55</v>
      </c>
      <c r="K29" s="12">
        <v>6.28</v>
      </c>
      <c r="L29" s="12">
        <v>10.15</v>
      </c>
      <c r="M29" s="12">
        <v>9.08</v>
      </c>
      <c r="N29" s="13">
        <v>33905783</v>
      </c>
      <c r="O29" s="12">
        <v>252314710</v>
      </c>
      <c r="P29" s="13">
        <v>13.5</v>
      </c>
      <c r="Q29" s="13">
        <v>1.92</v>
      </c>
      <c r="R29" s="14"/>
      <c r="S29" s="13">
        <v>446041</v>
      </c>
      <c r="T29" s="13" t="s">
        <v>43</v>
      </c>
      <c r="U29" t="s">
        <v>43</v>
      </c>
      <c r="V29">
        <v>4</v>
      </c>
      <c r="W29">
        <v>5</v>
      </c>
      <c r="X29">
        <v>6.77</v>
      </c>
      <c r="Y29">
        <v>49</v>
      </c>
      <c r="Z29" s="15">
        <f>Table13[[#This Row],[Time until ideal entry + 390 (6:30)]]/(1440)</f>
        <v>0.27430555555555558</v>
      </c>
      <c r="AA29" s="18">
        <f t="shared" si="4"/>
        <v>0.55339805825242705</v>
      </c>
      <c r="AB29" s="18">
        <f>IF(Table13[[#This Row],[HOD AFTER PM HI]]&gt;=Table13[[#This Row],[PM Hi]],((Table13[[#This Row],[HOD AFTER PM HI]]-Table13[[#This Row],[Prior day close]])/Table13[[#This Row],[Prior day close]]),Table13[[#This Row],[Prior Close to PM Hi %]])</f>
        <v>0.97087378640776689</v>
      </c>
      <c r="AC29" s="18">
        <f>(Table13[[#This Row],[Price at hi of squeeze]]-Table13[[#This Row],[MKT Open Price]])/Table13[[#This Row],[MKT Open Price]]</f>
        <v>0.25936199722607489</v>
      </c>
      <c r="AD29" s="18">
        <f>(Table13[[#This Row],[Price at hi of squeeze]]-Table13[[#This Row],[PM Hi]])/Table13[[#This Row],[PM Hi]]</f>
        <v>0.13500000000000001</v>
      </c>
      <c r="AE29" s="18">
        <f t="shared" si="2"/>
        <v>0.44585987261146492</v>
      </c>
      <c r="AF29" s="20">
        <f>Table13[[#This Row],[PM VOL]]/1000000/Table13[[#This Row],[FLOAT(M)]]</f>
        <v>0.23231302083333336</v>
      </c>
      <c r="AG29" s="21">
        <f>(Table13[[#This Row],[Volume]]/1000000)/Table13[[#This Row],[FLOAT(M)]]</f>
        <v>17.659261979166669</v>
      </c>
      <c r="AH29" s="18">
        <f>(Table13[[#This Row],[Hi of Spike after open before drop]]-Table13[[#This Row],[MKT Open Price]])/Table13[[#This Row],[MKT Open Price]]</f>
        <v>4.7156726768377233E-2</v>
      </c>
      <c r="AI29" s="18">
        <f>(Table13[[#This Row],[PM Hi]]-Table13[[#This Row],[MKT Open Price]])/(Table13[[#This Row],[PM Hi]])</f>
        <v>9.8750000000000004E-2</v>
      </c>
      <c r="AJ29" s="16">
        <f>IF(Table13[[#This Row],[PM LO]]&gt;Table13[[#This Row],[Prior day close]],(Table13[[#This Row],[PM Hi]]-Table13[[#This Row],[MKT Open Price]])/(Table13[[#This Row],[PM Hi]]-Table13[[#This Row],[Prior day close]]),(Table13[[#This Row],[PM Hi]]-Table13[[#This Row],[MKT Open Price]])/(Table13[[#This Row],[PM Hi]]-Table13[[#This Row],[PM LO]]))</f>
        <v>0.27719298245614038</v>
      </c>
      <c r="AK29" s="16">
        <f>IF(Table13[[#This Row],[Prior day close]]&lt;Table13[[#This Row],[PM LO]],(I29-K29)/(I29-Table13[[#This Row],[Prior day close]]),(I29-K29)/(I29-Table13[[#This Row],[PM LO]]))</f>
        <v>0.45145631067961162</v>
      </c>
      <c r="AL29" s="16">
        <f>Table13[[#This Row],[Spike % on open before drop]]+AM29</f>
        <v>0.1761442441054091</v>
      </c>
      <c r="AM29" s="16">
        <f t="shared" si="3"/>
        <v>0.12898751733703187</v>
      </c>
      <c r="AN29" s="18">
        <f>IF($J29&gt;=$F29,($J29-$K29)/($J29-$D29),(IF($H29&lt;=$K29,($F29-$H29)/($F29-$D29),(Table13[[#This Row],[PM Hi]]-Table13[[#This Row],[Lowest lo from open to squeeze]])/(Table13[[#This Row],[PM Hi]]-Table13[[#This Row],[Prior day close]]))))</f>
        <v>0.60350877192982455</v>
      </c>
      <c r="AO29" s="18">
        <f>IF(Table13[[#This Row],[Prior day close]]&lt;=Table13[[#This Row],[PM LO]],IF($J29&gt;=$F29,($J29-$K29)/($J29-Table13[[#This Row],[Prior day close]]),(IF($H29&lt;=$K29,($F29-$H29)/($F29-Table13[[#This Row],[Prior day close]]),(Table13[[#This Row],[PM Hi]]-Table13[[#This Row],[Lowest lo from open to squeeze]])/(Table13[[#This Row],[PM Hi]]-Table13[[#This Row],[Prior day close]])))),IF($J29&gt;=$F29,($J29-$K29)/($J29-Table13[[#This Row],[PM LO]]),(IF($H29&lt;=$K29,($F29-$H29)/($F29-Table13[[#This Row],[PM LO]]),(Table13[[#This Row],[PM Hi]]-Table13[[#This Row],[Lowest lo from open to squeeze]])/(Table13[[#This Row],[PM Hi]]-Table13[[#This Row],[PM LO]])))))</f>
        <v>0.60350877192982455</v>
      </c>
      <c r="AP29" s="18">
        <f>1.71/2.88</f>
        <v>0.59375</v>
      </c>
      <c r="AQ29" s="17">
        <f>390+Table13[[#This Row],[Time until ideal entry point (mins) from open]]</f>
        <v>395</v>
      </c>
      <c r="AR29" s="51">
        <f>(Table13[[#This Row],[Time until ideal entry + 390 (6:30)]]+Table13[[#This Row],[Duration of frontside (mins)]])/1440</f>
        <v>0.30833333333333335</v>
      </c>
    </row>
    <row r="30" spans="1:44" x14ac:dyDescent="0.25">
      <c r="A30" s="10" t="s">
        <v>67</v>
      </c>
      <c r="B30" s="11">
        <v>43952</v>
      </c>
      <c r="C30" s="47" t="s">
        <v>71</v>
      </c>
      <c r="D30" s="12">
        <v>2.33</v>
      </c>
      <c r="E30" s="13">
        <v>2.5099999999999998</v>
      </c>
      <c r="F30" s="12">
        <v>4.5</v>
      </c>
      <c r="G30" s="12">
        <v>2.4</v>
      </c>
      <c r="H30" s="12">
        <v>3.34</v>
      </c>
      <c r="I30" s="12">
        <v>4.18</v>
      </c>
      <c r="J30" s="12">
        <v>4.32</v>
      </c>
      <c r="K30" s="12">
        <v>3.81</v>
      </c>
      <c r="L30" s="12">
        <v>5.15</v>
      </c>
      <c r="M30" s="12">
        <v>5.15</v>
      </c>
      <c r="N30" s="13">
        <v>63890721</v>
      </c>
      <c r="O30" s="12">
        <v>225002039</v>
      </c>
      <c r="P30" s="13">
        <v>9.6</v>
      </c>
      <c r="Q30" s="13">
        <v>2.33</v>
      </c>
      <c r="R30" s="14"/>
      <c r="S30" s="13">
        <v>5021483</v>
      </c>
      <c r="T30" s="13" t="s">
        <v>43</v>
      </c>
      <c r="U30" t="s">
        <v>43</v>
      </c>
      <c r="V30">
        <v>2</v>
      </c>
      <c r="W30">
        <v>3</v>
      </c>
      <c r="X30">
        <v>3.98</v>
      </c>
      <c r="Y30">
        <v>30</v>
      </c>
      <c r="Z30" s="15">
        <f>Table13[[#This Row],[Time until ideal entry + 390 (6:30)]]/(1440)</f>
        <v>0.27291666666666664</v>
      </c>
      <c r="AA30" s="18">
        <f t="shared" si="4"/>
        <v>0.93133047210300424</v>
      </c>
      <c r="AB30" s="18">
        <f>IF(Table13[[#This Row],[HOD AFTER PM HI]]&gt;=Table13[[#This Row],[PM Hi]],((Table13[[#This Row],[HOD AFTER PM HI]]-Table13[[#This Row],[Prior day close]])/Table13[[#This Row],[Prior day close]]),Table13[[#This Row],[Prior Close to PM Hi %]])</f>
        <v>1.2103004291845494</v>
      </c>
      <c r="AC30" s="18">
        <f>(Table13[[#This Row],[Price at hi of squeeze]]-Table13[[#This Row],[MKT Open Price]])/Table13[[#This Row],[MKT Open Price]]</f>
        <v>0.23205741626794274</v>
      </c>
      <c r="AD30" s="18">
        <f>(Table13[[#This Row],[Price at hi of squeeze]]-Table13[[#This Row],[PM Hi]])/Table13[[#This Row],[PM Hi]]</f>
        <v>0.14444444444444451</v>
      </c>
      <c r="AE30" s="18">
        <f t="shared" si="2"/>
        <v>0.3517060367454069</v>
      </c>
      <c r="AF30" s="20">
        <f>Table13[[#This Row],[PM VOL]]/1000000/Table13[[#This Row],[FLOAT(M)]]</f>
        <v>2.1551429184549353</v>
      </c>
      <c r="AG30" s="21">
        <f>(Table13[[#This Row],[Volume]]/1000000)/Table13[[#This Row],[FLOAT(M)]]</f>
        <v>27.420910300429185</v>
      </c>
      <c r="AH30" s="18">
        <f>(Table13[[#This Row],[Hi of Spike after open before drop]]-Table13[[#This Row],[MKT Open Price]])/Table13[[#This Row],[MKT Open Price]]</f>
        <v>3.3492822966507317E-2</v>
      </c>
      <c r="AI30" s="18">
        <f>(Table13[[#This Row],[PM Hi]]-Table13[[#This Row],[MKT Open Price]])/(Table13[[#This Row],[PM Hi]])</f>
        <v>7.111111111111118E-2</v>
      </c>
      <c r="AJ30" s="16">
        <f>IF(Table13[[#This Row],[PM LO]]&gt;Table13[[#This Row],[Prior day close]],(Table13[[#This Row],[PM Hi]]-Table13[[#This Row],[MKT Open Price]])/(Table13[[#This Row],[PM Hi]]-Table13[[#This Row],[Prior day close]]),(Table13[[#This Row],[PM Hi]]-Table13[[#This Row],[MKT Open Price]])/(Table13[[#This Row],[PM Hi]]-Table13[[#This Row],[PM LO]]))</f>
        <v>0.14746543778801857</v>
      </c>
      <c r="AK30" s="16">
        <f>IF(Table13[[#This Row],[Prior day close]]&lt;Table13[[#This Row],[PM LO]],(I30-K30)/(I30-Table13[[#This Row],[Prior day close]]),(I30-K30)/(I30-Table13[[#This Row],[PM LO]]))</f>
        <v>0.19999999999999984</v>
      </c>
      <c r="AL30" s="16">
        <f>Table13[[#This Row],[Spike % on open before drop]]+AM30</f>
        <v>0.12200956937799048</v>
      </c>
      <c r="AM30" s="16">
        <f t="shared" si="3"/>
        <v>8.8516746411483174E-2</v>
      </c>
      <c r="AN30" s="18">
        <f>IF($J30&gt;=$F30,($J30-$K30)/($J30-$D30),(IF($H30&lt;=$K30,($F30-$H30)/($F30-$D30),(Table13[[#This Row],[PM Hi]]-Table13[[#This Row],[Lowest lo from open to squeeze]])/(Table13[[#This Row],[PM Hi]]-Table13[[#This Row],[Prior day close]]))))</f>
        <v>0.53456221198156695</v>
      </c>
      <c r="AO30" s="18">
        <f>IF(Table13[[#This Row],[Prior day close]]&lt;=Table13[[#This Row],[PM LO]],IF($J30&gt;=$F30,($J30-$K30)/($J30-Table13[[#This Row],[Prior day close]]),(IF($H30&lt;=$K30,($F30-$H30)/($F30-Table13[[#This Row],[Prior day close]]),(Table13[[#This Row],[PM Hi]]-Table13[[#This Row],[Lowest lo from open to squeeze]])/(Table13[[#This Row],[PM Hi]]-Table13[[#This Row],[Prior day close]])))),IF($J30&gt;=$F30,($J30-$K30)/($J30-Table13[[#This Row],[PM LO]]),(IF($H30&lt;=$K30,($F30-$H30)/($F30-Table13[[#This Row],[PM LO]]),(Table13[[#This Row],[PM Hi]]-Table13[[#This Row],[Lowest lo from open to squeeze]])/(Table13[[#This Row],[PM Hi]]-Table13[[#This Row],[PM LO]])))))</f>
        <v>0.53456221198156695</v>
      </c>
      <c r="AP30" s="18">
        <f>0.87/2.17</f>
        <v>0.4009216589861751</v>
      </c>
      <c r="AQ30" s="17">
        <f>390+Table13[[#This Row],[Time until ideal entry point (mins) from open]]</f>
        <v>393</v>
      </c>
      <c r="AR30" s="51">
        <f>(Table13[[#This Row],[Time until ideal entry + 390 (6:30)]]+Table13[[#This Row],[Duration of frontside (mins)]])/1440</f>
        <v>0.29375000000000001</v>
      </c>
    </row>
    <row r="31" spans="1:44" x14ac:dyDescent="0.25">
      <c r="A31" s="43" t="s">
        <v>69</v>
      </c>
      <c r="B31" s="11">
        <v>43966</v>
      </c>
      <c r="C31" s="47" t="s">
        <v>71</v>
      </c>
      <c r="D31" s="12">
        <v>2.68</v>
      </c>
      <c r="E31" s="13">
        <v>2.73</v>
      </c>
      <c r="F31" s="12">
        <v>4.7300000000000004</v>
      </c>
      <c r="G31" s="12">
        <v>2.66</v>
      </c>
      <c r="H31" s="12">
        <v>3.86</v>
      </c>
      <c r="I31" s="12">
        <v>4.41</v>
      </c>
      <c r="J31" s="12">
        <v>4.67</v>
      </c>
      <c r="K31" s="12">
        <v>3.83</v>
      </c>
      <c r="L31" s="12">
        <v>9</v>
      </c>
      <c r="M31" s="12">
        <v>9</v>
      </c>
      <c r="N31" s="13">
        <v>500925310</v>
      </c>
      <c r="O31" s="12">
        <v>3333657938</v>
      </c>
      <c r="P31" s="13">
        <v>549</v>
      </c>
      <c r="Q31" s="13">
        <v>119.3</v>
      </c>
      <c r="R31" s="13"/>
      <c r="S31" s="13">
        <v>9200427</v>
      </c>
      <c r="T31" s="13" t="s">
        <v>43</v>
      </c>
      <c r="U31" t="s">
        <v>43</v>
      </c>
      <c r="V31" s="17">
        <v>19</v>
      </c>
      <c r="W31">
        <v>20</v>
      </c>
      <c r="X31">
        <v>3.89</v>
      </c>
      <c r="Y31">
        <v>27</v>
      </c>
      <c r="Z31" s="15">
        <f>Table13[[#This Row],[Time until ideal entry + 390 (6:30)]]/(1440)</f>
        <v>0.28472222222222221</v>
      </c>
      <c r="AA31" s="18">
        <f t="shared" si="4"/>
        <v>0.7649253731343284</v>
      </c>
      <c r="AB31" s="18">
        <f>IF(Table13[[#This Row],[HOD AFTER PM HI]]&gt;=Table13[[#This Row],[PM Hi]],((Table13[[#This Row],[HOD AFTER PM HI]]-Table13[[#This Row],[Prior day close]])/Table13[[#This Row],[Prior day close]]),Table13[[#This Row],[Prior Close to PM Hi %]])</f>
        <v>2.3582089552238807</v>
      </c>
      <c r="AC31" s="18">
        <f>(Table13[[#This Row],[Price at hi of squeeze]]-Table13[[#This Row],[MKT Open Price]])/Table13[[#This Row],[MKT Open Price]]</f>
        <v>1.0408163265306121</v>
      </c>
      <c r="AD31" s="18">
        <f>(Table13[[#This Row],[Price at hi of squeeze]]-Table13[[#This Row],[PM Hi]])/Table13[[#This Row],[PM Hi]]</f>
        <v>0.90274841437632114</v>
      </c>
      <c r="AE31" s="18">
        <f t="shared" si="2"/>
        <v>1.3498694516971279</v>
      </c>
      <c r="AF31" s="20">
        <f>Table13[[#This Row],[PM VOL]]/1000000/Table13[[#This Row],[FLOAT(M)]]</f>
        <v>7.7120092204526397E-2</v>
      </c>
      <c r="AG31" s="23">
        <f>(Table13[[#This Row],[Volume]]/1000000)/Table13[[#This Row],[FLOAT(M)]]</f>
        <v>4.1988709974853311</v>
      </c>
      <c r="AH31" s="18">
        <f>(Table13[[#This Row],[Hi of Spike after open before drop]]-Table13[[#This Row],[MKT Open Price]])/Table13[[#This Row],[MKT Open Price]]</f>
        <v>5.8956916099773195E-2</v>
      </c>
      <c r="AI31" s="18">
        <f>(Table13[[#This Row],[PM Hi]]-Table13[[#This Row],[MKT Open Price]])/(Table13[[#This Row],[PM Hi]])</f>
        <v>6.7653276955602595E-2</v>
      </c>
      <c r="AJ31" s="16">
        <f>IF(Table13[[#This Row],[PM LO]]&gt;Table13[[#This Row],[Prior day close]],(Table13[[#This Row],[PM Hi]]-Table13[[#This Row],[MKT Open Price]])/(Table13[[#This Row],[PM Hi]]-Table13[[#This Row],[Prior day close]]),(Table13[[#This Row],[PM Hi]]-Table13[[#This Row],[MKT Open Price]])/(Table13[[#This Row],[PM Hi]]-Table13[[#This Row],[PM LO]]))</f>
        <v>0.15458937198067643</v>
      </c>
      <c r="AK31" s="16">
        <f>IF(Table13[[#This Row],[Prior day close]]&lt;Table13[[#This Row],[PM LO]],(I31-K31)/(I31-Table13[[#This Row],[Prior day close]]),(I31-K31)/(I31-Table13[[#This Row],[PM LO]]))</f>
        <v>0.33142857142857146</v>
      </c>
      <c r="AL31" s="16">
        <f>Table13[[#This Row],[Spike % on open before drop]]+AM31</f>
        <v>0.19047619047619044</v>
      </c>
      <c r="AM31" s="16">
        <f t="shared" si="3"/>
        <v>0.13151927437641725</v>
      </c>
      <c r="AN31" s="18">
        <f>IF($J31&gt;=$F31,($J31-$K31)/($J31),(IF($H31&lt;=$K31,($F31-$H31)/($F31),(Table13[[#This Row],[PM Hi]]-Table13[[#This Row],[Lowest lo from open to squeeze]])/(Table13[[#This Row],[PM Hi]]))))</f>
        <v>0.19027484143763218</v>
      </c>
      <c r="AO31" s="18">
        <f>IF(Table13[[#This Row],[Prior day close]]&lt;=Table13[[#This Row],[PM LO]],IF($J31&gt;=$F31,($J31-$K31)/($J31-Table13[[#This Row],[Prior day close]]),(IF($H31&lt;=$K31,($F31-$H31)/($F31-Table13[[#This Row],[Prior day close]]),(Table13[[#This Row],[PM Hi]]-Table13[[#This Row],[Lowest lo from open to squeeze]])/(Table13[[#This Row],[PM Hi]]-Table13[[#This Row],[Prior day close]])))),IF($J31&gt;=$F31,($J31-$K31)/($J31-Table13[[#This Row],[PM LO]]),(IF($H31&lt;=$K31,($F31-$H31)/($F31-Table13[[#This Row],[PM LO]]),(Table13[[#This Row],[PM Hi]]-Table13[[#This Row],[Lowest lo from open to squeeze]])/(Table13[[#This Row],[PM Hi]]-Table13[[#This Row],[PM LO]])))))</f>
        <v>0.43478260869565227</v>
      </c>
      <c r="AP31" s="18">
        <f>IF(J31&gt;=F31,(J31-K31)/(J31-D31),(IF(H31&lt;=K31,(F31-H31)/(F31-D31),(Table13[[#This Row],[PM Hi]]-Table13[[#This Row],[Lowest lo from open to squeeze]])/(Table13[[#This Row],[PM Hi]]-Table13[[#This Row],[Prior day close]]))))</f>
        <v>0.43902439024390255</v>
      </c>
      <c r="AQ31" s="17">
        <f>390+Table13[[#This Row],[Time until ideal entry point (mins) from open]]</f>
        <v>410</v>
      </c>
      <c r="AR31" s="51">
        <f>(Table13[[#This Row],[Time until ideal entry + 390 (6:30)]]+Table13[[#This Row],[Duration of frontside (mins)]])/1440</f>
        <v>0.3034722222222222</v>
      </c>
    </row>
    <row r="32" spans="1:44" x14ac:dyDescent="0.25">
      <c r="A32" s="10" t="s">
        <v>70</v>
      </c>
      <c r="B32" s="11">
        <v>43970</v>
      </c>
      <c r="C32" s="47" t="s">
        <v>71</v>
      </c>
      <c r="D32" s="12">
        <v>0.75</v>
      </c>
      <c r="E32" s="13">
        <v>0.8</v>
      </c>
      <c r="F32" s="12">
        <v>1.5</v>
      </c>
      <c r="G32" s="12">
        <v>0.8</v>
      </c>
      <c r="H32" s="12">
        <v>1.17</v>
      </c>
      <c r="I32" s="12">
        <v>1.24</v>
      </c>
      <c r="J32" s="12">
        <v>1.29</v>
      </c>
      <c r="K32" s="12">
        <v>1.1399999999999999</v>
      </c>
      <c r="L32" s="12">
        <v>3.97</v>
      </c>
      <c r="M32" s="12">
        <v>3.97</v>
      </c>
      <c r="N32" s="13">
        <v>299097818</v>
      </c>
      <c r="O32" s="12">
        <v>1039156204</v>
      </c>
      <c r="P32" s="13">
        <v>6.28</v>
      </c>
      <c r="Q32">
        <v>7.73</v>
      </c>
      <c r="R32" s="14"/>
      <c r="S32" s="13">
        <v>5868098</v>
      </c>
      <c r="T32" s="13" t="s">
        <v>43</v>
      </c>
      <c r="U32" t="s">
        <v>43</v>
      </c>
      <c r="V32">
        <v>3</v>
      </c>
      <c r="W32">
        <v>4</v>
      </c>
      <c r="X32">
        <v>1.17</v>
      </c>
      <c r="Y32">
        <v>214</v>
      </c>
      <c r="Z32" s="15">
        <f>Table13[[#This Row],[Time until ideal entry + 390 (6:30)]]/(1440)</f>
        <v>0.27361111111111114</v>
      </c>
      <c r="AA32" s="18">
        <f t="shared" si="4"/>
        <v>1</v>
      </c>
      <c r="AB32" s="18">
        <f>IF(Table13[[#This Row],[HOD AFTER PM HI]]&gt;=Table13[[#This Row],[PM Hi]],((Table13[[#This Row],[HOD AFTER PM HI]]-Table13[[#This Row],[Prior day close]])/Table13[[#This Row],[Prior day close]]),Table13[[#This Row],[Prior Close to PM Hi %]])</f>
        <v>4.2933333333333339</v>
      </c>
      <c r="AC32" s="18">
        <f>(Table13[[#This Row],[Price at hi of squeeze]]-Table13[[#This Row],[MKT Open Price]])/Table13[[#This Row],[MKT Open Price]]</f>
        <v>2.2016129032258069</v>
      </c>
      <c r="AD32" s="18">
        <f>(Table13[[#This Row],[Price at hi of squeeze]]-Table13[[#This Row],[PM Hi]])/Table13[[#This Row],[PM Hi]]</f>
        <v>1.6466666666666667</v>
      </c>
      <c r="AE32" s="18">
        <f t="shared" si="2"/>
        <v>2.4824561403508776</v>
      </c>
      <c r="AF32" s="20">
        <f>Table13[[#This Row],[PM VOL]]/1000000/Table13[[#This Row],[FLOAT(M)]]</f>
        <v>0.75913298835705034</v>
      </c>
      <c r="AG32" s="21">
        <f>(Table13[[#This Row],[Volume]]/1000000)/Table13[[#This Row],[FLOAT(M)]]</f>
        <v>38.69312005174644</v>
      </c>
      <c r="AH32" s="18">
        <f>(Table13[[#This Row],[Hi of Spike after open before drop]]-Table13[[#This Row],[MKT Open Price]])/Table13[[#This Row],[MKT Open Price]]</f>
        <v>4.0322580645161324E-2</v>
      </c>
      <c r="AI32" s="18">
        <f>(Table13[[#This Row],[PM Hi]]-Table13[[#This Row],[MKT Open Price]])/(Table13[[#This Row],[PM Hi]])</f>
        <v>0.17333333333333334</v>
      </c>
      <c r="AJ32" s="16">
        <f>IF(Table13[[#This Row],[PM LO]]&gt;Table13[[#This Row],[Prior day close]],(Table13[[#This Row],[PM Hi]]-Table13[[#This Row],[MKT Open Price]])/(Table13[[#This Row],[PM Hi]]-Table13[[#This Row],[Prior day close]]),(Table13[[#This Row],[PM Hi]]-Table13[[#This Row],[MKT Open Price]])/(Table13[[#This Row],[PM Hi]]-Table13[[#This Row],[PM LO]]))</f>
        <v>0.34666666666666668</v>
      </c>
      <c r="AK32" s="16">
        <f>IF(Table13[[#This Row],[Prior day close]]&lt;Table13[[#This Row],[PM LO]],(I32-K32)/(I32-Table13[[#This Row],[Prior day close]]),(I32-K32)/(I32-Table13[[#This Row],[PM LO]]))</f>
        <v>0.20408163265306142</v>
      </c>
      <c r="AL32" s="16">
        <f>Table13[[#This Row],[Spike % on open before drop]]+AM32</f>
        <v>0.12096774193548397</v>
      </c>
      <c r="AM32" s="16">
        <f t="shared" si="3"/>
        <v>8.0645161290322648E-2</v>
      </c>
      <c r="AN32" s="18">
        <f>IF($J32&gt;=$F32,($J32-$K32)/($J32),(IF($H32&lt;=$K32,($F32-$H32)/($F32),(Table13[[#This Row],[PM Hi]]-Table13[[#This Row],[Lowest lo from open to squeeze]])/(Table13[[#This Row],[PM Hi]]))))</f>
        <v>0.24000000000000007</v>
      </c>
      <c r="AO32" s="18">
        <f>IF(Table13[[#This Row],[Prior day close]]&lt;=Table13[[#This Row],[PM LO]],IF($J32&gt;=$F32,($J32-$K32)/($J32-Table13[[#This Row],[Prior day close]]),(IF($H32&lt;=$K32,($F32-$H32)/($F32-Table13[[#This Row],[Prior day close]]),(Table13[[#This Row],[PM Hi]]-Table13[[#This Row],[Lowest lo from open to squeeze]])/(Table13[[#This Row],[PM Hi]]-Table13[[#This Row],[Prior day close]])))),IF($J32&gt;=$F32,($J32-$K32)/($J32-Table13[[#This Row],[PM LO]]),(IF($H32&lt;=$K32,($F32-$H32)/($F32-Table13[[#This Row],[PM LO]]),(Table13[[#This Row],[PM Hi]]-Table13[[#This Row],[Lowest lo from open to squeeze]])/(Table13[[#This Row],[PM Hi]]-Table13[[#This Row],[PM LO]])))))</f>
        <v>0.48000000000000015</v>
      </c>
      <c r="AP32" s="18">
        <f>IF(J32&gt;=F32,(J32-K32)/(J32-D32),(IF(H32&lt;=K32,(F32-H32)/(F32-D32),(Table13[[#This Row],[PM Hi]]-Table13[[#This Row],[Lowest lo from open to squeeze]])/(Table13[[#This Row],[PM Hi]]-Table13[[#This Row],[Prior day close]]))))</f>
        <v>0.48000000000000015</v>
      </c>
      <c r="AQ32" s="17">
        <f>390+Table13[[#This Row],[Time until ideal entry point (mins) from open]]</f>
        <v>394</v>
      </c>
      <c r="AR32" s="51">
        <f>(Table13[[#This Row],[Time until ideal entry + 390 (6:30)]]+Table13[[#This Row],[Duration of frontside (mins)]])/1440</f>
        <v>0.42222222222222222</v>
      </c>
    </row>
    <row r="33" spans="1:44" x14ac:dyDescent="0.25">
      <c r="A33" s="10" t="s">
        <v>73</v>
      </c>
      <c r="B33" s="11">
        <v>43979</v>
      </c>
      <c r="C33" s="47" t="s">
        <v>71</v>
      </c>
      <c r="D33" s="12">
        <v>3.95</v>
      </c>
      <c r="E33" s="13">
        <v>4.32</v>
      </c>
      <c r="F33" s="12">
        <v>8.8800000000000008</v>
      </c>
      <c r="G33" s="12">
        <v>4.32</v>
      </c>
      <c r="H33" s="12">
        <v>8.25</v>
      </c>
      <c r="I33" s="12">
        <v>8.82</v>
      </c>
      <c r="J33" s="12">
        <v>9</v>
      </c>
      <c r="K33" s="12">
        <v>7.48</v>
      </c>
      <c r="L33" s="12">
        <v>22</v>
      </c>
      <c r="M33" s="12">
        <v>22</v>
      </c>
      <c r="N33" s="13">
        <v>83294905</v>
      </c>
      <c r="O33" s="12">
        <v>1579773917</v>
      </c>
      <c r="P33" s="13">
        <f>1.6*8</f>
        <v>12.8</v>
      </c>
      <c r="Q33">
        <v>1.59</v>
      </c>
      <c r="R33" s="14"/>
      <c r="S33" s="13">
        <v>1535631</v>
      </c>
      <c r="T33" s="13" t="s">
        <v>43</v>
      </c>
      <c r="U33" t="s">
        <v>43</v>
      </c>
      <c r="V33">
        <v>31</v>
      </c>
      <c r="W33">
        <v>32</v>
      </c>
      <c r="X33">
        <v>7.63</v>
      </c>
      <c r="Y33">
        <v>55</v>
      </c>
      <c r="Z33" s="15">
        <f>Table13[[#This Row],[Time until ideal entry + 390 (6:30)]]/(1440)</f>
        <v>0.29305555555555557</v>
      </c>
      <c r="AA33" s="18">
        <f t="shared" si="4"/>
        <v>1.2481012658227848</v>
      </c>
      <c r="AB33" s="18">
        <f>IF(Table13[[#This Row],[HOD AFTER PM HI]]&gt;=Table13[[#This Row],[PM Hi]],((Table13[[#This Row],[HOD AFTER PM HI]]-Table13[[#This Row],[Prior day close]])/Table13[[#This Row],[Prior day close]]),Table13[[#This Row],[Prior Close to PM Hi %]])</f>
        <v>4.5696202531645573</v>
      </c>
      <c r="AC33" s="18">
        <f>(Table13[[#This Row],[Price at hi of squeeze]]-Table13[[#This Row],[MKT Open Price]])/Table13[[#This Row],[MKT Open Price]]</f>
        <v>1.4943310657596371</v>
      </c>
      <c r="AD33" s="18">
        <f>(Table13[[#This Row],[Price at hi of squeeze]]-Table13[[#This Row],[PM Hi]])/Table13[[#This Row],[PM Hi]]</f>
        <v>1.4774774774774773</v>
      </c>
      <c r="AE33" s="18">
        <f t="shared" si="2"/>
        <v>1.9411764705882351</v>
      </c>
      <c r="AF33" s="20">
        <f>Table13[[#This Row],[PM VOL]]/1000000/Table13[[#This Row],[FLOAT(M)]]</f>
        <v>0.96580566037735838</v>
      </c>
      <c r="AG33" s="21">
        <f>(Table13[[#This Row],[Volume]]/1000000)/Table13[[#This Row],[FLOAT(M)]]</f>
        <v>52.386732704402512</v>
      </c>
      <c r="AH33" s="18">
        <f>(Table13[[#This Row],[Hi of Spike after open before drop]]-Table13[[#This Row],[MKT Open Price]])/Table13[[#This Row],[MKT Open Price]]</f>
        <v>2.040816326530609E-2</v>
      </c>
      <c r="AI33" s="18">
        <f>(Table13[[#This Row],[PM Hi]]-Table13[[#This Row],[MKT Open Price]])/(Table13[[#This Row],[PM Hi]])</f>
        <v>6.7567567567568118E-3</v>
      </c>
      <c r="AJ33" s="16">
        <f>IF(Table13[[#This Row],[PM LO]]&gt;Table13[[#This Row],[Prior day close]],(Table13[[#This Row],[PM Hi]]-Table13[[#This Row],[MKT Open Price]])/(Table13[[#This Row],[PM Hi]]-Table13[[#This Row],[Prior day close]]),(Table13[[#This Row],[PM Hi]]-Table13[[#This Row],[MKT Open Price]])/(Table13[[#This Row],[PM Hi]]-Table13[[#This Row],[PM LO]]))</f>
        <v>1.2170385395537624E-2</v>
      </c>
      <c r="AK33" s="16">
        <f>IF(Table13[[#This Row],[Prior day close]]&lt;Table13[[#This Row],[PM LO]],(I33-K33)/(I33-Table13[[#This Row],[Prior day close]]),(I33-K33)/(I33-Table13[[#This Row],[PM LO]]))</f>
        <v>0.27515400410677615</v>
      </c>
      <c r="AL33" s="16">
        <f>Table13[[#This Row],[Spike % on open before drop]]+AM33</f>
        <v>0.17233560090702943</v>
      </c>
      <c r="AM33" s="16">
        <f t="shared" si="3"/>
        <v>0.15192743764172334</v>
      </c>
      <c r="AN33" s="18">
        <f>IF($J33&gt;=$F33,($J33-$K33)/($J33),(IF($H33&lt;=$K33,($F33-$H33)/($F33),(Table13[[#This Row],[PM Hi]]-Table13[[#This Row],[Lowest lo from open to squeeze]])/(Table13[[#This Row],[PM Hi]]))))</f>
        <v>0.16888888888888884</v>
      </c>
      <c r="AO33" s="18">
        <f>IF(Table13[[#This Row],[Prior day close]]&lt;=Table13[[#This Row],[PM LO]],IF($J33&gt;=$F33,($J33-$K33)/($J33-Table13[[#This Row],[Prior day close]]),(IF($H33&lt;=$K33,($F33-$H33)/($F33-Table13[[#This Row],[Prior day close]]),(Table13[[#This Row],[PM Hi]]-Table13[[#This Row],[Lowest lo from open to squeeze]])/(Table13[[#This Row],[PM Hi]]-Table13[[#This Row],[Prior day close]])))),IF($J33&gt;=$F33,($J33-$K33)/($J33-Table13[[#This Row],[PM LO]]),(IF($H33&lt;=$K33,($F33-$H33)/($F33-Table13[[#This Row],[PM LO]]),(Table13[[#This Row],[PM Hi]]-Table13[[#This Row],[Lowest lo from open to squeeze]])/(Table13[[#This Row],[PM Hi]]-Table13[[#This Row],[PM LO]])))))</f>
        <v>0.30099009900990092</v>
      </c>
      <c r="AP33" s="18">
        <f>IF(J33&gt;=F33,(J33-K33)/(J33-D33),(IF(H33&lt;=K33,(F33-H33)/(F33-D33),(Table13[[#This Row],[PM Hi]]-Table13[[#This Row],[Lowest lo from open to squeeze]])/(Table13[[#This Row],[PM Hi]]-Table13[[#This Row],[Prior day close]]))))</f>
        <v>0.30099009900990092</v>
      </c>
      <c r="AQ33" s="17">
        <f>390+Table13[[#This Row],[Time until ideal entry point (mins) from open]]</f>
        <v>422</v>
      </c>
      <c r="AR33" s="51">
        <f>(Table13[[#This Row],[Time until ideal entry + 390 (6:30)]]+Table13[[#This Row],[Duration of frontside (mins)]])/1440</f>
        <v>0.33124999999999999</v>
      </c>
    </row>
    <row r="34" spans="1:44" x14ac:dyDescent="0.25">
      <c r="A34" s="10" t="s">
        <v>72</v>
      </c>
      <c r="B34" s="44">
        <v>43979</v>
      </c>
      <c r="C34" s="47" t="s">
        <v>71</v>
      </c>
      <c r="D34" s="12">
        <v>1.29</v>
      </c>
      <c r="E34" s="13">
        <v>1.47</v>
      </c>
      <c r="F34" s="12">
        <v>4.38</v>
      </c>
      <c r="G34" s="12">
        <v>1.47</v>
      </c>
      <c r="H34" s="12">
        <v>3.36</v>
      </c>
      <c r="I34" s="12">
        <v>3.9</v>
      </c>
      <c r="J34" s="12">
        <v>4.32</v>
      </c>
      <c r="K34" s="12">
        <v>3.48</v>
      </c>
      <c r="L34" s="12">
        <v>5.07</v>
      </c>
      <c r="M34" s="12">
        <v>4.4400000000000004</v>
      </c>
      <c r="N34" s="13">
        <v>122754829</v>
      </c>
      <c r="O34" s="12">
        <v>484922432</v>
      </c>
      <c r="P34" s="13">
        <v>21.94</v>
      </c>
      <c r="Q34">
        <v>45.71</v>
      </c>
      <c r="R34" s="14"/>
      <c r="S34" s="13">
        <v>3010889</v>
      </c>
      <c r="T34" s="13" t="s">
        <v>43</v>
      </c>
      <c r="U34" t="s">
        <v>43</v>
      </c>
      <c r="V34">
        <v>6</v>
      </c>
      <c r="W34">
        <v>36</v>
      </c>
      <c r="X34">
        <v>3.63</v>
      </c>
      <c r="Y34">
        <v>24</v>
      </c>
      <c r="Z34" s="15">
        <f>Table13[[#This Row],[Time until ideal entry + 390 (6:30)]]/(1440)</f>
        <v>0.29583333333333334</v>
      </c>
      <c r="AA34" s="18">
        <f t="shared" si="4"/>
        <v>2.3953488372093021</v>
      </c>
      <c r="AB34" s="18">
        <f>IF(Table13[[#This Row],[HOD AFTER PM HI]]&gt;=Table13[[#This Row],[PM Hi]],((Table13[[#This Row],[HOD AFTER PM HI]]-Table13[[#This Row],[Prior day close]])/Table13[[#This Row],[Prior day close]]),Table13[[#This Row],[Prior Close to PM Hi %]])</f>
        <v>2.9302325581395352</v>
      </c>
      <c r="AC34" s="18">
        <f>(Table13[[#This Row],[Price at hi of squeeze]]-Table13[[#This Row],[MKT Open Price]])/Table13[[#This Row],[MKT Open Price]]</f>
        <v>0.13846153846153858</v>
      </c>
      <c r="AD34" s="18">
        <f>(Table13[[#This Row],[Price at hi of squeeze]]-Table13[[#This Row],[PM Hi]])/Table13[[#This Row],[PM Hi]]</f>
        <v>1.3698630136986415E-2</v>
      </c>
      <c r="AE34" s="18">
        <f t="shared" si="2"/>
        <v>0.27586206896551735</v>
      </c>
      <c r="AF34" s="20">
        <f>Table13[[#This Row],[PM VOL]]/1000000/Table13[[#This Row],[FLOAT(M)]]</f>
        <v>6.5869372128637055E-2</v>
      </c>
      <c r="AG34" s="21">
        <f>(Table13[[#This Row],[Volume]]/1000000)/Table13[[#This Row],[FLOAT(M)]]</f>
        <v>2.6855136512798072</v>
      </c>
      <c r="AH34" s="18">
        <f>(Table13[[#This Row],[Hi of Spike after open before drop]]-Table13[[#This Row],[MKT Open Price]])/Table13[[#This Row],[MKT Open Price]]</f>
        <v>0.1076923076923078</v>
      </c>
      <c r="AI34" s="18">
        <f>(Table13[[#This Row],[PM Hi]]-Table13[[#This Row],[MKT Open Price]])/(Table13[[#This Row],[PM Hi]])</f>
        <v>0.1095890410958904</v>
      </c>
      <c r="AJ34" s="16">
        <f>IF(Table13[[#This Row],[PM LO]]&gt;Table13[[#This Row],[Prior day close]],(Table13[[#This Row],[PM Hi]]-Table13[[#This Row],[MKT Open Price]])/(Table13[[#This Row],[PM Hi]]-Table13[[#This Row],[Prior day close]]),(Table13[[#This Row],[PM Hi]]-Table13[[#This Row],[MKT Open Price]])/(Table13[[#This Row],[PM Hi]]-Table13[[#This Row],[PM LO]]))</f>
        <v>0.15533980582524273</v>
      </c>
      <c r="AK34" s="16">
        <f>IF(Table13[[#This Row],[Prior day close]]&lt;Table13[[#This Row],[PM LO]],(I34-K34)/(I34-Table13[[#This Row],[Prior day close]]),(I34-K34)/(I34-Table13[[#This Row],[PM LO]]))</f>
        <v>0.16091954022988503</v>
      </c>
      <c r="AL34" s="16">
        <f>Table13[[#This Row],[Spike % on open before drop]]+AM34</f>
        <v>0.21538461538461545</v>
      </c>
      <c r="AM34" s="16">
        <f t="shared" si="3"/>
        <v>0.10769230769230767</v>
      </c>
      <c r="AN34" s="18">
        <f>IF($J34&gt;=$F34,($J34-$K34)/($J34),(IF($H34&lt;=$K34,($F34-$H34)/($F34),(Table13[[#This Row],[PM Hi]]-Table13[[#This Row],[Lowest lo from open to squeeze]])/(Table13[[#This Row],[PM Hi]]))))</f>
        <v>0.23287671232876714</v>
      </c>
      <c r="AO34" s="18">
        <f>IF(Table13[[#This Row],[Prior day close]]&lt;=Table13[[#This Row],[PM LO]],IF($J34&gt;=$F34,($J34-$K34)/($J34-Table13[[#This Row],[Prior day close]]),(IF($H34&lt;=$K34,($F34-$H34)/($F34-Table13[[#This Row],[Prior day close]]),(Table13[[#This Row],[PM Hi]]-Table13[[#This Row],[Lowest lo from open to squeeze]])/(Table13[[#This Row],[PM Hi]]-Table13[[#This Row],[Prior day close]])))),IF($J34&gt;=$F34,($J34-$K34)/($J34-Table13[[#This Row],[PM LO]]),(IF($H34&lt;=$K34,($F34-$H34)/($F34-Table13[[#This Row],[PM LO]]),(Table13[[#This Row],[PM Hi]]-Table13[[#This Row],[Lowest lo from open to squeeze]])/(Table13[[#This Row],[PM Hi]]-Table13[[#This Row],[PM LO]])))))</f>
        <v>0.3300970873786408</v>
      </c>
      <c r="AP34" s="18">
        <f>IF(J34&gt;=F34,(J34-K34)/(J34-D34),(IF(H34&lt;=K34,(F34-H34)/(F34-D34),(Table13[[#This Row],[PM Hi]]-Table13[[#This Row],[Lowest lo from open to squeeze]])/(Table13[[#This Row],[PM Hi]]-Table13[[#This Row],[Prior day close]]))))</f>
        <v>0.3300970873786408</v>
      </c>
      <c r="AQ34" s="17">
        <f>390+Table13[[#This Row],[Time until ideal entry point (mins) from open]]</f>
        <v>426</v>
      </c>
      <c r="AR34" s="51">
        <f>(Table13[[#This Row],[Time until ideal entry + 390 (6:30)]]+Table13[[#This Row],[Duration of frontside (mins)]])/1440</f>
        <v>0.3125</v>
      </c>
    </row>
    <row r="35" spans="1:44" x14ac:dyDescent="0.25">
      <c r="A35" s="10" t="s">
        <v>76</v>
      </c>
      <c r="B35" s="11">
        <v>43984</v>
      </c>
      <c r="C35" s="47" t="s">
        <v>71</v>
      </c>
      <c r="D35" s="12">
        <v>2.74</v>
      </c>
      <c r="E35" s="13">
        <v>2.67</v>
      </c>
      <c r="F35" s="12">
        <v>3.13</v>
      </c>
      <c r="G35" s="12">
        <v>2.66</v>
      </c>
      <c r="H35" s="12">
        <v>3.04</v>
      </c>
      <c r="I35" s="12">
        <v>3.08</v>
      </c>
      <c r="J35" s="12">
        <v>3.09</v>
      </c>
      <c r="K35" s="12">
        <v>2.91</v>
      </c>
      <c r="L35" s="12">
        <v>4.05</v>
      </c>
      <c r="M35" s="12">
        <v>3.68</v>
      </c>
      <c r="N35" s="13">
        <v>158461167</v>
      </c>
      <c r="O35" s="12">
        <v>634636973</v>
      </c>
      <c r="P35" s="13">
        <v>132.02000000000001</v>
      </c>
      <c r="Q35">
        <v>48.47</v>
      </c>
      <c r="R35" s="14"/>
      <c r="S35" s="13">
        <v>4085615</v>
      </c>
      <c r="T35" s="13" t="s">
        <v>43</v>
      </c>
      <c r="U35" t="s">
        <v>43</v>
      </c>
      <c r="V35">
        <v>1</v>
      </c>
      <c r="W35">
        <v>2</v>
      </c>
      <c r="X35">
        <v>3.01</v>
      </c>
      <c r="Y35">
        <v>38</v>
      </c>
      <c r="Z35" s="15">
        <f>Table13[[#This Row],[Time until ideal entry + 390 (6:30)]]/(1440)</f>
        <v>0.2722222222222222</v>
      </c>
      <c r="AA35" s="18">
        <f t="shared" si="4"/>
        <v>0.14233576642335755</v>
      </c>
      <c r="AB35" s="18">
        <f>IF(Table13[[#This Row],[HOD AFTER PM HI]]&gt;=Table13[[#This Row],[PM Hi]],((Table13[[#This Row],[HOD AFTER PM HI]]-Table13[[#This Row],[Prior day close]])/Table13[[#This Row],[Prior day close]]),Table13[[#This Row],[Prior Close to PM Hi %]])</f>
        <v>0.4781021897810217</v>
      </c>
      <c r="AC35" s="18">
        <f>(Table13[[#This Row],[Price at hi of squeeze]]-Table13[[#This Row],[MKT Open Price]])/Table13[[#This Row],[MKT Open Price]]</f>
        <v>0.19480519480519484</v>
      </c>
      <c r="AD35" s="18">
        <f>(Table13[[#This Row],[Price at hi of squeeze]]-Table13[[#This Row],[PM Hi]])/Table13[[#This Row],[PM Hi]]</f>
        <v>0.17571884984025568</v>
      </c>
      <c r="AE35" s="18">
        <f t="shared" si="2"/>
        <v>0.26460481099656358</v>
      </c>
      <c r="AF35" s="20">
        <f>Table13[[#This Row],[PM VOL]]/1000000/Table13[[#This Row],[FLOAT(M)]]</f>
        <v>8.4291623684753458E-2</v>
      </c>
      <c r="AG35" s="21">
        <f>(Table13[[#This Row],[Volume]]/1000000)/Table13[[#This Row],[FLOAT(M)]]</f>
        <v>3.2692627811017121</v>
      </c>
      <c r="AH35" s="18">
        <f>(Table13[[#This Row],[Hi of Spike after open before drop]]-Table13[[#This Row],[MKT Open Price]])/Table13[[#This Row],[MKT Open Price]]</f>
        <v>3.2467532467531776E-3</v>
      </c>
      <c r="AI35" s="18">
        <f>(Table13[[#This Row],[PM Hi]]-Table13[[#This Row],[MKT Open Price]])/(Table13[[#This Row],[PM Hi]])</f>
        <v>1.5974440894568634E-2</v>
      </c>
      <c r="AJ35" s="16">
        <f>IF(Table13[[#This Row],[PM LO]]&gt;Table13[[#This Row],[Prior day close]],(Table13[[#This Row],[PM Hi]]-Table13[[#This Row],[MKT Open Price]])/(Table13[[#This Row],[PM Hi]]-Table13[[#This Row],[Prior day close]]),(Table13[[#This Row],[PM Hi]]-Table13[[#This Row],[MKT Open Price]])/(Table13[[#This Row],[PM Hi]]-Table13[[#This Row],[PM LO]]))</f>
        <v>0.10638297872340394</v>
      </c>
      <c r="AK35" s="16">
        <f>IF(Table13[[#This Row],[Prior day close]]&lt;Table13[[#This Row],[PM LO]],(I35-K35)/(I35-Table13[[#This Row],[Prior day close]]),(I35-K35)/(I35-Table13[[#This Row],[PM LO]]))</f>
        <v>0.40476190476190466</v>
      </c>
      <c r="AL35" s="16">
        <f>Table13[[#This Row],[Spike % on open before drop]]+AM35</f>
        <v>5.844155844155835E-2</v>
      </c>
      <c r="AM35" s="16">
        <f t="shared" si="3"/>
        <v>5.5194805194805172E-2</v>
      </c>
      <c r="AN35" s="18">
        <f>IF($J35&gt;=$F35,($J35-$K35)/($J35),(IF($H35&lt;=$K35,($F35-$H35)/($F35),(Table13[[#This Row],[PM Hi]]-Table13[[#This Row],[Lowest lo from open to squeeze]])/(Table13[[#This Row],[PM Hi]]))))</f>
        <v>7.0287539936102164E-2</v>
      </c>
      <c r="AO35" s="18">
        <f>IF(Table13[[#This Row],[Prior day close]]&lt;=Table13[[#This Row],[PM LO]],IF($J35&gt;=$F35,($J35-$K35)/($J35-Table13[[#This Row],[Prior day close]]),(IF($H35&lt;=$K35,($F35-$H35)/($F35-Table13[[#This Row],[Prior day close]]),(Table13[[#This Row],[PM Hi]]-Table13[[#This Row],[Lowest lo from open to squeeze]])/(Table13[[#This Row],[PM Hi]]-Table13[[#This Row],[Prior day close]])))),IF($J35&gt;=$F35,($J35-$K35)/($J35-Table13[[#This Row],[PM LO]]),(IF($H35&lt;=$K35,($F35-$H35)/($F35-Table13[[#This Row],[PM LO]]),(Table13[[#This Row],[PM Hi]]-Table13[[#This Row],[Lowest lo from open to squeeze]])/(Table13[[#This Row],[PM Hi]]-Table13[[#This Row],[PM LO]])))))</f>
        <v>0.46808510638297846</v>
      </c>
      <c r="AP35" s="18">
        <f>IF(J35&gt;=F35,(J35-K35)/(J35-D35),(IF(H35&lt;=K35,(F35-H35)/(F35-D35),(Table13[[#This Row],[PM Hi]]-Table13[[#This Row],[Lowest lo from open to squeeze]])/(Table13[[#This Row],[PM Hi]]-Table13[[#This Row],[Prior day close]]))))</f>
        <v>0.56410256410256387</v>
      </c>
      <c r="AQ35" s="17">
        <f>390+Table13[[#This Row],[Time until ideal entry point (mins) from open]]</f>
        <v>392</v>
      </c>
      <c r="AR35" s="51">
        <f>(Table13[[#This Row],[Time until ideal entry + 390 (6:30)]]+Table13[[#This Row],[Duration of frontside (mins)]])/1440</f>
        <v>0.2986111111111111</v>
      </c>
    </row>
    <row r="36" spans="1:44" x14ac:dyDescent="0.25">
      <c r="A36" s="10" t="s">
        <v>75</v>
      </c>
      <c r="B36" s="11">
        <v>43984</v>
      </c>
      <c r="C36" s="47" t="s">
        <v>71</v>
      </c>
      <c r="D36" s="12">
        <v>1.41</v>
      </c>
      <c r="E36" s="13">
        <v>1.5</v>
      </c>
      <c r="F36" s="12">
        <v>2.9</v>
      </c>
      <c r="G36" s="12">
        <v>1.5</v>
      </c>
      <c r="H36" s="12">
        <v>2.2200000000000002</v>
      </c>
      <c r="I36" s="12">
        <v>2.34</v>
      </c>
      <c r="J36" s="12">
        <v>2.41</v>
      </c>
      <c r="K36" s="12">
        <v>2.17</v>
      </c>
      <c r="L36" s="12">
        <v>2.68</v>
      </c>
      <c r="M36" s="12">
        <v>2.68</v>
      </c>
      <c r="N36" s="13">
        <v>54115995</v>
      </c>
      <c r="O36" s="12">
        <v>66298878</v>
      </c>
      <c r="P36" s="13">
        <v>13.89</v>
      </c>
      <c r="Q36">
        <v>9.18</v>
      </c>
      <c r="R36" s="14"/>
      <c r="S36" s="13">
        <v>8025782</v>
      </c>
      <c r="T36" s="13" t="s">
        <v>43</v>
      </c>
      <c r="U36" t="s">
        <v>43</v>
      </c>
      <c r="V36">
        <v>9</v>
      </c>
      <c r="W36">
        <v>10</v>
      </c>
      <c r="X36">
        <v>2.2200000000000002</v>
      </c>
      <c r="Y36">
        <v>10</v>
      </c>
      <c r="Z36" s="15">
        <f>Table13[[#This Row],[Time until ideal entry + 390 (6:30)]]/(1440)</f>
        <v>0.27777777777777779</v>
      </c>
      <c r="AA36" s="18">
        <f t="shared" si="4"/>
        <v>1.0567375886524824</v>
      </c>
      <c r="AB36" s="18">
        <f>IF(Table13[[#This Row],[HOD AFTER PM HI]]&gt;=Table13[[#This Row],[PM Hi]],((Table13[[#This Row],[HOD AFTER PM HI]]-Table13[[#This Row],[Prior day close]])/Table13[[#This Row],[Prior day close]]),Table13[[#This Row],[Prior Close to PM Hi %]])</f>
        <v>1.0567375886524824</v>
      </c>
      <c r="AC36" s="18">
        <f>(Table13[[#This Row],[Price at hi of squeeze]]-Table13[[#This Row],[MKT Open Price]])/Table13[[#This Row],[MKT Open Price]]</f>
        <v>0.14529914529914545</v>
      </c>
      <c r="AD36" s="18">
        <f>(Table13[[#This Row],[Price at hi of squeeze]]-Table13[[#This Row],[PM Hi]])/Table13[[#This Row],[PM Hi]]</f>
        <v>-7.5862068965517157E-2</v>
      </c>
      <c r="AE36" s="18">
        <f t="shared" si="2"/>
        <v>0.2350230414746545</v>
      </c>
      <c r="AF36" s="20">
        <f>Table13[[#This Row],[PM VOL]]/1000000/Table13[[#This Row],[FLOAT(M)]]</f>
        <v>0.8742681917211329</v>
      </c>
      <c r="AG36" s="21">
        <f>(Table13[[#This Row],[Volume]]/1000000)/Table13[[#This Row],[FLOAT(M)]]</f>
        <v>5.8949885620915037</v>
      </c>
      <c r="AH36" s="18">
        <f>(Table13[[#This Row],[Hi of Spike after open before drop]]-Table13[[#This Row],[MKT Open Price]])/Table13[[#This Row],[MKT Open Price]]</f>
        <v>2.9914529914530037E-2</v>
      </c>
      <c r="AI36" s="18">
        <f>(Table13[[#This Row],[PM Hi]]-Table13[[#This Row],[MKT Open Price]])/(Table13[[#This Row],[PM Hi]])</f>
        <v>0.19310344827586209</v>
      </c>
      <c r="AJ36" s="16">
        <f>IF(Table13[[#This Row],[PM LO]]&gt;Table13[[#This Row],[Prior day close]],(Table13[[#This Row],[PM Hi]]-Table13[[#This Row],[MKT Open Price]])/(Table13[[#This Row],[PM Hi]]-Table13[[#This Row],[Prior day close]]),(Table13[[#This Row],[PM Hi]]-Table13[[#This Row],[MKT Open Price]])/(Table13[[#This Row],[PM Hi]]-Table13[[#This Row],[PM LO]]))</f>
        <v>0.37583892617449666</v>
      </c>
      <c r="AK36" s="16">
        <f>IF(Table13[[#This Row],[Prior day close]]&lt;Table13[[#This Row],[PM LO]],(I36-K36)/(I36-Table13[[#This Row],[Prior day close]]),(I36-K36)/(I36-Table13[[#This Row],[PM LO]]))</f>
        <v>0.18279569892473113</v>
      </c>
      <c r="AL36" s="16">
        <f>Table13[[#This Row],[Spike % on open before drop]]+AM36</f>
        <v>0.10256410256410267</v>
      </c>
      <c r="AM36" s="16">
        <f t="shared" si="3"/>
        <v>7.2649572649572627E-2</v>
      </c>
      <c r="AN36" s="18">
        <f>IF($J36&gt;=$F36,($J36-$K36)/($J36),(IF($H36&lt;=$K36,($F36-$H36)/($F36),(Table13[[#This Row],[PM Hi]]-Table13[[#This Row],[Lowest lo from open to squeeze]])/(Table13[[#This Row],[PM Hi]]))))</f>
        <v>0.25172413793103449</v>
      </c>
      <c r="AO36" s="18">
        <f>IF(Table13[[#This Row],[Prior day close]]&lt;=Table13[[#This Row],[PM LO]],IF($J36&gt;=$F36,($J36-$K36)/($J36-Table13[[#This Row],[Prior day close]]),(IF($H36&lt;=$K36,($F36-$H36)/($F36-Table13[[#This Row],[Prior day close]]),(Table13[[#This Row],[PM Hi]]-Table13[[#This Row],[Lowest lo from open to squeeze]])/(Table13[[#This Row],[PM Hi]]-Table13[[#This Row],[Prior day close]])))),IF($J36&gt;=$F36,($J36-$K36)/($J36-Table13[[#This Row],[PM LO]]),(IF($H36&lt;=$K36,($F36-$H36)/($F36-Table13[[#This Row],[PM LO]]),(Table13[[#This Row],[PM Hi]]-Table13[[#This Row],[Lowest lo from open to squeeze]])/(Table13[[#This Row],[PM Hi]]-Table13[[#This Row],[PM LO]])))))</f>
        <v>0.48993288590604028</v>
      </c>
      <c r="AP36" s="18">
        <f>IF(J36&gt;=F36,(J36-K36)/(J36-D36),(IF(H36&lt;=K36,(F36-H36)/(F36-D36),(Table13[[#This Row],[PM Hi]]-Table13[[#This Row],[Lowest lo from open to squeeze]])/(Table13[[#This Row],[PM Hi]]-Table13[[#This Row],[Prior day close]]))))</f>
        <v>0.48993288590604028</v>
      </c>
      <c r="AQ36" s="17">
        <f>390+Table13[[#This Row],[Time until ideal entry point (mins) from open]]</f>
        <v>400</v>
      </c>
      <c r="AR36" s="51">
        <f>(Table13[[#This Row],[Time until ideal entry + 390 (6:30)]]+Table13[[#This Row],[Duration of frontside (mins)]])/1440</f>
        <v>0.28472222222222221</v>
      </c>
    </row>
    <row r="37" spans="1:44" x14ac:dyDescent="0.25">
      <c r="A37" s="10" t="s">
        <v>78</v>
      </c>
      <c r="B37" s="11">
        <v>43986</v>
      </c>
      <c r="C37" s="47" t="s">
        <v>71</v>
      </c>
      <c r="D37" s="12">
        <v>2.14</v>
      </c>
      <c r="E37" s="13">
        <v>2.14</v>
      </c>
      <c r="F37" s="12">
        <v>4.45</v>
      </c>
      <c r="G37" s="12">
        <v>1.87</v>
      </c>
      <c r="H37" s="12">
        <v>3.95</v>
      </c>
      <c r="I37" s="12">
        <v>4.38</v>
      </c>
      <c r="J37" s="12">
        <v>4.4800000000000004</v>
      </c>
      <c r="K37" s="12">
        <v>3.8</v>
      </c>
      <c r="L37" s="12">
        <v>6</v>
      </c>
      <c r="M37" s="12">
        <v>6</v>
      </c>
      <c r="N37" s="13">
        <v>223313750</v>
      </c>
      <c r="O37" s="12">
        <v>792586866</v>
      </c>
      <c r="P37" s="13">
        <v>138</v>
      </c>
      <c r="Q37" s="13">
        <v>88</v>
      </c>
      <c r="R37" s="13"/>
      <c r="S37" s="13">
        <v>27621564</v>
      </c>
      <c r="T37" s="13" t="s">
        <v>41</v>
      </c>
      <c r="U37" t="s">
        <v>41</v>
      </c>
      <c r="V37">
        <v>4</v>
      </c>
      <c r="W37">
        <v>5</v>
      </c>
      <c r="X37">
        <v>3.98</v>
      </c>
      <c r="Y37">
        <v>12</v>
      </c>
      <c r="Z37" s="15">
        <f>Table13[[#This Row],[Time until ideal entry + 390 (6:30)]]/(1440)</f>
        <v>0.27430555555555558</v>
      </c>
      <c r="AA37" s="18">
        <f t="shared" si="4"/>
        <v>1.0794392523364487</v>
      </c>
      <c r="AB37" s="18">
        <f>IF(Table13[[#This Row],[HOD AFTER PM HI]]&gt;=Table13[[#This Row],[PM Hi]],((Table13[[#This Row],[HOD AFTER PM HI]]-Table13[[#This Row],[Prior day close]])/Table13[[#This Row],[Prior day close]]),Table13[[#This Row],[Prior Close to PM Hi %]])</f>
        <v>1.8037383177570092</v>
      </c>
      <c r="AC37" s="18">
        <f>(Table13[[#This Row],[Price at hi of squeeze]]-Table13[[#This Row],[MKT Open Price]])/Table13[[#This Row],[MKT Open Price]]</f>
        <v>0.36986301369863017</v>
      </c>
      <c r="AD37" s="18">
        <f>(Table13[[#This Row],[Price at hi of squeeze]]-Table13[[#This Row],[PM Hi]])/Table13[[#This Row],[PM Hi]]</f>
        <v>0.348314606741573</v>
      </c>
      <c r="AE37" s="18">
        <f t="shared" si="2"/>
        <v>0.57894736842105265</v>
      </c>
      <c r="AF37" s="20">
        <f>Table13[[#This Row],[PM VOL]]/1000000/Table13[[#This Row],[FLOAT(M)]]</f>
        <v>0.31388140909090906</v>
      </c>
      <c r="AG37" s="23">
        <f>(Table13[[#This Row],[Volume]]/1000000)/Table13[[#This Row],[FLOAT(M)]]</f>
        <v>2.5376562499999999</v>
      </c>
      <c r="AH37" s="18">
        <f>(Table13[[#This Row],[Hi of Spike after open before drop]]-Table13[[#This Row],[MKT Open Price]])/Table13[[#This Row],[MKT Open Price]]</f>
        <v>2.2831050228310626E-2</v>
      </c>
      <c r="AI37" s="18">
        <f>(Table13[[#This Row],[PM Hi]]-Table13[[#This Row],[MKT Open Price]])/(Table13[[#This Row],[PM Hi]])</f>
        <v>1.5730337078651749E-2</v>
      </c>
      <c r="AJ37" s="16">
        <f>IF(Table13[[#This Row],[PM LO]]&gt;Table13[[#This Row],[Prior day close]],(Table13[[#This Row],[PM Hi]]-Table13[[#This Row],[MKT Open Price]])/(Table13[[#This Row],[PM Hi]]-Table13[[#This Row],[Prior day close]]),(Table13[[#This Row],[PM Hi]]-Table13[[#This Row],[MKT Open Price]])/(Table13[[#This Row],[PM Hi]]-Table13[[#This Row],[PM LO]]))</f>
        <v>2.7131782945736545E-2</v>
      </c>
      <c r="AK37" s="16">
        <f>IF(Table13[[#This Row],[Prior day close]]&lt;Table13[[#This Row],[PM LO]],(I37-K37)/(I37-Table13[[#This Row],[Prior day close]]),(I37-K37)/(I37-Table13[[#This Row],[PM LO]]))</f>
        <v>0.23107569721115542</v>
      </c>
      <c r="AL37" s="16">
        <f>Table13[[#This Row],[Spike % on open before drop]]+AM37</f>
        <v>0.15525114155251157</v>
      </c>
      <c r="AM37" s="16">
        <f t="shared" si="3"/>
        <v>0.13242009132420093</v>
      </c>
      <c r="AN37" s="18">
        <f>IF($J37&gt;=$F37,($J37-$K37)/($J37),(IF($H37&lt;=$K37,($F37-$H37)/($F37),(Table13[[#This Row],[PM Hi]]-Table13[[#This Row],[Lowest lo from open to squeeze]])/(Table13[[#This Row],[PM Hi]]))))</f>
        <v>0.15178571428571441</v>
      </c>
      <c r="AO37" s="18">
        <f>IF(Table13[[#This Row],[Prior day close]]&lt;=Table13[[#This Row],[PM LO]],IF($J37&gt;=$F37,($J37-$K37)/($J37-Table13[[#This Row],[Prior day close]]),(IF($H37&lt;=$K37,($F37-$H37)/($F37-Table13[[#This Row],[Prior day close]]),(Table13[[#This Row],[PM Hi]]-Table13[[#This Row],[Lowest lo from open to squeeze]])/(Table13[[#This Row],[PM Hi]]-Table13[[#This Row],[Prior day close]])))),IF($J37&gt;=$F37,($J37-$K37)/($J37-Table13[[#This Row],[PM LO]]),(IF($H37&lt;=$K37,($F37-$H37)/($F37-Table13[[#This Row],[PM LO]]),(Table13[[#This Row],[PM Hi]]-Table13[[#This Row],[Lowest lo from open to squeeze]])/(Table13[[#This Row],[PM Hi]]-Table13[[#This Row],[PM LO]])))))</f>
        <v>0.26053639846743315</v>
      </c>
      <c r="AP37" s="18">
        <f>IF(J37&gt;=F37,(J37-K37)/(J37-D37),(IF(H37&lt;=K37,(F37-H37)/(F37-D37),(Table13[[#This Row],[PM Hi]]-Table13[[#This Row],[Lowest lo from open to squeeze]])/(Table13[[#This Row],[PM Hi]]-Table13[[#This Row],[Prior day close]]))))</f>
        <v>0.29059829059829084</v>
      </c>
      <c r="AQ37" s="17">
        <f>390+Table13[[#This Row],[Time until ideal entry point (mins) from open]]</f>
        <v>395</v>
      </c>
      <c r="AR37" s="51">
        <f>(Table13[[#This Row],[Time until ideal entry + 390 (6:30)]]+Table13[[#This Row],[Duration of frontside (mins)]])/1440</f>
        <v>0.28263888888888888</v>
      </c>
    </row>
    <row r="38" spans="1:44" x14ac:dyDescent="0.25">
      <c r="A38" s="10" t="s">
        <v>80</v>
      </c>
      <c r="B38" s="11">
        <v>43990</v>
      </c>
      <c r="C38" s="47" t="s">
        <v>71</v>
      </c>
      <c r="D38" s="12">
        <v>1.19</v>
      </c>
      <c r="E38" s="13">
        <v>1.2</v>
      </c>
      <c r="F38" s="12">
        <v>1.81</v>
      </c>
      <c r="G38" s="12">
        <v>1.2</v>
      </c>
      <c r="H38" s="12">
        <v>1.5</v>
      </c>
      <c r="I38" s="12">
        <v>1.51</v>
      </c>
      <c r="J38" s="12">
        <v>1.56</v>
      </c>
      <c r="K38" s="12">
        <v>1.45</v>
      </c>
      <c r="L38" s="12">
        <v>2.86</v>
      </c>
      <c r="M38" s="12">
        <v>2.86</v>
      </c>
      <c r="N38" s="13">
        <v>56794754</v>
      </c>
      <c r="O38" s="12">
        <v>144747052</v>
      </c>
      <c r="P38" s="13">
        <v>128</v>
      </c>
      <c r="Q38">
        <v>67</v>
      </c>
      <c r="R38" s="14"/>
      <c r="S38" s="13">
        <v>3706505</v>
      </c>
      <c r="T38" s="13" t="s">
        <v>43</v>
      </c>
      <c r="U38" t="s">
        <v>43</v>
      </c>
      <c r="V38">
        <v>1</v>
      </c>
      <c r="W38">
        <v>2</v>
      </c>
      <c r="X38">
        <v>1.59</v>
      </c>
      <c r="Y38">
        <v>53</v>
      </c>
      <c r="Z38" s="15">
        <f>Table13[[#This Row],[Time until ideal entry + 390 (6:30)]]/(1440)</f>
        <v>0.2722222222222222</v>
      </c>
      <c r="AA38" s="18">
        <f t="shared" si="4"/>
        <v>0.52100840336134469</v>
      </c>
      <c r="AB38" s="18">
        <f>IF(Table13[[#This Row],[HOD AFTER PM HI]]&gt;=Table13[[#This Row],[PM Hi]],((Table13[[#This Row],[HOD AFTER PM HI]]-Table13[[#This Row],[Prior day close]])/Table13[[#This Row],[Prior day close]]),Table13[[#This Row],[Prior Close to PM Hi %]])</f>
        <v>1.403361344537815</v>
      </c>
      <c r="AC38" s="18">
        <f>(Table13[[#This Row],[Price at hi of squeeze]]-Table13[[#This Row],[MKT Open Price]])/Table13[[#This Row],[MKT Open Price]]</f>
        <v>0.89403973509933765</v>
      </c>
      <c r="AD38" s="18">
        <f>(Table13[[#This Row],[Price at hi of squeeze]]-Table13[[#This Row],[PM Hi]])/Table13[[#This Row],[PM Hi]]</f>
        <v>0.58011049723756891</v>
      </c>
      <c r="AE38" s="18">
        <f t="shared" si="2"/>
        <v>0.97241379310344822</v>
      </c>
      <c r="AF38" s="20">
        <f>Table13[[#This Row],[PM VOL]]/1000000/Table13[[#This Row],[FLOAT(M)]]</f>
        <v>5.5320970149253731E-2</v>
      </c>
      <c r="AG38" s="21">
        <f>(Table13[[#This Row],[Volume]]/1000000)/Table13[[#This Row],[FLOAT(M)]]</f>
        <v>0.84768289552238807</v>
      </c>
      <c r="AH38" s="18">
        <f>(Table13[[#This Row],[Hi of Spike after open before drop]]-Table13[[#This Row],[MKT Open Price]])/Table13[[#This Row],[MKT Open Price]]</f>
        <v>3.3112582781456984E-2</v>
      </c>
      <c r="AI38" s="18">
        <f>(Table13[[#This Row],[PM Hi]]-Table13[[#This Row],[MKT Open Price]])/(Table13[[#This Row],[PM Hi]])</f>
        <v>0.16574585635359118</v>
      </c>
      <c r="AJ38" s="16">
        <f>IF(Table13[[#This Row],[PM LO]]&gt;Table13[[#This Row],[Prior day close]],(Table13[[#This Row],[PM Hi]]-Table13[[#This Row],[MKT Open Price]])/(Table13[[#This Row],[PM Hi]]-Table13[[#This Row],[Prior day close]]),(Table13[[#This Row],[PM Hi]]-Table13[[#This Row],[MKT Open Price]])/(Table13[[#This Row],[PM Hi]]-Table13[[#This Row],[PM LO]]))</f>
        <v>0.4838709677419355</v>
      </c>
      <c r="AK38" s="16">
        <f>IF(Table13[[#This Row],[Prior day close]]&lt;Table13[[#This Row],[PM LO]],(I38-K38)/(I38-Table13[[#This Row],[Prior day close]]),(I38-K38)/(I38-Table13[[#This Row],[PM LO]]))</f>
        <v>0.18750000000000014</v>
      </c>
      <c r="AL38" s="16">
        <f>Table13[[#This Row],[Spike % on open before drop]]+AM38</f>
        <v>7.2847682119205365E-2</v>
      </c>
      <c r="AM38" s="16">
        <f t="shared" si="3"/>
        <v>3.9735099337748381E-2</v>
      </c>
      <c r="AN38" s="18">
        <f>IF($J38&gt;=$F38,($J38-$K38)/($J38),(IF($H38&lt;=$K38,($F38-$H38)/($F38),(Table13[[#This Row],[PM Hi]]-Table13[[#This Row],[Lowest lo from open to squeeze]])/(Table13[[#This Row],[PM Hi]]))))</f>
        <v>0.19889502762430944</v>
      </c>
      <c r="AO38" s="18">
        <f>IF(Table13[[#This Row],[Prior day close]]&lt;=Table13[[#This Row],[PM LO]],IF($J38&gt;=$F38,($J38-$K38)/($J38-Table13[[#This Row],[Prior day close]]),(IF($H38&lt;=$K38,($F38-$H38)/($F38-Table13[[#This Row],[Prior day close]]),(Table13[[#This Row],[PM Hi]]-Table13[[#This Row],[Lowest lo from open to squeeze]])/(Table13[[#This Row],[PM Hi]]-Table13[[#This Row],[Prior day close]])))),IF($J38&gt;=$F38,($J38-$K38)/($J38-Table13[[#This Row],[PM LO]]),(IF($H38&lt;=$K38,($F38-$H38)/($F38-Table13[[#This Row],[PM LO]]),(Table13[[#This Row],[PM Hi]]-Table13[[#This Row],[Lowest lo from open to squeeze]])/(Table13[[#This Row],[PM Hi]]-Table13[[#This Row],[PM LO]])))))</f>
        <v>0.58064516129032262</v>
      </c>
      <c r="AP38" s="18">
        <f>IF(J38&gt;=F38,(J38-K38)/(J38-D38),(IF(H38&lt;=K38,(F38-H38)/(F38-D38),(Table13[[#This Row],[PM Hi]]-Table13[[#This Row],[Lowest lo from open to squeeze]])/(Table13[[#This Row],[PM Hi]]-Table13[[#This Row],[Prior day close]]))))</f>
        <v>0.58064516129032262</v>
      </c>
      <c r="AQ38" s="17">
        <f>390+Table13[[#This Row],[Time until ideal entry point (mins) from open]]</f>
        <v>392</v>
      </c>
      <c r="AR38" s="51">
        <f>(Table13[[#This Row],[Time until ideal entry + 390 (6:30)]]+Table13[[#This Row],[Duration of frontside (mins)]])/1440</f>
        <v>0.30902777777777779</v>
      </c>
    </row>
    <row r="39" spans="1:44" x14ac:dyDescent="0.25">
      <c r="A39" s="10" t="s">
        <v>79</v>
      </c>
      <c r="B39" s="44">
        <v>43990</v>
      </c>
      <c r="C39" s="47" t="s">
        <v>71</v>
      </c>
      <c r="D39" s="12">
        <v>1.41</v>
      </c>
      <c r="E39" s="13">
        <v>1.41</v>
      </c>
      <c r="F39" s="12">
        <v>2.25</v>
      </c>
      <c r="G39" s="12">
        <v>1.41</v>
      </c>
      <c r="H39" s="12">
        <v>1.85</v>
      </c>
      <c r="I39" s="12">
        <v>1.91</v>
      </c>
      <c r="J39" s="12">
        <v>2.0299999999999998</v>
      </c>
      <c r="K39" s="12">
        <v>1.88</v>
      </c>
      <c r="L39" s="12">
        <v>3.59</v>
      </c>
      <c r="M39" s="12">
        <v>3.59</v>
      </c>
      <c r="N39" s="13">
        <v>102442455</v>
      </c>
      <c r="O39" s="12">
        <v>345602834</v>
      </c>
      <c r="P39" s="13">
        <v>78</v>
      </c>
      <c r="Q39">
        <f>78/1.5</f>
        <v>52</v>
      </c>
      <c r="R39" s="14"/>
      <c r="S39" s="13">
        <v>3779866</v>
      </c>
      <c r="T39" s="13" t="s">
        <v>43</v>
      </c>
      <c r="U39" t="s">
        <v>43</v>
      </c>
      <c r="V39">
        <v>6</v>
      </c>
      <c r="W39">
        <v>7</v>
      </c>
      <c r="X39">
        <v>1.93</v>
      </c>
      <c r="Y39">
        <v>44</v>
      </c>
      <c r="Z39" s="15">
        <f>Table13[[#This Row],[Time until ideal entry + 390 (6:30)]]/(1440)</f>
        <v>0.27569444444444446</v>
      </c>
      <c r="AA39" s="18">
        <f t="shared" si="4"/>
        <v>0.59574468085106391</v>
      </c>
      <c r="AB39" s="18">
        <f>IF(Table13[[#This Row],[HOD AFTER PM HI]]&gt;=Table13[[#This Row],[PM Hi]],((Table13[[#This Row],[HOD AFTER PM HI]]-Table13[[#This Row],[Prior day close]])/Table13[[#This Row],[Prior day close]]),Table13[[#This Row],[Prior Close to PM Hi %]])</f>
        <v>1.5460992907801416</v>
      </c>
      <c r="AC39" s="18">
        <f>(Table13[[#This Row],[Price at hi of squeeze]]-Table13[[#This Row],[MKT Open Price]])/Table13[[#This Row],[MKT Open Price]]</f>
        <v>0.87958115183246077</v>
      </c>
      <c r="AD39" s="18">
        <f>(Table13[[#This Row],[Price at hi of squeeze]]-Table13[[#This Row],[PM Hi]])/Table13[[#This Row],[PM Hi]]</f>
        <v>0.5955555555555555</v>
      </c>
      <c r="AE39" s="18">
        <f t="shared" si="2"/>
        <v>0.90957446808510645</v>
      </c>
      <c r="AF39" s="20">
        <f>Table13[[#This Row],[PM VOL]]/1000000/Table13[[#This Row],[FLOAT(M)]]</f>
        <v>7.268973076923077E-2</v>
      </c>
      <c r="AG39" s="21">
        <f>(Table13[[#This Row],[Volume]]/1000000)/Table13[[#This Row],[FLOAT(M)]]</f>
        <v>1.9700472115384615</v>
      </c>
      <c r="AH39" s="18">
        <f>(Table13[[#This Row],[Hi of Spike after open before drop]]-Table13[[#This Row],[MKT Open Price]])/Table13[[#This Row],[MKT Open Price]]</f>
        <v>6.2827225130889994E-2</v>
      </c>
      <c r="AI39" s="18">
        <f>(Table13[[#This Row],[PM Hi]]-Table13[[#This Row],[MKT Open Price]])/(Table13[[#This Row],[PM Hi]])</f>
        <v>0.15111111111111114</v>
      </c>
      <c r="AJ39" s="16">
        <f>IF(Table13[[#This Row],[PM LO]]&gt;Table13[[#This Row],[Prior day close]],(Table13[[#This Row],[PM Hi]]-Table13[[#This Row],[MKT Open Price]])/(Table13[[#This Row],[PM Hi]]-Table13[[#This Row],[Prior day close]]),(Table13[[#This Row],[PM Hi]]-Table13[[#This Row],[MKT Open Price]])/(Table13[[#This Row],[PM Hi]]-Table13[[#This Row],[PM LO]]))</f>
        <v>0.40476190476190482</v>
      </c>
      <c r="AK39" s="16">
        <f>IF(Table13[[#This Row],[Prior day close]]&lt;Table13[[#This Row],[PM LO]],(I39-K39)/(I39-Table13[[#This Row],[Prior day close]]),(I39-K39)/(I39-Table13[[#This Row],[PM LO]]))</f>
        <v>6.0000000000000053E-2</v>
      </c>
      <c r="AL39" s="16">
        <f>Table13[[#This Row],[Spike % on open before drop]]+AM39</f>
        <v>7.8534031413612523E-2</v>
      </c>
      <c r="AM39" s="16">
        <f t="shared" si="3"/>
        <v>1.5706806282722526E-2</v>
      </c>
      <c r="AN39" s="18">
        <f>IF($J39&gt;=$F39,($J39-$K39)/($J39),(IF($H39&lt;=$K39,($F39-$H39)/($F39),(Table13[[#This Row],[PM Hi]]-Table13[[#This Row],[Lowest lo from open to squeeze]])/(Table13[[#This Row],[PM Hi]]))))</f>
        <v>0.17777777777777773</v>
      </c>
      <c r="AO39" s="18">
        <f>IF(Table13[[#This Row],[Prior day close]]&lt;=Table13[[#This Row],[PM LO]],IF($J39&gt;=$F39,($J39-$K39)/($J39-Table13[[#This Row],[Prior day close]]),(IF($H39&lt;=$K39,($F39-$H39)/($F39-Table13[[#This Row],[Prior day close]]),(Table13[[#This Row],[PM Hi]]-Table13[[#This Row],[Lowest lo from open to squeeze]])/(Table13[[#This Row],[PM Hi]]-Table13[[#This Row],[Prior day close]])))),IF($J39&gt;=$F39,($J39-$K39)/($J39-Table13[[#This Row],[PM LO]]),(IF($H39&lt;=$K39,($F39-$H39)/($F39-Table13[[#This Row],[PM LO]]),(Table13[[#This Row],[PM Hi]]-Table13[[#This Row],[Lowest lo from open to squeeze]])/(Table13[[#This Row],[PM Hi]]-Table13[[#This Row],[PM LO]])))))</f>
        <v>0.47619047619047605</v>
      </c>
      <c r="AP39" s="18">
        <f>IF(J39&gt;=F39,(J39-K39)/(J39-D39),(IF(H39&lt;=K39,(F39-H39)/(F39-D39),(Table13[[#This Row],[PM Hi]]-Table13[[#This Row],[Lowest lo from open to squeeze]])/(Table13[[#This Row],[PM Hi]]-Table13[[#This Row],[Prior day close]]))))</f>
        <v>0.47619047619047605</v>
      </c>
      <c r="AQ39" s="17">
        <f>390+Table13[[#This Row],[Time until ideal entry point (mins) from open]]</f>
        <v>397</v>
      </c>
      <c r="AR39" s="51">
        <f>(Table13[[#This Row],[Time until ideal entry + 390 (6:30)]]+Table13[[#This Row],[Duration of frontside (mins)]])/1440</f>
        <v>0.30625000000000002</v>
      </c>
    </row>
    <row r="40" spans="1:44" x14ac:dyDescent="0.25">
      <c r="A40" s="10" t="s">
        <v>82</v>
      </c>
      <c r="B40" s="11">
        <v>43991</v>
      </c>
      <c r="C40" s="47" t="s">
        <v>71</v>
      </c>
      <c r="D40" s="12">
        <v>0.69</v>
      </c>
      <c r="E40" s="13">
        <v>0.69</v>
      </c>
      <c r="F40" s="12">
        <v>1.1499999999999999</v>
      </c>
      <c r="G40" s="12">
        <v>0.65</v>
      </c>
      <c r="H40" s="12">
        <v>0.9</v>
      </c>
      <c r="I40" s="12">
        <v>0.94</v>
      </c>
      <c r="J40" s="12">
        <v>0.94</v>
      </c>
      <c r="K40" s="12">
        <v>0.85</v>
      </c>
      <c r="L40" s="12">
        <v>2.62</v>
      </c>
      <c r="M40" s="12">
        <v>2.62</v>
      </c>
      <c r="N40" s="13">
        <v>155918020</v>
      </c>
      <c r="O40" s="12">
        <v>249468832</v>
      </c>
      <c r="P40" s="13">
        <v>4.92</v>
      </c>
      <c r="Q40">
        <v>6.72</v>
      </c>
      <c r="R40" s="14"/>
      <c r="S40" s="13">
        <v>7151620</v>
      </c>
      <c r="T40" s="13" t="s">
        <v>43</v>
      </c>
      <c r="U40" t="s">
        <v>43</v>
      </c>
      <c r="V40">
        <v>3</v>
      </c>
      <c r="W40">
        <v>4</v>
      </c>
      <c r="X40">
        <v>0.87</v>
      </c>
      <c r="Y40">
        <v>297</v>
      </c>
      <c r="Z40" s="15">
        <f>Table13[[#This Row],[Time until ideal entry + 390 (6:30)]]/(1440)</f>
        <v>0.27361111111111114</v>
      </c>
      <c r="AA40" s="18">
        <f t="shared" si="4"/>
        <v>0.66666666666666663</v>
      </c>
      <c r="AB40" s="18">
        <f>IF(Table13[[#This Row],[HOD AFTER PM HI]]&gt;=Table13[[#This Row],[PM Hi]],((Table13[[#This Row],[HOD AFTER PM HI]]-Table13[[#This Row],[Prior day close]])/Table13[[#This Row],[Prior day close]]),Table13[[#This Row],[Prior Close to PM Hi %]])</f>
        <v>2.7971014492753628</v>
      </c>
      <c r="AC40" s="18">
        <f>(Table13[[#This Row],[Price at hi of squeeze]]-Table13[[#This Row],[MKT Open Price]])/Table13[[#This Row],[MKT Open Price]]</f>
        <v>1.7872340425531918</v>
      </c>
      <c r="AD40" s="18">
        <f>(Table13[[#This Row],[Price at hi of squeeze]]-Table13[[#This Row],[PM Hi]])/Table13[[#This Row],[PM Hi]]</f>
        <v>1.2782608695652176</v>
      </c>
      <c r="AE40" s="18">
        <f t="shared" ref="AE40:AE71" si="5">(M40-K40)/K40</f>
        <v>2.0823529411764707</v>
      </c>
      <c r="AF40" s="20">
        <f>Table13[[#This Row],[PM VOL]]/1000000/Table13[[#This Row],[FLOAT(M)]]</f>
        <v>1.0642291666666668</v>
      </c>
      <c r="AG40" s="21">
        <f>(Table13[[#This Row],[Volume]]/1000000)/Table13[[#This Row],[FLOAT(M)]]</f>
        <v>23.202086309523811</v>
      </c>
      <c r="AH40" s="18">
        <f>(Table13[[#This Row],[Hi of Spike after open before drop]]-Table13[[#This Row],[MKT Open Price]])/Table13[[#This Row],[MKT Open Price]]</f>
        <v>0</v>
      </c>
      <c r="AI40" s="18">
        <f>(Table13[[#This Row],[PM Hi]]-Table13[[#This Row],[MKT Open Price]])/(Table13[[#This Row],[PM Hi]])</f>
        <v>0.18260869565217389</v>
      </c>
      <c r="AJ40" s="16">
        <f>IF(Table13[[#This Row],[PM LO]]&gt;Table13[[#This Row],[Prior day close]],(Table13[[#This Row],[PM Hi]]-Table13[[#This Row],[MKT Open Price]])/(Table13[[#This Row],[PM Hi]]-Table13[[#This Row],[Prior day close]]),(Table13[[#This Row],[PM Hi]]-Table13[[#This Row],[MKT Open Price]])/(Table13[[#This Row],[PM Hi]]-Table13[[#This Row],[PM LO]]))</f>
        <v>0.42000000000000004</v>
      </c>
      <c r="AK40" s="16">
        <f>IF(Table13[[#This Row],[Prior day close]]&lt;Table13[[#This Row],[PM LO]],(I40-K40)/(I40-Table13[[#This Row],[Prior day close]]),(I40-K40)/(I40-Table13[[#This Row],[PM LO]]))</f>
        <v>0.31034482758620685</v>
      </c>
      <c r="AL40" s="16">
        <f>Table13[[#This Row],[Spike % on open before drop]]+AM40</f>
        <v>9.5744680851063801E-2</v>
      </c>
      <c r="AM40" s="16">
        <f t="shared" si="3"/>
        <v>9.5744680851063801E-2</v>
      </c>
      <c r="AN40" s="18">
        <f>IF($J40&gt;=$F40,($J40-$K40)/($J40),(IF($H40&lt;=$K40,($F40-$H40)/($F40),(Table13[[#This Row],[PM Hi]]-Table13[[#This Row],[Lowest lo from open to squeeze]])/(Table13[[#This Row],[PM Hi]]))))</f>
        <v>0.26086956521739124</v>
      </c>
      <c r="AO40" s="18">
        <f>IF(Table13[[#This Row],[Prior day close]]&lt;=Table13[[#This Row],[PM LO]],IF($J40&gt;=$F40,($J40-$K40)/($J40-Table13[[#This Row],[Prior day close]]),(IF($H40&lt;=$K40,($F40-$H40)/($F40-Table13[[#This Row],[Prior day close]]),(Table13[[#This Row],[PM Hi]]-Table13[[#This Row],[Lowest lo from open to squeeze]])/(Table13[[#This Row],[PM Hi]]-Table13[[#This Row],[Prior day close]])))),IF($J40&gt;=$F40,($J40-$K40)/($J40-Table13[[#This Row],[PM LO]]),(IF($H40&lt;=$K40,($F40-$H40)/($F40-Table13[[#This Row],[PM LO]]),(Table13[[#This Row],[PM Hi]]-Table13[[#This Row],[Lowest lo from open to squeeze]])/(Table13[[#This Row],[PM Hi]]-Table13[[#This Row],[PM LO]])))))</f>
        <v>0.6</v>
      </c>
      <c r="AP40" s="18">
        <f>IF(J40&gt;=F40,(J40-K40)/(J40-D40),(IF(H40&lt;=K40,(F40-H40)/(F40-D40),(Table13[[#This Row],[PM Hi]]-Table13[[#This Row],[Lowest lo from open to squeeze]])/(Table13[[#This Row],[PM Hi]]-Table13[[#This Row],[Prior day close]]))))</f>
        <v>0.65217391304347816</v>
      </c>
      <c r="AQ40" s="17">
        <f>390+Table13[[#This Row],[Time until ideal entry point (mins) from open]]</f>
        <v>394</v>
      </c>
      <c r="AR40" s="51">
        <f>(Table13[[#This Row],[Time until ideal entry + 390 (6:30)]]+Table13[[#This Row],[Duration of frontside (mins)]])/1440</f>
        <v>0.47986111111111113</v>
      </c>
    </row>
    <row r="41" spans="1:44" x14ac:dyDescent="0.25">
      <c r="A41" s="10" t="s">
        <v>83</v>
      </c>
      <c r="B41" s="44">
        <v>43992</v>
      </c>
      <c r="C41" s="47" t="s">
        <v>71</v>
      </c>
      <c r="D41" s="12">
        <v>1.22</v>
      </c>
      <c r="E41" s="13">
        <v>1.24</v>
      </c>
      <c r="F41" s="12">
        <v>2.78</v>
      </c>
      <c r="G41" s="12">
        <v>1.24</v>
      </c>
      <c r="H41" s="12">
        <v>1.89</v>
      </c>
      <c r="I41" s="12">
        <v>2.19</v>
      </c>
      <c r="J41" s="12">
        <v>2.4</v>
      </c>
      <c r="K41" s="12">
        <v>1.88</v>
      </c>
      <c r="L41" s="12">
        <v>3.59</v>
      </c>
      <c r="M41" s="12">
        <v>3.2</v>
      </c>
      <c r="N41" s="13">
        <v>166997013</v>
      </c>
      <c r="O41" s="12">
        <v>302343572</v>
      </c>
      <c r="P41" s="13">
        <v>45.47</v>
      </c>
      <c r="Q41">
        <v>30.91</v>
      </c>
      <c r="R41" s="14"/>
      <c r="S41" s="13">
        <v>7873710</v>
      </c>
      <c r="T41" s="13" t="s">
        <v>43</v>
      </c>
      <c r="U41" t="s">
        <v>41</v>
      </c>
      <c r="V41">
        <v>5</v>
      </c>
      <c r="W41">
        <v>6</v>
      </c>
      <c r="X41">
        <v>2.0099999999999998</v>
      </c>
      <c r="Y41">
        <v>25</v>
      </c>
      <c r="Z41" s="15">
        <f>Table13[[#This Row],[Time until ideal entry + 390 (6:30)]]/(1440)</f>
        <v>0.27500000000000002</v>
      </c>
      <c r="AA41" s="18">
        <f t="shared" si="4"/>
        <v>1.2786885245901638</v>
      </c>
      <c r="AB41" s="18">
        <f>IF(Table13[[#This Row],[HOD AFTER PM HI]]&gt;=Table13[[#This Row],[PM Hi]],((Table13[[#This Row],[HOD AFTER PM HI]]-Table13[[#This Row],[Prior day close]])/Table13[[#This Row],[Prior day close]]),Table13[[#This Row],[Prior Close to PM Hi %]])</f>
        <v>1.9426229508196722</v>
      </c>
      <c r="AC41" s="18">
        <f>(Table13[[#This Row],[Price at hi of squeeze]]-Table13[[#This Row],[MKT Open Price]])/Table13[[#This Row],[MKT Open Price]]</f>
        <v>0.46118721461187229</v>
      </c>
      <c r="AD41" s="18">
        <f>(Table13[[#This Row],[Price at hi of squeeze]]-Table13[[#This Row],[PM Hi]])/Table13[[#This Row],[PM Hi]]</f>
        <v>0.15107913669064763</v>
      </c>
      <c r="AE41" s="18">
        <f t="shared" si="5"/>
        <v>0.70212765957446832</v>
      </c>
      <c r="AF41" s="20">
        <f>Table13[[#This Row],[PM VOL]]/1000000/Table13[[#This Row],[FLOAT(M)]]</f>
        <v>0.25473018440634099</v>
      </c>
      <c r="AG41" s="21">
        <f>(Table13[[#This Row],[Volume]]/1000000)/Table13[[#This Row],[FLOAT(M)]]</f>
        <v>5.4026856357165967</v>
      </c>
      <c r="AH41" s="18">
        <f>(Table13[[#This Row],[Hi of Spike after open before drop]]-Table13[[#This Row],[MKT Open Price]])/Table13[[#This Row],[MKT Open Price]]</f>
        <v>9.589041095890409E-2</v>
      </c>
      <c r="AI41" s="18">
        <f>(Table13[[#This Row],[PM Hi]]-Table13[[#This Row],[MKT Open Price]])/(Table13[[#This Row],[PM Hi]])</f>
        <v>0.21223021582733809</v>
      </c>
      <c r="AJ41" s="16">
        <f>IF(Table13[[#This Row],[PM LO]]&gt;Table13[[#This Row],[Prior day close]],(Table13[[#This Row],[PM Hi]]-Table13[[#This Row],[MKT Open Price]])/(Table13[[#This Row],[PM Hi]]-Table13[[#This Row],[Prior day close]]),(Table13[[#This Row],[PM Hi]]-Table13[[#This Row],[MKT Open Price]])/(Table13[[#This Row],[PM Hi]]-Table13[[#This Row],[PM LO]]))</f>
        <v>0.37820512820512814</v>
      </c>
      <c r="AK41" s="16">
        <f>IF(Table13[[#This Row],[Prior day close]]&lt;Table13[[#This Row],[PM LO]],(I41-K41)/(I41-Table13[[#This Row],[Prior day close]]),(I41-K41)/(I41-Table13[[#This Row],[PM LO]]))</f>
        <v>0.31958762886597947</v>
      </c>
      <c r="AL41" s="16">
        <f>Table13[[#This Row],[Spike % on open before drop]]+AM41</f>
        <v>0.23744292237442921</v>
      </c>
      <c r="AM41" s="16">
        <f t="shared" si="3"/>
        <v>0.14155251141552513</v>
      </c>
      <c r="AN41" s="18">
        <f>IF($J41&gt;=$F41,($J41-$K41)/($J41),(IF($H41&lt;=$K41,($F41-$H41)/($F41),(Table13[[#This Row],[PM Hi]]-Table13[[#This Row],[Lowest lo from open to squeeze]])/(Table13[[#This Row],[PM Hi]]))))</f>
        <v>0.32374100719424459</v>
      </c>
      <c r="AO41" s="18">
        <f>IF(Table13[[#This Row],[Prior day close]]&lt;=Table13[[#This Row],[PM LO]],IF($J41&gt;=$F41,($J41-$K41)/($J41-Table13[[#This Row],[Prior day close]]),(IF($H41&lt;=$K41,($F41-$H41)/($F41-Table13[[#This Row],[Prior day close]]),(Table13[[#This Row],[PM Hi]]-Table13[[#This Row],[Lowest lo from open to squeeze]])/(Table13[[#This Row],[PM Hi]]-Table13[[#This Row],[Prior day close]])))),IF($J41&gt;=$F41,($J41-$K41)/($J41-Table13[[#This Row],[PM LO]]),(IF($H41&lt;=$K41,($F41-$H41)/($F41-Table13[[#This Row],[PM LO]]),(Table13[[#This Row],[PM Hi]]-Table13[[#This Row],[Lowest lo from open to squeeze]])/(Table13[[#This Row],[PM Hi]]-Table13[[#This Row],[PM LO]])))))</f>
        <v>0.57692307692307698</v>
      </c>
      <c r="AP41" s="18">
        <f>IF(J41&gt;=F41,(J41-K41)/(J41-D41),(IF(H41&lt;=K41,(F41-H41)/(F41-D41),(Table13[[#This Row],[PM Hi]]-Table13[[#This Row],[Lowest lo from open to squeeze]])/(Table13[[#This Row],[PM Hi]]-Table13[[#This Row],[Prior day close]]))))</f>
        <v>0.57692307692307698</v>
      </c>
      <c r="AQ41" s="17">
        <f>390+Table13[[#This Row],[Time until ideal entry point (mins) from open]]</f>
        <v>396</v>
      </c>
      <c r="AR41" s="51">
        <f>(Table13[[#This Row],[Time until ideal entry + 390 (6:30)]]+Table13[[#This Row],[Duration of frontside (mins)]])/1440</f>
        <v>0.29236111111111113</v>
      </c>
    </row>
    <row r="42" spans="1:44" x14ac:dyDescent="0.25">
      <c r="A42" s="10" t="s">
        <v>64</v>
      </c>
      <c r="B42" s="11">
        <v>43992</v>
      </c>
      <c r="C42" s="47" t="s">
        <v>71</v>
      </c>
      <c r="D42" s="12">
        <v>1.42</v>
      </c>
      <c r="E42" s="13">
        <v>1.42</v>
      </c>
      <c r="F42" s="12">
        <v>5.23</v>
      </c>
      <c r="G42" s="12">
        <v>1.42</v>
      </c>
      <c r="H42" s="12">
        <v>4.62</v>
      </c>
      <c r="I42" s="12">
        <v>4.72</v>
      </c>
      <c r="J42" s="12">
        <v>5.0999999999999996</v>
      </c>
      <c r="K42" s="12">
        <v>4.12</v>
      </c>
      <c r="L42" s="12">
        <v>6.55</v>
      </c>
      <c r="M42" s="12">
        <v>6.55</v>
      </c>
      <c r="N42" s="13">
        <v>125756972</v>
      </c>
      <c r="O42" s="12">
        <v>373886123</v>
      </c>
      <c r="P42" s="13">
        <v>9.26</v>
      </c>
      <c r="Q42">
        <v>4.79</v>
      </c>
      <c r="R42" s="14"/>
      <c r="S42" s="13">
        <v>17567139</v>
      </c>
      <c r="T42" s="13" t="s">
        <v>43</v>
      </c>
      <c r="U42" t="s">
        <v>43</v>
      </c>
      <c r="V42">
        <v>6</v>
      </c>
      <c r="W42">
        <v>7</v>
      </c>
      <c r="X42">
        <v>4.25</v>
      </c>
      <c r="Y42">
        <v>11</v>
      </c>
      <c r="Z42" s="15">
        <f>Table13[[#This Row],[Time until ideal entry + 390 (6:30)]]/(1440)</f>
        <v>0.27569444444444446</v>
      </c>
      <c r="AA42" s="18">
        <f t="shared" si="4"/>
        <v>2.6830985915492964</v>
      </c>
      <c r="AB42" s="18">
        <f>IF(Table13[[#This Row],[HOD AFTER PM HI]]&gt;=Table13[[#This Row],[PM Hi]],((Table13[[#This Row],[HOD AFTER PM HI]]-Table13[[#This Row],[Prior day close]])/Table13[[#This Row],[Prior day close]]),Table13[[#This Row],[Prior Close to PM Hi %]])</f>
        <v>3.6126760563380285</v>
      </c>
      <c r="AC42" s="18">
        <f>(Table13[[#This Row],[Price at hi of squeeze]]-Table13[[#This Row],[MKT Open Price]])/Table13[[#This Row],[MKT Open Price]]</f>
        <v>0.38771186440677968</v>
      </c>
      <c r="AD42" s="18">
        <f>(Table13[[#This Row],[Price at hi of squeeze]]-Table13[[#This Row],[PM Hi]])/Table13[[#This Row],[PM Hi]]</f>
        <v>0.25239005736137654</v>
      </c>
      <c r="AE42" s="18">
        <f t="shared" si="5"/>
        <v>0.58980582524271841</v>
      </c>
      <c r="AF42" s="20">
        <f>Table13[[#This Row],[PM VOL]]/1000000/Table13[[#This Row],[FLOAT(M)]]</f>
        <v>3.6674611691022965</v>
      </c>
      <c r="AG42" s="21">
        <f>(Table13[[#This Row],[Volume]]/1000000)/Table13[[#This Row],[FLOAT(M)]]</f>
        <v>26.254065135699374</v>
      </c>
      <c r="AH42" s="18">
        <f>(Table13[[#This Row],[Hi of Spike after open before drop]]-Table13[[#This Row],[MKT Open Price]])/Table13[[#This Row],[MKT Open Price]]</f>
        <v>8.0508474576271166E-2</v>
      </c>
      <c r="AI42" s="18">
        <f>(Table13[[#This Row],[PM Hi]]-Table13[[#This Row],[MKT Open Price]])/(Table13[[#This Row],[PM Hi]])</f>
        <v>9.7514340344168379E-2</v>
      </c>
      <c r="AJ42" s="16">
        <f>IF(Table13[[#This Row],[PM LO]]&gt;Table13[[#This Row],[Prior day close]],(Table13[[#This Row],[PM Hi]]-Table13[[#This Row],[MKT Open Price]])/(Table13[[#This Row],[PM Hi]]-Table13[[#This Row],[Prior day close]]),(Table13[[#This Row],[PM Hi]]-Table13[[#This Row],[MKT Open Price]])/(Table13[[#This Row],[PM Hi]]-Table13[[#This Row],[PM LO]]))</f>
        <v>0.13385826771653558</v>
      </c>
      <c r="AK42" s="16">
        <f>IF(Table13[[#This Row],[Prior day close]]&lt;Table13[[#This Row],[PM LO]],(I42-K42)/(I42-Table13[[#This Row],[Prior day close]]),(I42-K42)/(I42-Table13[[#This Row],[PM LO]]))</f>
        <v>0.18181818181818171</v>
      </c>
      <c r="AL42" s="16">
        <f>Table13[[#This Row],[Spike % on open before drop]]+AM42</f>
        <v>0.20762711864406772</v>
      </c>
      <c r="AM42" s="16">
        <f t="shared" si="3"/>
        <v>0.12711864406779655</v>
      </c>
      <c r="AN42" s="18">
        <f>IF($J42&gt;=$F42,($J42-$K42)/($J42),(IF($H42&lt;=$K42,($F42-$H42)/($F42),(Table13[[#This Row],[PM Hi]]-Table13[[#This Row],[Lowest lo from open to squeeze]])/(Table13[[#This Row],[PM Hi]]))))</f>
        <v>0.2122370936902486</v>
      </c>
      <c r="AO42" s="18">
        <f>IF(Table13[[#This Row],[Prior day close]]&lt;=Table13[[#This Row],[PM LO]],IF($J42&gt;=$F42,($J42-$K42)/($J42-Table13[[#This Row],[Prior day close]]),(IF($H42&lt;=$K42,($F42-$H42)/($F42-Table13[[#This Row],[Prior day close]]),(Table13[[#This Row],[PM Hi]]-Table13[[#This Row],[Lowest lo from open to squeeze]])/(Table13[[#This Row],[PM Hi]]-Table13[[#This Row],[Prior day close]])))),IF($J42&gt;=$F42,($J42-$K42)/($J42-Table13[[#This Row],[PM LO]]),(IF($H42&lt;=$K42,($F42-$H42)/($F42-Table13[[#This Row],[PM LO]]),(Table13[[#This Row],[PM Hi]]-Table13[[#This Row],[Lowest lo from open to squeeze]])/(Table13[[#This Row],[PM Hi]]-Table13[[#This Row],[PM LO]])))))</f>
        <v>0.29133858267716539</v>
      </c>
      <c r="AP42" s="18">
        <f>IF(J42&gt;=F42,(J42-K42)/(J42-D42),(IF(H42&lt;=K42,(F42-H42)/(F42-D42),(Table13[[#This Row],[PM Hi]]-Table13[[#This Row],[Lowest lo from open to squeeze]])/(Table13[[#This Row],[PM Hi]]-Table13[[#This Row],[Prior day close]]))))</f>
        <v>0.29133858267716539</v>
      </c>
      <c r="AQ42" s="17">
        <f>390+Table13[[#This Row],[Time until ideal entry point (mins) from open]]</f>
        <v>397</v>
      </c>
      <c r="AR42" s="51">
        <f>(Table13[[#This Row],[Time until ideal entry + 390 (6:30)]]+Table13[[#This Row],[Duration of frontside (mins)]])/1440</f>
        <v>0.28333333333333333</v>
      </c>
    </row>
    <row r="43" spans="1:44" x14ac:dyDescent="0.25">
      <c r="A43" s="10" t="s">
        <v>84</v>
      </c>
      <c r="B43" s="11">
        <v>43993</v>
      </c>
      <c r="C43" s="47" t="s">
        <v>71</v>
      </c>
      <c r="D43" s="12">
        <v>4.53</v>
      </c>
      <c r="E43" s="13">
        <v>4.5</v>
      </c>
      <c r="F43" s="12">
        <v>15.5</v>
      </c>
      <c r="G43" s="12">
        <v>3.03</v>
      </c>
      <c r="H43" s="12">
        <v>8.52</v>
      </c>
      <c r="I43" s="12">
        <v>11</v>
      </c>
      <c r="J43" s="12">
        <v>12.5</v>
      </c>
      <c r="K43" s="12">
        <v>7.5</v>
      </c>
      <c r="L43" s="12">
        <v>15.39</v>
      </c>
      <c r="M43" s="12">
        <v>15.39</v>
      </c>
      <c r="N43" s="13">
        <v>64708377</v>
      </c>
      <c r="O43" s="12">
        <v>445008023</v>
      </c>
      <c r="P43" s="13">
        <v>9.66</v>
      </c>
      <c r="Q43">
        <v>1.18</v>
      </c>
      <c r="R43" s="14"/>
      <c r="S43" s="13">
        <v>4484811</v>
      </c>
      <c r="T43" s="13" t="s">
        <v>41</v>
      </c>
      <c r="U43" t="s">
        <v>43</v>
      </c>
      <c r="V43">
        <v>38</v>
      </c>
      <c r="W43">
        <v>39</v>
      </c>
      <c r="X43">
        <v>7.79</v>
      </c>
      <c r="Y43">
        <v>20</v>
      </c>
      <c r="Z43" s="15">
        <f>Table13[[#This Row],[Time until ideal entry + 390 (6:30)]]/(1440)</f>
        <v>0.29791666666666666</v>
      </c>
      <c r="AA43" s="18">
        <f t="shared" si="4"/>
        <v>2.4216335540838849</v>
      </c>
      <c r="AB43" s="18">
        <f>IF(Table13[[#This Row],[HOD AFTER PM HI]]&gt;=Table13[[#This Row],[PM Hi]],((Table13[[#This Row],[HOD AFTER PM HI]]-Table13[[#This Row],[Prior day close]])/Table13[[#This Row],[Prior day close]]),Table13[[#This Row],[Prior Close to PM Hi %]])</f>
        <v>2.4216335540838849</v>
      </c>
      <c r="AC43" s="18">
        <f>(Table13[[#This Row],[Price at hi of squeeze]]-Table13[[#This Row],[MKT Open Price]])/Table13[[#This Row],[MKT Open Price]]</f>
        <v>0.39909090909090916</v>
      </c>
      <c r="AD43" s="18">
        <f>(Table13[[#This Row],[Price at hi of squeeze]]-Table13[[#This Row],[PM Hi]])/Table13[[#This Row],[PM Hi]]</f>
        <v>-7.0967741935483502E-3</v>
      </c>
      <c r="AE43" s="18">
        <f t="shared" si="5"/>
        <v>1.052</v>
      </c>
      <c r="AF43" s="20">
        <f>Table13[[#This Row],[PM VOL]]/1000000/Table13[[#This Row],[FLOAT(M)]]</f>
        <v>3.8006872881355931</v>
      </c>
      <c r="AG43" s="21">
        <f>(Table13[[#This Row],[Volume]]/1000000)/Table13[[#This Row],[FLOAT(M)]]</f>
        <v>54.837607627118643</v>
      </c>
      <c r="AH43" s="18">
        <f>(Table13[[#This Row],[Hi of Spike after open before drop]]-Table13[[#This Row],[MKT Open Price]])/Table13[[#This Row],[MKT Open Price]]</f>
        <v>0.13636363636363635</v>
      </c>
      <c r="AI43" s="18">
        <f>(Table13[[#This Row],[PM Hi]]-Table13[[#This Row],[MKT Open Price]])/(Table13[[#This Row],[PM Hi]])</f>
        <v>0.29032258064516131</v>
      </c>
      <c r="AJ43" s="16">
        <f>IF(Table13[[#This Row],[PM LO]]&gt;Table13[[#This Row],[Prior day close]],(Table13[[#This Row],[PM Hi]]-Table13[[#This Row],[MKT Open Price]])/(Table13[[#This Row],[PM Hi]]-Table13[[#This Row],[Prior day close]]),(Table13[[#This Row],[PM Hi]]-Table13[[#This Row],[MKT Open Price]])/(Table13[[#This Row],[PM Hi]]-Table13[[#This Row],[PM LO]]))</f>
        <v>0.36086607858861264</v>
      </c>
      <c r="AK43" s="16">
        <f>IF(Table13[[#This Row],[Prior day close]]&lt;Table13[[#This Row],[PM LO]],(I43-K43)/(I43-Table13[[#This Row],[Prior day close]]),(I43-K43)/(I43-Table13[[#This Row],[PM LO]]))</f>
        <v>0.43914680050188204</v>
      </c>
      <c r="AL43" s="16">
        <f>Table13[[#This Row],[Spike % on open before drop]]+AM43</f>
        <v>0.45454545454545453</v>
      </c>
      <c r="AM43" s="16">
        <f t="shared" si="3"/>
        <v>0.31818181818181818</v>
      </c>
      <c r="AN43" s="18">
        <f>IF($J43&gt;=$F43,($J43-$K43)/($J43),(IF($H43&lt;=$K43,($F43-$H43)/($F43),(Table13[[#This Row],[PM Hi]]-Table13[[#This Row],[Lowest lo from open to squeeze]])/(Table13[[#This Row],[PM Hi]]))))</f>
        <v>0.5161290322580645</v>
      </c>
      <c r="AO43" s="18">
        <f>IF(Table13[[#This Row],[Prior day close]]&lt;=Table13[[#This Row],[PM LO]],IF($J43&gt;=$F43,($J43-$K43)/($J43-Table13[[#This Row],[Prior day close]]),(IF($H43&lt;=$K43,($F43-$H43)/($F43-Table13[[#This Row],[Prior day close]]),(Table13[[#This Row],[PM Hi]]-Table13[[#This Row],[Lowest lo from open to squeeze]])/(Table13[[#This Row],[PM Hi]]-Table13[[#This Row],[Prior day close]])))),IF($J43&gt;=$F43,($J43-$K43)/($J43-Table13[[#This Row],[PM LO]]),(IF($H43&lt;=$K43,($F43-$H43)/($F43-Table13[[#This Row],[PM LO]]),(Table13[[#This Row],[PM Hi]]-Table13[[#This Row],[Lowest lo from open to squeeze]])/(Table13[[#This Row],[PM Hi]]-Table13[[#This Row],[PM LO]])))))</f>
        <v>0.64153969526864474</v>
      </c>
      <c r="AP43" s="18">
        <f>IF(J43&gt;=F43,(J43-K43)/(J43-D43),(IF(H43&lt;=K43,(F43-H43)/(F43-D43),(Table13[[#This Row],[PM Hi]]-Table13[[#This Row],[Lowest lo from open to squeeze]])/(Table13[[#This Row],[PM Hi]]-Table13[[#This Row],[Prior day close]]))))</f>
        <v>0.72926162260711036</v>
      </c>
      <c r="AQ43" s="17">
        <f>390+Table13[[#This Row],[Time until ideal entry point (mins) from open]]</f>
        <v>429</v>
      </c>
      <c r="AR43" s="51">
        <f>(Table13[[#This Row],[Time until ideal entry + 390 (6:30)]]+Table13[[#This Row],[Duration of frontside (mins)]])/1440</f>
        <v>0.31180555555555556</v>
      </c>
    </row>
    <row r="44" spans="1:44" x14ac:dyDescent="0.25">
      <c r="A44" s="10" t="s">
        <v>85</v>
      </c>
      <c r="B44" s="11">
        <v>43999</v>
      </c>
      <c r="C44" s="47" t="s">
        <v>71</v>
      </c>
      <c r="D44" s="12">
        <v>1.1200000000000001</v>
      </c>
      <c r="E44" s="13">
        <v>1.1499999999999999</v>
      </c>
      <c r="F44" s="12">
        <v>3.57</v>
      </c>
      <c r="G44" s="12">
        <v>1.1399999999999999</v>
      </c>
      <c r="H44" s="12">
        <v>2.2999999999999998</v>
      </c>
      <c r="I44" s="12">
        <v>2.74</v>
      </c>
      <c r="J44" s="12">
        <v>3.12</v>
      </c>
      <c r="K44" s="12">
        <v>2.5</v>
      </c>
      <c r="L44" s="12">
        <v>4.8899999999999997</v>
      </c>
      <c r="M44" s="12">
        <v>4.8899999999999997</v>
      </c>
      <c r="N44" s="13">
        <v>47681656</v>
      </c>
      <c r="O44" s="12">
        <v>86416284</v>
      </c>
      <c r="P44" s="13">
        <v>4.34</v>
      </c>
      <c r="Q44">
        <v>1.93</v>
      </c>
      <c r="R44" s="14"/>
      <c r="S44" s="13">
        <v>1868143</v>
      </c>
      <c r="T44" s="13"/>
      <c r="U44" t="s">
        <v>43</v>
      </c>
      <c r="V44">
        <v>1</v>
      </c>
      <c r="W44">
        <v>2</v>
      </c>
      <c r="X44">
        <v>2.96</v>
      </c>
      <c r="Y44">
        <v>40</v>
      </c>
      <c r="Z44" s="15">
        <f>Table13[[#This Row],[Time until ideal entry + 390 (6:30)]]/(1440)</f>
        <v>0.2722222222222222</v>
      </c>
      <c r="AA44" s="18">
        <f t="shared" si="4"/>
        <v>2.1874999999999996</v>
      </c>
      <c r="AB44" s="18">
        <f>IF(Table13[[#This Row],[HOD AFTER PM HI]]&gt;=Table13[[#This Row],[PM Hi]],((Table13[[#This Row],[HOD AFTER PM HI]]-Table13[[#This Row],[Prior day close]])/Table13[[#This Row],[Prior day close]]),Table13[[#This Row],[Prior Close to PM Hi %]])</f>
        <v>3.3660714285714279</v>
      </c>
      <c r="AC44" s="18">
        <f>(Table13[[#This Row],[Price at hi of squeeze]]-Table13[[#This Row],[MKT Open Price]])/Table13[[#This Row],[MKT Open Price]]</f>
        <v>0.78467153284671509</v>
      </c>
      <c r="AD44" s="18">
        <f>(Table13[[#This Row],[Price at hi of squeeze]]-Table13[[#This Row],[PM Hi]])/Table13[[#This Row],[PM Hi]]</f>
        <v>0.36974789915966383</v>
      </c>
      <c r="AE44" s="18">
        <f t="shared" si="5"/>
        <v>0.95599999999999985</v>
      </c>
      <c r="AF44" s="20">
        <f>Table13[[#This Row],[PM VOL]]/1000000/Table13[[#This Row],[FLOAT(M)]]</f>
        <v>0.96794974093264252</v>
      </c>
      <c r="AG44" s="21">
        <f>(Table13[[#This Row],[Volume]]/1000000)/Table13[[#This Row],[FLOAT(M)]]</f>
        <v>24.705521243523314</v>
      </c>
      <c r="AH44" s="18">
        <f>(Table13[[#This Row],[Hi of Spike after open before drop]]-Table13[[#This Row],[MKT Open Price]])/Table13[[#This Row],[MKT Open Price]]</f>
        <v>0.13868613138686126</v>
      </c>
      <c r="AI44" s="18">
        <f>(Table13[[#This Row],[PM Hi]]-Table13[[#This Row],[MKT Open Price]])/(Table13[[#This Row],[PM Hi]])</f>
        <v>0.23249299719887945</v>
      </c>
      <c r="AJ44" s="16">
        <f>IF(Table13[[#This Row],[PM LO]]&gt;Table13[[#This Row],[Prior day close]],(Table13[[#This Row],[PM Hi]]-Table13[[#This Row],[MKT Open Price]])/(Table13[[#This Row],[PM Hi]]-Table13[[#This Row],[Prior day close]]),(Table13[[#This Row],[PM Hi]]-Table13[[#This Row],[MKT Open Price]])/(Table13[[#This Row],[PM Hi]]-Table13[[#This Row],[PM LO]]))</f>
        <v>0.33877551020408153</v>
      </c>
      <c r="AK44" s="16">
        <f>IF(Table13[[#This Row],[Prior day close]]&lt;Table13[[#This Row],[PM LO]],(I44-K44)/(I44-Table13[[#This Row],[Prior day close]]),(I44-K44)/(I44-Table13[[#This Row],[PM LO]]))</f>
        <v>0.14814814814814828</v>
      </c>
      <c r="AL44" s="16">
        <f>Table13[[#This Row],[Spike % on open before drop]]+AM44</f>
        <v>0.22627737226277372</v>
      </c>
      <c r="AM44" s="16">
        <f t="shared" si="3"/>
        <v>8.7591240875912482E-2</v>
      </c>
      <c r="AN44" s="18">
        <f>IF($J44&gt;=$F44,($J44-$K44)/($J44),(IF($H44&lt;=$K44,($F44-$H44)/($F44),(Table13[[#This Row],[PM Hi]]-Table13[[#This Row],[Lowest lo from open to squeeze]])/(Table13[[#This Row],[PM Hi]]))))</f>
        <v>0.35574229691876752</v>
      </c>
      <c r="AO44" s="18">
        <f>IF(Table13[[#This Row],[Prior day close]]&lt;=Table13[[#This Row],[PM LO]],IF($J44&gt;=$F44,($J44-$K44)/($J44-Table13[[#This Row],[Prior day close]]),(IF($H44&lt;=$K44,($F44-$H44)/($F44-Table13[[#This Row],[Prior day close]]),(Table13[[#This Row],[PM Hi]]-Table13[[#This Row],[Lowest lo from open to squeeze]])/(Table13[[#This Row],[PM Hi]]-Table13[[#This Row],[Prior day close]])))),IF($J44&gt;=$F44,($J44-$K44)/($J44-Table13[[#This Row],[PM LO]]),(IF($H44&lt;=$K44,($F44-$H44)/($F44-Table13[[#This Row],[PM LO]]),(Table13[[#This Row],[PM Hi]]-Table13[[#This Row],[Lowest lo from open to squeeze]])/(Table13[[#This Row],[PM Hi]]-Table13[[#This Row],[PM LO]])))))</f>
        <v>0.51836734693877562</v>
      </c>
      <c r="AP44" s="18">
        <f>IF(J44&gt;=F44,(J44-K44)/(J44-D44),(IF(H44&lt;=K44,(F44-H44)/(F44-D44),(Table13[[#This Row],[PM Hi]]-Table13[[#This Row],[Lowest lo from open to squeeze]])/(Table13[[#This Row],[PM Hi]]-Table13[[#This Row],[Prior day close]]))))</f>
        <v>0.51836734693877562</v>
      </c>
      <c r="AQ44" s="17">
        <f>390+Table13[[#This Row],[Time until ideal entry point (mins) from open]]</f>
        <v>392</v>
      </c>
      <c r="AR44" s="51">
        <f>(Table13[[#This Row],[Time until ideal entry + 390 (6:30)]]+Table13[[#This Row],[Duration of frontside (mins)]])/1440</f>
        <v>0.3</v>
      </c>
    </row>
    <row r="45" spans="1:44" x14ac:dyDescent="0.25">
      <c r="A45" s="10" t="s">
        <v>86</v>
      </c>
      <c r="B45" s="44">
        <v>44004</v>
      </c>
      <c r="C45" s="47" t="s">
        <v>71</v>
      </c>
      <c r="D45" s="12">
        <v>2.39</v>
      </c>
      <c r="E45" s="13">
        <v>2.4900000000000002</v>
      </c>
      <c r="F45" s="12">
        <v>2.96</v>
      </c>
      <c r="G45" s="12">
        <v>2.39</v>
      </c>
      <c r="H45" s="12">
        <v>2.66</v>
      </c>
      <c r="I45" s="12">
        <v>2.81</v>
      </c>
      <c r="J45" s="12">
        <v>2.87</v>
      </c>
      <c r="K45" s="12">
        <v>2.6</v>
      </c>
      <c r="L45" s="12">
        <v>3.98</v>
      </c>
      <c r="M45" s="12">
        <v>3.98</v>
      </c>
      <c r="N45" s="13">
        <v>341002784</v>
      </c>
      <c r="O45" s="12">
        <v>1120194145</v>
      </c>
      <c r="P45" s="13">
        <v>345.01</v>
      </c>
      <c r="Q45">
        <v>128.32</v>
      </c>
      <c r="R45" s="14"/>
      <c r="S45" s="13">
        <v>9079049</v>
      </c>
      <c r="T45" s="13"/>
      <c r="U45" t="s">
        <v>41</v>
      </c>
      <c r="V45">
        <v>2</v>
      </c>
      <c r="W45">
        <v>3</v>
      </c>
      <c r="X45">
        <v>2.73</v>
      </c>
      <c r="Y45">
        <v>34</v>
      </c>
      <c r="Z45" s="15">
        <f>Table13[[#This Row],[Time until ideal entry + 390 (6:30)]]/(1440)</f>
        <v>0.27291666666666664</v>
      </c>
      <c r="AA45" s="18">
        <f t="shared" si="4"/>
        <v>0.23849372384937231</v>
      </c>
      <c r="AB45" s="18">
        <f>IF(Table13[[#This Row],[HOD AFTER PM HI]]&gt;=Table13[[#This Row],[PM Hi]],((Table13[[#This Row],[HOD AFTER PM HI]]-Table13[[#This Row],[Prior day close]])/Table13[[#This Row],[Prior day close]]),Table13[[#This Row],[Prior Close to PM Hi %]])</f>
        <v>0.66527196652719656</v>
      </c>
      <c r="AC45" s="18">
        <f>(Table13[[#This Row],[Price at hi of squeeze]]-Table13[[#This Row],[MKT Open Price]])/Table13[[#This Row],[MKT Open Price]]</f>
        <v>0.41637010676156583</v>
      </c>
      <c r="AD45" s="18">
        <f>(Table13[[#This Row],[Price at hi of squeeze]]-Table13[[#This Row],[PM Hi]])/Table13[[#This Row],[PM Hi]]</f>
        <v>0.34459459459459463</v>
      </c>
      <c r="AE45" s="18">
        <f t="shared" si="5"/>
        <v>0.53076923076923066</v>
      </c>
      <c r="AF45" s="20">
        <f>Table13[[#This Row],[PM VOL]]/1000000/Table13[[#This Row],[FLOAT(M)]]</f>
        <v>7.0753187344139656E-2</v>
      </c>
      <c r="AG45" s="21">
        <f>(Table13[[#This Row],[Volume]]/1000000)/Table13[[#This Row],[FLOAT(M)]]</f>
        <v>2.6574406483790525</v>
      </c>
      <c r="AH45" s="18">
        <f>(Table13[[#This Row],[Hi of Spike after open before drop]]-Table13[[#This Row],[MKT Open Price]])/Table13[[#This Row],[MKT Open Price]]</f>
        <v>2.1352313167259804E-2</v>
      </c>
      <c r="AI45" s="18">
        <f>(Table13[[#This Row],[PM Hi]]-Table13[[#This Row],[MKT Open Price]])/(Table13[[#This Row],[PM Hi]])</f>
        <v>5.0675675675675644E-2</v>
      </c>
      <c r="AJ45" s="16">
        <f>IF(Table13[[#This Row],[PM LO]]&gt;Table13[[#This Row],[Prior day close]],(Table13[[#This Row],[PM Hi]]-Table13[[#This Row],[MKT Open Price]])/(Table13[[#This Row],[PM Hi]]-Table13[[#This Row],[Prior day close]]),(Table13[[#This Row],[PM Hi]]-Table13[[#This Row],[MKT Open Price]])/(Table13[[#This Row],[PM Hi]]-Table13[[#This Row],[PM LO]]))</f>
        <v>0.26315789473684204</v>
      </c>
      <c r="AK45" s="16">
        <f>IF(Table13[[#This Row],[Prior day close]]&lt;Table13[[#This Row],[PM LO]],(I45-K45)/(I45-Table13[[#This Row],[Prior day close]]),(I45-K45)/(I45-Table13[[#This Row],[PM LO]]))</f>
        <v>0.5</v>
      </c>
      <c r="AL45" s="16">
        <f>Table13[[#This Row],[Spike % on open before drop]]+AM45</f>
        <v>9.6085409252669035E-2</v>
      </c>
      <c r="AM45" s="16">
        <f t="shared" si="3"/>
        <v>7.4733096085409234E-2</v>
      </c>
      <c r="AN45" s="18">
        <f>IF($J45&gt;=$F45,($J45-$K45)/($J45),(IF($H45&lt;=$K45,($F45-$H45)/($F45),(Table13[[#This Row],[PM Hi]]-Table13[[#This Row],[Lowest lo from open to squeeze]])/(Table13[[#This Row],[PM Hi]]))))</f>
        <v>0.12162162162162159</v>
      </c>
      <c r="AO45" s="18">
        <f>IF(Table13[[#This Row],[Prior day close]]&lt;=Table13[[#This Row],[PM LO]],IF($J45&gt;=$F45,($J45-$K45)/($J45-Table13[[#This Row],[Prior day close]]),(IF($H45&lt;=$K45,($F45-$H45)/($F45-Table13[[#This Row],[Prior day close]]),(Table13[[#This Row],[PM Hi]]-Table13[[#This Row],[Lowest lo from open to squeeze]])/(Table13[[#This Row],[PM Hi]]-Table13[[#This Row],[Prior day close]])))),IF($J45&gt;=$F45,($J45-$K45)/($J45-Table13[[#This Row],[PM LO]]),(IF($H45&lt;=$K45,($F45-$H45)/($F45-Table13[[#This Row],[PM LO]]),(Table13[[#This Row],[PM Hi]]-Table13[[#This Row],[Lowest lo from open to squeeze]])/(Table13[[#This Row],[PM Hi]]-Table13[[#This Row],[PM LO]])))))</f>
        <v>0.63157894736842102</v>
      </c>
      <c r="AP45" s="18">
        <f>IF(J45&gt;=F45,(J45-K45)/(J45-D45),(IF(H45&lt;=K45,(F45-H45)/(F45-D45),(Table13[[#This Row],[PM Hi]]-Table13[[#This Row],[Lowest lo from open to squeeze]])/(Table13[[#This Row],[PM Hi]]-Table13[[#This Row],[Prior day close]]))))</f>
        <v>0.63157894736842102</v>
      </c>
      <c r="AQ45" s="17">
        <f>390+Table13[[#This Row],[Time until ideal entry point (mins) from open]]</f>
        <v>393</v>
      </c>
      <c r="AR45" s="51">
        <f>(Table13[[#This Row],[Time until ideal entry + 390 (6:30)]]+Table13[[#This Row],[Duration of frontside (mins)]])/1440</f>
        <v>0.29652777777777778</v>
      </c>
    </row>
    <row r="46" spans="1:44" x14ac:dyDescent="0.25">
      <c r="A46" s="10" t="s">
        <v>88</v>
      </c>
      <c r="B46" s="11">
        <v>44006</v>
      </c>
      <c r="C46" s="47" t="s">
        <v>71</v>
      </c>
      <c r="D46" s="12">
        <v>1.43</v>
      </c>
      <c r="E46" s="13">
        <v>1.43</v>
      </c>
      <c r="F46" s="12">
        <v>1.69</v>
      </c>
      <c r="G46" s="12">
        <v>1.35</v>
      </c>
      <c r="H46" s="12">
        <v>1.53</v>
      </c>
      <c r="I46" s="12">
        <v>1.62</v>
      </c>
      <c r="J46" s="12">
        <v>1.68</v>
      </c>
      <c r="K46" s="12">
        <v>1.53</v>
      </c>
      <c r="L46" s="12">
        <v>2.57</v>
      </c>
      <c r="M46" s="12">
        <v>2.57</v>
      </c>
      <c r="N46" s="13">
        <v>133831031</v>
      </c>
      <c r="O46" s="12">
        <v>280010853</v>
      </c>
      <c r="P46" s="13">
        <v>8.89</v>
      </c>
      <c r="Q46" s="13">
        <v>10.3</v>
      </c>
      <c r="R46" s="13"/>
      <c r="S46" s="13">
        <v>1953230</v>
      </c>
      <c r="T46" s="13"/>
      <c r="U46" t="s">
        <v>43</v>
      </c>
      <c r="V46">
        <v>2</v>
      </c>
      <c r="W46">
        <v>3</v>
      </c>
      <c r="X46">
        <v>1.61</v>
      </c>
      <c r="Y46">
        <v>37</v>
      </c>
      <c r="Z46" s="15">
        <f>Table13[[#This Row],[Time until ideal entry + 390 (6:30)]]/(1440)</f>
        <v>0.27291666666666664</v>
      </c>
      <c r="AA46" s="18">
        <f t="shared" si="4"/>
        <v>0.18181818181818182</v>
      </c>
      <c r="AB46" s="18">
        <f>IF(Table13[[#This Row],[HOD AFTER PM HI]]&gt;=Table13[[#This Row],[PM Hi]],((Table13[[#This Row],[HOD AFTER PM HI]]-Table13[[#This Row],[Prior day close]])/Table13[[#This Row],[Prior day close]]),Table13[[#This Row],[Prior Close to PM Hi %]])</f>
        <v>0.79720279720279719</v>
      </c>
      <c r="AC46" s="18">
        <f>(Table13[[#This Row],[Price at hi of squeeze]]-Table13[[#This Row],[MKT Open Price]])/Table13[[#This Row],[MKT Open Price]]</f>
        <v>0.58641975308641958</v>
      </c>
      <c r="AD46" s="18">
        <f>(Table13[[#This Row],[Price at hi of squeeze]]-Table13[[#This Row],[PM Hi]])/Table13[[#This Row],[PM Hi]]</f>
        <v>0.52071005917159763</v>
      </c>
      <c r="AE46" s="18">
        <f t="shared" si="5"/>
        <v>0.67973856209150318</v>
      </c>
      <c r="AF46" s="20">
        <f>Table13[[#This Row],[PM VOL]]/1000000/Table13[[#This Row],[FLOAT(M)]]</f>
        <v>0.18963398058252426</v>
      </c>
      <c r="AG46" s="23">
        <f>(Table13[[#This Row],[Volume]]/1000000)/Table13[[#This Row],[FLOAT(M)]]</f>
        <v>12.993303980582523</v>
      </c>
      <c r="AH46" s="18">
        <f>(Table13[[#This Row],[Hi of Spike after open before drop]]-Table13[[#This Row],[MKT Open Price]])/Table13[[#This Row],[MKT Open Price]]</f>
        <v>3.7037037037036931E-2</v>
      </c>
      <c r="AI46" s="18">
        <f>(Table13[[#This Row],[PM Hi]]-Table13[[#This Row],[MKT Open Price]])/(Table13[[#This Row],[PM Hi]])</f>
        <v>4.1420118343195172E-2</v>
      </c>
      <c r="AJ46" s="16">
        <f>IF(Table13[[#This Row],[PM LO]]&gt;Table13[[#This Row],[Prior day close]],(Table13[[#This Row],[PM Hi]]-Table13[[#This Row],[MKT Open Price]])/(Table13[[#This Row],[PM Hi]]-Table13[[#This Row],[Prior day close]]),(Table13[[#This Row],[PM Hi]]-Table13[[#This Row],[MKT Open Price]])/(Table13[[#This Row],[PM Hi]]-Table13[[#This Row],[PM LO]]))</f>
        <v>0.2058823529411761</v>
      </c>
      <c r="AK46" s="16">
        <f>IF(Table13[[#This Row],[Prior day close]]&lt;Table13[[#This Row],[PM LO]],(I46-K46)/(I46-Table13[[#This Row],[Prior day close]]),(I46-K46)/(I46-Table13[[#This Row],[PM LO]]))</f>
        <v>0.33333333333333359</v>
      </c>
      <c r="AL46" s="16">
        <f>Table13[[#This Row],[Spike % on open before drop]]+AM46</f>
        <v>9.2592592592592532E-2</v>
      </c>
      <c r="AM46" s="16">
        <f t="shared" si="3"/>
        <v>5.5555555555555601E-2</v>
      </c>
      <c r="AN46" s="18">
        <f>IF($J46&gt;=$F46,($J46-$K46)/($J46),(IF($H46&lt;=$K46,($F46-$H46)/($F46),(Table13[[#This Row],[PM Hi]]-Table13[[#This Row],[Lowest lo from open to squeeze]])/(Table13[[#This Row],[PM Hi]]))))</f>
        <v>9.4674556213017708E-2</v>
      </c>
      <c r="AO46" s="18">
        <f>IF(Table13[[#This Row],[Prior day close]]&lt;=Table13[[#This Row],[PM LO]],IF($J46&gt;=$F46,($J46-$K46)/($J46-Table13[[#This Row],[Prior day close]]),(IF($H46&lt;=$K46,($F46-$H46)/($F46-Table13[[#This Row],[Prior day close]]),(Table13[[#This Row],[PM Hi]]-Table13[[#This Row],[Lowest lo from open to squeeze]])/(Table13[[#This Row],[PM Hi]]-Table13[[#This Row],[Prior day close]])))),IF($J46&gt;=$F46,($J46-$K46)/($J46-Table13[[#This Row],[PM LO]]),(IF($H46&lt;=$K46,($F46-$H46)/($F46-Table13[[#This Row],[PM LO]]),(Table13[[#This Row],[PM Hi]]-Table13[[#This Row],[Lowest lo from open to squeeze]])/(Table13[[#This Row],[PM Hi]]-Table13[[#This Row],[PM LO]])))))</f>
        <v>0.47058823529411759</v>
      </c>
      <c r="AP46" s="18">
        <f>IF(J46&gt;=F46,(J46-K46)/(J46-D46),(IF(H46&lt;=K46,(F46-H46)/(F46-D46),(Table13[[#This Row],[PM Hi]]-Table13[[#This Row],[Lowest lo from open to squeeze]])/(Table13[[#This Row],[PM Hi]]-Table13[[#This Row],[Prior day close]]))))</f>
        <v>0.61538461538461509</v>
      </c>
      <c r="AQ46" s="17">
        <f>390+Table13[[#This Row],[Time until ideal entry point (mins) from open]]</f>
        <v>393</v>
      </c>
      <c r="AR46" s="51">
        <f>(Table13[[#This Row],[Time until ideal entry + 390 (6:30)]]+Table13[[#This Row],[Duration of frontside (mins)]])/1440</f>
        <v>0.2986111111111111</v>
      </c>
    </row>
    <row r="47" spans="1:44" x14ac:dyDescent="0.25">
      <c r="A47" s="10" t="s">
        <v>87</v>
      </c>
      <c r="B47" s="11">
        <v>44006</v>
      </c>
      <c r="C47" s="47" t="s">
        <v>71</v>
      </c>
      <c r="D47" s="12">
        <v>1.29</v>
      </c>
      <c r="E47" s="13">
        <v>1.29</v>
      </c>
      <c r="F47" s="12">
        <v>1.71</v>
      </c>
      <c r="G47" s="12">
        <v>1.1499999999999999</v>
      </c>
      <c r="H47" s="12">
        <v>1.48</v>
      </c>
      <c r="I47" s="12">
        <v>1.56</v>
      </c>
      <c r="J47" s="12">
        <v>1.64</v>
      </c>
      <c r="K47" s="12">
        <v>1.38</v>
      </c>
      <c r="L47" s="12">
        <v>2.4900000000000002</v>
      </c>
      <c r="M47" s="12">
        <v>2.4900000000000002</v>
      </c>
      <c r="N47" s="13">
        <v>266520566</v>
      </c>
      <c r="O47" s="12">
        <v>460682388</v>
      </c>
      <c r="P47" s="13">
        <v>176</v>
      </c>
      <c r="Q47">
        <v>141.80000000000001</v>
      </c>
      <c r="R47" s="14"/>
      <c r="S47" s="13">
        <v>6163104</v>
      </c>
      <c r="T47" s="13"/>
      <c r="U47" t="s">
        <v>43</v>
      </c>
      <c r="V47">
        <v>20</v>
      </c>
      <c r="W47">
        <v>21</v>
      </c>
      <c r="X47">
        <v>1.4</v>
      </c>
      <c r="Y47">
        <v>43</v>
      </c>
      <c r="Z47" s="15">
        <f>Table13[[#This Row],[Time until ideal entry + 390 (6:30)]]/(1440)</f>
        <v>0.28541666666666665</v>
      </c>
      <c r="AA47" s="18">
        <f t="shared" si="4"/>
        <v>0.32558139534883712</v>
      </c>
      <c r="AB47" s="18">
        <f>IF(Table13[[#This Row],[HOD AFTER PM HI]]&gt;=Table13[[#This Row],[PM Hi]],((Table13[[#This Row],[HOD AFTER PM HI]]-Table13[[#This Row],[Prior day close]])/Table13[[#This Row],[Prior day close]]),Table13[[#This Row],[Prior Close to PM Hi %]])</f>
        <v>0.93023255813953498</v>
      </c>
      <c r="AC47" s="18">
        <f>(Table13[[#This Row],[Price at hi of squeeze]]-Table13[[#This Row],[MKT Open Price]])/Table13[[#This Row],[MKT Open Price]]</f>
        <v>0.59615384615384626</v>
      </c>
      <c r="AD47" s="18">
        <f>(Table13[[#This Row],[Price at hi of squeeze]]-Table13[[#This Row],[PM Hi]])/Table13[[#This Row],[PM Hi]]</f>
        <v>0.45614035087719312</v>
      </c>
      <c r="AE47" s="18">
        <f t="shared" si="5"/>
        <v>0.80434782608695676</v>
      </c>
      <c r="AF47" s="20">
        <f>Table13[[#This Row],[PM VOL]]/1000000/Table13[[#This Row],[FLOAT(M)]]</f>
        <v>4.3463356840620589E-2</v>
      </c>
      <c r="AG47" s="21">
        <f>(Table13[[#This Row],[Volume]]/1000000)/Table13[[#This Row],[FLOAT(M)]]</f>
        <v>1.8795526516220025</v>
      </c>
      <c r="AH47" s="18">
        <f>(Table13[[#This Row],[Hi of Spike after open before drop]]-Table13[[#This Row],[MKT Open Price]])/Table13[[#This Row],[MKT Open Price]]</f>
        <v>5.1282051282051183E-2</v>
      </c>
      <c r="AI47" s="18">
        <f>(Table13[[#This Row],[PM Hi]]-Table13[[#This Row],[MKT Open Price]])/(Table13[[#This Row],[PM Hi]])</f>
        <v>8.7719298245613989E-2</v>
      </c>
      <c r="AJ47" s="16">
        <f>IF(Table13[[#This Row],[PM LO]]&gt;Table13[[#This Row],[Prior day close]],(Table13[[#This Row],[PM Hi]]-Table13[[#This Row],[MKT Open Price]])/(Table13[[#This Row],[PM Hi]]-Table13[[#This Row],[Prior day close]]),(Table13[[#This Row],[PM Hi]]-Table13[[#This Row],[MKT Open Price]])/(Table13[[#This Row],[PM Hi]]-Table13[[#This Row],[PM LO]]))</f>
        <v>0.26785714285714268</v>
      </c>
      <c r="AK47" s="16">
        <f>IF(Table13[[#This Row],[Prior day close]]&lt;Table13[[#This Row],[PM LO]],(I47-K47)/(I47-Table13[[#This Row],[Prior day close]]),(I47-K47)/(I47-Table13[[#This Row],[PM LO]]))</f>
        <v>0.43902439024390266</v>
      </c>
      <c r="AL47" s="16">
        <f>Table13[[#This Row],[Spike % on open before drop]]+AM47</f>
        <v>0.16666666666666669</v>
      </c>
      <c r="AM47" s="16">
        <f t="shared" si="3"/>
        <v>0.11538461538461549</v>
      </c>
      <c r="AN47" s="18">
        <f>IF($J47&gt;=$F47,($J47-$K47)/($J47),(IF($H47&lt;=$K47,($F47-$H47)/($F47),(Table13[[#This Row],[PM Hi]]-Table13[[#This Row],[Lowest lo from open to squeeze]])/(Table13[[#This Row],[PM Hi]]))))</f>
        <v>0.19298245614035092</v>
      </c>
      <c r="AO47" s="18">
        <f>IF(Table13[[#This Row],[Prior day close]]&lt;=Table13[[#This Row],[PM LO]],IF($J47&gt;=$F47,($J47-$K47)/($J47-Table13[[#This Row],[Prior day close]]),(IF($H47&lt;=$K47,($F47-$H47)/($F47-Table13[[#This Row],[Prior day close]]),(Table13[[#This Row],[PM Hi]]-Table13[[#This Row],[Lowest lo from open to squeeze]])/(Table13[[#This Row],[PM Hi]]-Table13[[#This Row],[Prior day close]])))),IF($J47&gt;=$F47,($J47-$K47)/($J47-Table13[[#This Row],[PM LO]]),(IF($H47&lt;=$K47,($F47-$H47)/($F47-Table13[[#This Row],[PM LO]]),(Table13[[#This Row],[PM Hi]]-Table13[[#This Row],[Lowest lo from open to squeeze]])/(Table13[[#This Row],[PM Hi]]-Table13[[#This Row],[PM LO]])))))</f>
        <v>0.5892857142857143</v>
      </c>
      <c r="AP47" s="18">
        <f>IF(J47&gt;=F47,(J47-K47)/(J47-D47),(IF(H47&lt;=K47,(F47-H47)/(F47-D47),(Table13[[#This Row],[PM Hi]]-Table13[[#This Row],[Lowest lo from open to squeeze]])/(Table13[[#This Row],[PM Hi]]-Table13[[#This Row],[Prior day close]]))))</f>
        <v>0.78571428571428603</v>
      </c>
      <c r="AQ47" s="17">
        <f>390+Table13[[#This Row],[Time until ideal entry point (mins) from open]]</f>
        <v>411</v>
      </c>
      <c r="AR47" s="51">
        <f>(Table13[[#This Row],[Time until ideal entry + 390 (6:30)]]+Table13[[#This Row],[Duration of frontside (mins)]])/1440</f>
        <v>0.31527777777777777</v>
      </c>
    </row>
    <row r="48" spans="1:44" x14ac:dyDescent="0.25">
      <c r="A48" s="10" t="s">
        <v>89</v>
      </c>
      <c r="B48" s="11">
        <v>44007</v>
      </c>
      <c r="C48" s="47" t="s">
        <v>71</v>
      </c>
      <c r="D48" s="12">
        <v>3.15</v>
      </c>
      <c r="E48" s="13">
        <v>3.06</v>
      </c>
      <c r="F48" s="12">
        <v>5.95</v>
      </c>
      <c r="G48" s="12">
        <v>3</v>
      </c>
      <c r="H48" s="12">
        <v>5.27</v>
      </c>
      <c r="I48" s="12">
        <v>5.55</v>
      </c>
      <c r="J48" s="12">
        <v>6.9</v>
      </c>
      <c r="K48" s="12">
        <v>5.0599999999999996</v>
      </c>
      <c r="L48" s="12">
        <v>8.76</v>
      </c>
      <c r="M48" s="12">
        <v>8.76</v>
      </c>
      <c r="N48" s="13">
        <v>119673198</v>
      </c>
      <c r="O48" s="12">
        <v>873284391</v>
      </c>
      <c r="P48" s="13">
        <v>23.56</v>
      </c>
      <c r="Q48">
        <v>4.59</v>
      </c>
      <c r="R48" s="14"/>
      <c r="S48" s="13">
        <v>8440043</v>
      </c>
      <c r="T48" s="13"/>
      <c r="U48" t="s">
        <v>43</v>
      </c>
      <c r="V48">
        <v>63</v>
      </c>
      <c r="W48">
        <v>64</v>
      </c>
      <c r="X48">
        <v>5.14</v>
      </c>
      <c r="Y48">
        <v>76</v>
      </c>
      <c r="Z48" s="15">
        <f>Table13[[#This Row],[Time until ideal entry + 390 (6:30)]]/(1440)</f>
        <v>0.31527777777777777</v>
      </c>
      <c r="AA48" s="18">
        <f t="shared" si="4"/>
        <v>0.88888888888888895</v>
      </c>
      <c r="AB48" s="18">
        <f>IF(Table13[[#This Row],[HOD AFTER PM HI]]&gt;=Table13[[#This Row],[PM Hi]],((Table13[[#This Row],[HOD AFTER PM HI]]-Table13[[#This Row],[Prior day close]])/Table13[[#This Row],[Prior day close]]),Table13[[#This Row],[Prior Close to PM Hi %]])</f>
        <v>1.7809523809523808</v>
      </c>
      <c r="AC48" s="18">
        <f>(Table13[[#This Row],[Price at hi of squeeze]]-Table13[[#This Row],[MKT Open Price]])/Table13[[#This Row],[MKT Open Price]]</f>
        <v>0.57837837837837835</v>
      </c>
      <c r="AD48" s="18">
        <f>(Table13[[#This Row],[Price at hi of squeeze]]-Table13[[#This Row],[PM Hi]])/Table13[[#This Row],[PM Hi]]</f>
        <v>0.47226890756302514</v>
      </c>
      <c r="AE48" s="18">
        <f t="shared" si="5"/>
        <v>0.73122529644268786</v>
      </c>
      <c r="AF48" s="20">
        <f>Table13[[#This Row],[PM VOL]]/1000000/Table13[[#This Row],[FLOAT(M)]]</f>
        <v>1.8387893246187363</v>
      </c>
      <c r="AG48" s="21">
        <f>(Table13[[#This Row],[Volume]]/1000000)/Table13[[#This Row],[FLOAT(M)]]</f>
        <v>26.072592156862747</v>
      </c>
      <c r="AH48" s="18">
        <f>(Table13[[#This Row],[Hi of Spike after open before drop]]-Table13[[#This Row],[MKT Open Price]])/Table13[[#This Row],[MKT Open Price]]</f>
        <v>0.24324324324324334</v>
      </c>
      <c r="AI48" s="18">
        <f>(Table13[[#This Row],[PM Hi]]-Table13[[#This Row],[MKT Open Price]])/(Table13[[#This Row],[PM Hi]])</f>
        <v>6.7226890756302574E-2</v>
      </c>
      <c r="AJ48" s="16">
        <f>IF(Table13[[#This Row],[PM LO]]&gt;Table13[[#This Row],[Prior day close]],(Table13[[#This Row],[PM Hi]]-Table13[[#This Row],[MKT Open Price]])/(Table13[[#This Row],[PM Hi]]-Table13[[#This Row],[Prior day close]]),(Table13[[#This Row],[PM Hi]]-Table13[[#This Row],[MKT Open Price]])/(Table13[[#This Row],[PM Hi]]-Table13[[#This Row],[PM LO]]))</f>
        <v>0.13559322033898316</v>
      </c>
      <c r="AK48" s="16">
        <f>IF(Table13[[#This Row],[Prior day close]]&lt;Table13[[#This Row],[PM LO]],(I48-K48)/(I48-Table13[[#This Row],[Prior day close]]),(I48-K48)/(I48-Table13[[#This Row],[PM LO]]))</f>
        <v>0.19215686274509813</v>
      </c>
      <c r="AL48" s="16">
        <f>Table13[[#This Row],[Spike % on open before drop]]+AM48</f>
        <v>0.3315315315315317</v>
      </c>
      <c r="AM48" s="16">
        <f t="shared" si="3"/>
        <v>8.828828828828833E-2</v>
      </c>
      <c r="AN48" s="18">
        <f>IF($J48&gt;=$F48,($J48-$K48)/($J48),(IF($H48&lt;=$K48,($F48-$H48)/($F48),(Table13[[#This Row],[PM Hi]]-Table13[[#This Row],[Lowest lo from open to squeeze]])/(Table13[[#This Row],[PM Hi]]))))</f>
        <v>0.26666666666666677</v>
      </c>
      <c r="AO48" s="18">
        <f>IF(Table13[[#This Row],[Prior day close]]&lt;=Table13[[#This Row],[PM LO]],IF($J48&gt;=$F48,($J48-$K48)/($J48-Table13[[#This Row],[Prior day close]]),(IF($H48&lt;=$K48,($F48-$H48)/($F48-Table13[[#This Row],[Prior day close]]),(Table13[[#This Row],[PM Hi]]-Table13[[#This Row],[Lowest lo from open to squeeze]])/(Table13[[#This Row],[PM Hi]]-Table13[[#This Row],[Prior day close]])))),IF($J48&gt;=$F48,($J48-$K48)/($J48-Table13[[#This Row],[PM LO]]),(IF($H48&lt;=$K48,($F48-$H48)/($F48-Table13[[#This Row],[PM LO]]),(Table13[[#This Row],[PM Hi]]-Table13[[#This Row],[Lowest lo from open to squeeze]])/(Table13[[#This Row],[PM Hi]]-Table13[[#This Row],[PM LO]])))))</f>
        <v>0.47179487179487195</v>
      </c>
      <c r="AP48" s="18">
        <f>IF(J48&gt;=F48,(J48-K48)/(J48-D48),(IF(H48&lt;=K48,(F48-H48)/(F48-D48),(Table13[[#This Row],[PM Hi]]-Table13[[#This Row],[Lowest lo from open to squeeze]])/(Table13[[#This Row],[PM Hi]]-Table13[[#This Row],[Prior day close]]))))</f>
        <v>0.49066666666666681</v>
      </c>
      <c r="AQ48" s="17">
        <f>390+Table13[[#This Row],[Time until ideal entry point (mins) from open]]</f>
        <v>454</v>
      </c>
      <c r="AR48" s="51">
        <f>(Table13[[#This Row],[Time until ideal entry + 390 (6:30)]]+Table13[[#This Row],[Duration of frontside (mins)]])/1440</f>
        <v>0.36805555555555558</v>
      </c>
    </row>
    <row r="49" spans="1:44" x14ac:dyDescent="0.25">
      <c r="A49" s="10" t="s">
        <v>90</v>
      </c>
      <c r="B49" s="11">
        <v>44011</v>
      </c>
      <c r="C49" s="47" t="s">
        <v>71</v>
      </c>
      <c r="D49" s="12">
        <v>9.9499999999999993</v>
      </c>
      <c r="E49" s="13">
        <v>10.220000000000001</v>
      </c>
      <c r="F49" s="12">
        <v>12.6</v>
      </c>
      <c r="G49" s="12">
        <v>10.220000000000001</v>
      </c>
      <c r="H49" s="12">
        <v>11.5</v>
      </c>
      <c r="I49" s="12">
        <v>12.2</v>
      </c>
      <c r="J49" s="12">
        <v>12.4</v>
      </c>
      <c r="K49" s="12">
        <v>11</v>
      </c>
      <c r="L49" s="12">
        <v>15.41</v>
      </c>
      <c r="M49" s="12">
        <v>15.2</v>
      </c>
      <c r="N49" s="13">
        <v>126119302</v>
      </c>
      <c r="O49" s="12">
        <v>1745688832</v>
      </c>
      <c r="P49" s="13">
        <v>559.29</v>
      </c>
      <c r="Q49">
        <v>55.45</v>
      </c>
      <c r="R49" s="14"/>
      <c r="S49" s="13">
        <v>2996888</v>
      </c>
      <c r="T49" s="13"/>
      <c r="U49" t="s">
        <v>43</v>
      </c>
      <c r="V49">
        <v>2</v>
      </c>
      <c r="W49">
        <v>3</v>
      </c>
      <c r="X49">
        <v>11.58</v>
      </c>
      <c r="Y49">
        <v>94</v>
      </c>
      <c r="Z49" s="15">
        <f>Table13[[#This Row],[Time until ideal entry + 390 (6:30)]]/(1440)</f>
        <v>0.27291666666666664</v>
      </c>
      <c r="AA49" s="18">
        <f t="shared" si="4"/>
        <v>0.26633165829145733</v>
      </c>
      <c r="AB49" s="18">
        <f>IF(Table13[[#This Row],[HOD AFTER PM HI]]&gt;=Table13[[#This Row],[PM Hi]],((Table13[[#This Row],[HOD AFTER PM HI]]-Table13[[#This Row],[Prior day close]])/Table13[[#This Row],[Prior day close]]),Table13[[#This Row],[Prior Close to PM Hi %]])</f>
        <v>0.548743718592965</v>
      </c>
      <c r="AC49" s="18">
        <f>(Table13[[#This Row],[Price at hi of squeeze]]-Table13[[#This Row],[MKT Open Price]])/Table13[[#This Row],[MKT Open Price]]</f>
        <v>0.24590163934426232</v>
      </c>
      <c r="AD49" s="18">
        <f>(Table13[[#This Row],[Price at hi of squeeze]]-Table13[[#This Row],[PM Hi]])/Table13[[#This Row],[PM Hi]]</f>
        <v>0.20634920634920634</v>
      </c>
      <c r="AE49" s="18">
        <f t="shared" si="5"/>
        <v>0.38181818181818178</v>
      </c>
      <c r="AF49" s="20">
        <f>Table13[[#This Row],[PM VOL]]/1000000/Table13[[#This Row],[FLOAT(M)]]</f>
        <v>5.4046672678088367E-2</v>
      </c>
      <c r="AG49" s="21">
        <f>(Table13[[#This Row],[Volume]]/1000000)/Table13[[#This Row],[FLOAT(M)]]</f>
        <v>2.2744689269612262</v>
      </c>
      <c r="AH49" s="18">
        <f>(Table13[[#This Row],[Hi of Spike after open before drop]]-Table13[[#This Row],[MKT Open Price]])/Table13[[#This Row],[MKT Open Price]]</f>
        <v>1.6393442622950907E-2</v>
      </c>
      <c r="AI49" s="18">
        <f>(Table13[[#This Row],[PM Hi]]-Table13[[#This Row],[MKT Open Price]])/(Table13[[#This Row],[PM Hi]])</f>
        <v>3.1746031746031772E-2</v>
      </c>
      <c r="AJ49" s="16">
        <f>IF(Table13[[#This Row],[PM LO]]&gt;Table13[[#This Row],[Prior day close]],(Table13[[#This Row],[PM Hi]]-Table13[[#This Row],[MKT Open Price]])/(Table13[[#This Row],[PM Hi]]-Table13[[#This Row],[Prior day close]]),(Table13[[#This Row],[PM Hi]]-Table13[[#This Row],[MKT Open Price]])/(Table13[[#This Row],[PM Hi]]-Table13[[#This Row],[PM LO]]))</f>
        <v>0.1509433962264152</v>
      </c>
      <c r="AK49" s="16">
        <f>IF(Table13[[#This Row],[Prior day close]]&lt;Table13[[#This Row],[PM LO]],(I49-K49)/(I49-Table13[[#This Row],[Prior day close]]),(I49-K49)/(I49-Table13[[#This Row],[PM LO]]))</f>
        <v>0.53333333333333299</v>
      </c>
      <c r="AL49" s="16">
        <f>Table13[[#This Row],[Spike % on open before drop]]+AM49</f>
        <v>0.11475409836065577</v>
      </c>
      <c r="AM49" s="16">
        <f t="shared" si="3"/>
        <v>9.8360655737704861E-2</v>
      </c>
      <c r="AN49" s="18">
        <f>IF($J49&gt;=$F49,($J49-$K49)/($J49),(IF($H49&lt;=$K49,($F49-$H49)/($F49),(Table13[[#This Row],[PM Hi]]-Table13[[#This Row],[Lowest lo from open to squeeze]])/(Table13[[#This Row],[PM Hi]]))))</f>
        <v>0.12698412698412695</v>
      </c>
      <c r="AO49" s="18">
        <f>IF(Table13[[#This Row],[Prior day close]]&lt;=Table13[[#This Row],[PM LO]],IF($J49&gt;=$F49,($J49-$K49)/($J49-Table13[[#This Row],[Prior day close]]),(IF($H49&lt;=$K49,($F49-$H49)/($F49-Table13[[#This Row],[Prior day close]]),(Table13[[#This Row],[PM Hi]]-Table13[[#This Row],[Lowest lo from open to squeeze]])/(Table13[[#This Row],[PM Hi]]-Table13[[#This Row],[Prior day close]])))),IF($J49&gt;=$F49,($J49-$K49)/($J49-Table13[[#This Row],[PM LO]]),(IF($H49&lt;=$K49,($F49-$H49)/($F49-Table13[[#This Row],[PM LO]]),(Table13[[#This Row],[PM Hi]]-Table13[[#This Row],[Lowest lo from open to squeeze]])/(Table13[[#This Row],[PM Hi]]-Table13[[#This Row],[PM LO]])))))</f>
        <v>0.60377358490566013</v>
      </c>
      <c r="AP49" s="18">
        <f>IF(J49&gt;=F49,(J49-K49)/(J49-D49),(IF(H49&lt;=K49,(F49-H49)/(F49-D49),(Table13[[#This Row],[PM Hi]]-Table13[[#This Row],[Lowest lo from open to squeeze]])/(Table13[[#This Row],[PM Hi]]-Table13[[#This Row],[Prior day close]]))))</f>
        <v>0.60377358490566013</v>
      </c>
      <c r="AQ49" s="17">
        <f>390+Table13[[#This Row],[Time until ideal entry point (mins) from open]]</f>
        <v>393</v>
      </c>
      <c r="AR49" s="51">
        <f>(Table13[[#This Row],[Time until ideal entry + 390 (6:30)]]+Table13[[#This Row],[Duration of frontside (mins)]])/1440</f>
        <v>0.33819444444444446</v>
      </c>
    </row>
    <row r="50" spans="1:44" x14ac:dyDescent="0.25">
      <c r="A50" s="10" t="s">
        <v>91</v>
      </c>
      <c r="B50" s="44">
        <v>44012</v>
      </c>
      <c r="C50" s="47" t="s">
        <v>71</v>
      </c>
      <c r="D50" s="12">
        <v>1.75</v>
      </c>
      <c r="E50" s="13">
        <v>1.7</v>
      </c>
      <c r="F50" s="12">
        <v>2.46</v>
      </c>
      <c r="G50" s="12">
        <v>1.4</v>
      </c>
      <c r="H50" s="12">
        <v>1.9</v>
      </c>
      <c r="I50" s="12">
        <v>2.0299999999999998</v>
      </c>
      <c r="J50" s="12">
        <v>2.0299999999999998</v>
      </c>
      <c r="K50" s="12">
        <v>1.85</v>
      </c>
      <c r="L50" s="12">
        <v>5.47</v>
      </c>
      <c r="M50" s="12">
        <v>3.06</v>
      </c>
      <c r="N50" s="13">
        <v>139686630</v>
      </c>
      <c r="O50" s="12">
        <v>673567099</v>
      </c>
      <c r="P50" s="13">
        <v>14</v>
      </c>
      <c r="Q50">
        <v>3.87</v>
      </c>
      <c r="R50" s="14"/>
      <c r="S50" s="13">
        <v>2643951</v>
      </c>
      <c r="T50" s="13"/>
      <c r="U50" t="s">
        <v>43</v>
      </c>
      <c r="V50">
        <v>4</v>
      </c>
      <c r="W50">
        <v>5</v>
      </c>
      <c r="X50">
        <v>1.91</v>
      </c>
      <c r="Y50">
        <v>56</v>
      </c>
      <c r="Z50" s="15">
        <f>Table13[[#This Row],[Time until ideal entry + 390 (6:30)]]/(1440)</f>
        <v>0.27430555555555558</v>
      </c>
      <c r="AA50" s="18">
        <f t="shared" si="4"/>
        <v>0.40571428571428569</v>
      </c>
      <c r="AB50" s="18">
        <f>IF(Table13[[#This Row],[HOD AFTER PM HI]]&gt;=Table13[[#This Row],[PM Hi]],((Table13[[#This Row],[HOD AFTER PM HI]]-Table13[[#This Row],[Prior day close]])/Table13[[#This Row],[Prior day close]]),Table13[[#This Row],[Prior Close to PM Hi %]])</f>
        <v>2.1257142857142854</v>
      </c>
      <c r="AC50" s="18">
        <f>(Table13[[#This Row],[Price at hi of squeeze]]-Table13[[#This Row],[MKT Open Price]])/Table13[[#This Row],[MKT Open Price]]</f>
        <v>0.50738916256157651</v>
      </c>
      <c r="AD50" s="18">
        <f>(Table13[[#This Row],[Price at hi of squeeze]]-Table13[[#This Row],[PM Hi]])/Table13[[#This Row],[PM Hi]]</f>
        <v>0.24390243902439029</v>
      </c>
      <c r="AE50" s="18">
        <f t="shared" si="5"/>
        <v>0.65405405405405403</v>
      </c>
      <c r="AF50" s="20">
        <f>Table13[[#This Row],[PM VOL]]/1000000/Table13[[#This Row],[FLOAT(M)]]</f>
        <v>0.68319147286821702</v>
      </c>
      <c r="AG50" s="21">
        <f>(Table13[[#This Row],[Volume]]/1000000)/Table13[[#This Row],[FLOAT(M)]]</f>
        <v>36.094736434108526</v>
      </c>
      <c r="AH50" s="18">
        <f>(Table13[[#This Row],[Hi of Spike after open before drop]]-Table13[[#This Row],[MKT Open Price]])/Table13[[#This Row],[MKT Open Price]]</f>
        <v>0</v>
      </c>
      <c r="AI50" s="18">
        <f>(Table13[[#This Row],[PM Hi]]-Table13[[#This Row],[MKT Open Price]])/(Table13[[#This Row],[PM Hi]])</f>
        <v>0.17479674796747974</v>
      </c>
      <c r="AJ50" s="16">
        <f>IF(Table13[[#This Row],[PM LO]]&gt;Table13[[#This Row],[Prior day close]],(Table13[[#This Row],[PM Hi]]-Table13[[#This Row],[MKT Open Price]])/(Table13[[#This Row],[PM Hi]]-Table13[[#This Row],[Prior day close]]),(Table13[[#This Row],[PM Hi]]-Table13[[#This Row],[MKT Open Price]])/(Table13[[#This Row],[PM Hi]]-Table13[[#This Row],[PM LO]]))</f>
        <v>0.4056603773584907</v>
      </c>
      <c r="AK50" s="16">
        <f>IF(Table13[[#This Row],[Prior day close]]&lt;Table13[[#This Row],[PM LO]],(I50-K50)/(I50-Table13[[#This Row],[Prior day close]]),(I50-K50)/(I50-Table13[[#This Row],[PM LO]]))</f>
        <v>0.28571428571428531</v>
      </c>
      <c r="AL50" s="16">
        <f>Table13[[#This Row],[Spike % on open before drop]]+AM50</f>
        <v>8.866995073891612E-2</v>
      </c>
      <c r="AM50" s="16">
        <f t="shared" si="3"/>
        <v>8.866995073891612E-2</v>
      </c>
      <c r="AN50" s="18">
        <f>IF($J50&gt;=$F50,($J50-$K50)/($J50),(IF($H50&lt;=$K50,($F50-$H50)/($F50),(Table13[[#This Row],[PM Hi]]-Table13[[#This Row],[Lowest lo from open to squeeze]])/(Table13[[#This Row],[PM Hi]]))))</f>
        <v>0.24796747967479671</v>
      </c>
      <c r="AO50" s="18">
        <f>IF(Table13[[#This Row],[Prior day close]]&lt;=Table13[[#This Row],[PM LO]],IF($J50&gt;=$F50,($J50-$K50)/($J50-Table13[[#This Row],[Prior day close]]),(IF($H50&lt;=$K50,($F50-$H50)/($F50-Table13[[#This Row],[Prior day close]]),(Table13[[#This Row],[PM Hi]]-Table13[[#This Row],[Lowest lo from open to squeeze]])/(Table13[[#This Row],[PM Hi]]-Table13[[#This Row],[Prior day close]])))),IF($J50&gt;=$F50,($J50-$K50)/($J50-Table13[[#This Row],[PM LO]]),(IF($H50&lt;=$K50,($F50-$H50)/($F50-Table13[[#This Row],[PM LO]]),(Table13[[#This Row],[PM Hi]]-Table13[[#This Row],[Lowest lo from open to squeeze]])/(Table13[[#This Row],[PM Hi]]-Table13[[#This Row],[PM LO]])))))</f>
        <v>0.57547169811320742</v>
      </c>
      <c r="AP50" s="18">
        <f>IF(J50&gt;=F50,(J50-K50)/(J50-D50),(IF(H50&lt;=K50,(F50-H50)/(F50-D50),(Table13[[#This Row],[PM Hi]]-Table13[[#This Row],[Lowest lo from open to squeeze]])/(Table13[[#This Row],[PM Hi]]-Table13[[#This Row],[Prior day close]]))))</f>
        <v>0.85915492957746464</v>
      </c>
      <c r="AQ50" s="17">
        <f>390+Table13[[#This Row],[Time until ideal entry point (mins) from open]]</f>
        <v>395</v>
      </c>
      <c r="AR50" s="51">
        <f>(Table13[[#This Row],[Time until ideal entry + 390 (6:30)]]+Table13[[#This Row],[Duration of frontside (mins)]])/1440</f>
        <v>0.31319444444444444</v>
      </c>
    </row>
    <row r="51" spans="1:44" s="36" customFormat="1" x14ac:dyDescent="0.25">
      <c r="A51" s="10" t="s">
        <v>92</v>
      </c>
      <c r="B51" s="44">
        <v>44013</v>
      </c>
      <c r="C51" s="47" t="s">
        <v>71</v>
      </c>
      <c r="D51" s="12">
        <v>1.1299999999999999</v>
      </c>
      <c r="E51" s="13">
        <v>1.18</v>
      </c>
      <c r="F51" s="12">
        <v>3.73</v>
      </c>
      <c r="G51" s="12">
        <v>1.1499999999999999</v>
      </c>
      <c r="H51" s="12">
        <v>1.71</v>
      </c>
      <c r="I51" s="12">
        <v>2.11</v>
      </c>
      <c r="J51" s="12">
        <v>2.11</v>
      </c>
      <c r="K51" s="12">
        <v>1.96</v>
      </c>
      <c r="L51" s="12">
        <v>3.85</v>
      </c>
      <c r="M51" s="12">
        <v>3.63</v>
      </c>
      <c r="N51" s="13">
        <v>223606230</v>
      </c>
      <c r="O51" s="12">
        <v>562723906</v>
      </c>
      <c r="P51" s="13">
        <v>8</v>
      </c>
      <c r="Q51">
        <v>6.42</v>
      </c>
      <c r="R51" s="14"/>
      <c r="S51" s="13">
        <v>6004157</v>
      </c>
      <c r="T51" s="13" t="s">
        <v>41</v>
      </c>
      <c r="U51" t="s">
        <v>43</v>
      </c>
      <c r="V51">
        <v>1</v>
      </c>
      <c r="W51">
        <v>2</v>
      </c>
      <c r="X51">
        <v>2.15</v>
      </c>
      <c r="Y51">
        <v>66</v>
      </c>
      <c r="Z51" s="15">
        <f>Table13[[#This Row],[Time until ideal entry + 390 (6:30)]]/(1440)</f>
        <v>0.2722222222222222</v>
      </c>
      <c r="AA51" s="18">
        <f t="shared" si="4"/>
        <v>2.3008849557522129</v>
      </c>
      <c r="AB51" s="18">
        <f>IF(Table13[[#This Row],[HOD AFTER PM HI]]&gt;=Table13[[#This Row],[PM Hi]],((Table13[[#This Row],[HOD AFTER PM HI]]-Table13[[#This Row],[Prior day close]])/Table13[[#This Row],[Prior day close]]),Table13[[#This Row],[Prior Close to PM Hi %]])</f>
        <v>2.4070796460176993</v>
      </c>
      <c r="AC51" s="18">
        <f>(Table13[[#This Row],[Price at hi of squeeze]]-Table13[[#This Row],[MKT Open Price]])/Table13[[#This Row],[MKT Open Price]]</f>
        <v>0.72037914691943128</v>
      </c>
      <c r="AD51" s="18">
        <f>(Table13[[#This Row],[Price at hi of squeeze]]-Table13[[#This Row],[PM Hi]])/Table13[[#This Row],[PM Hi]]</f>
        <v>-2.6809651474530856E-2</v>
      </c>
      <c r="AE51" s="18">
        <f t="shared" si="5"/>
        <v>0.85204081632653061</v>
      </c>
      <c r="AF51" s="20">
        <f>Table13[[#This Row],[PM VOL]]/1000000/Table13[[#This Row],[FLOAT(M)]]</f>
        <v>0.93522694704049847</v>
      </c>
      <c r="AG51" s="21">
        <f>(Table13[[#This Row],[Volume]]/1000000)/Table13[[#This Row],[FLOAT(M)]]</f>
        <v>34.829630841121499</v>
      </c>
      <c r="AH51" s="18">
        <f>(Table13[[#This Row],[Hi of Spike after open before drop]]-Table13[[#This Row],[MKT Open Price]])/Table13[[#This Row],[MKT Open Price]]</f>
        <v>0</v>
      </c>
      <c r="AI51" s="18">
        <f>(Table13[[#This Row],[PM Hi]]-Table13[[#This Row],[MKT Open Price]])/(Table13[[#This Row],[PM Hi]])</f>
        <v>0.43431635388739948</v>
      </c>
      <c r="AJ51" s="16">
        <f>IF(Table13[[#This Row],[PM LO]]&gt;Table13[[#This Row],[Prior day close]],(Table13[[#This Row],[PM Hi]]-Table13[[#This Row],[MKT Open Price]])/(Table13[[#This Row],[PM Hi]]-Table13[[#This Row],[Prior day close]]),(Table13[[#This Row],[PM Hi]]-Table13[[#This Row],[MKT Open Price]])/(Table13[[#This Row],[PM Hi]]-Table13[[#This Row],[PM LO]]))</f>
        <v>0.62307692307692308</v>
      </c>
      <c r="AK51" s="16">
        <f>IF(Table13[[#This Row],[Prior day close]]&lt;Table13[[#This Row],[PM LO]],(I51-K51)/(I51-Table13[[#This Row],[Prior day close]]),(I51-K51)/(I51-Table13[[#This Row],[PM LO]]))</f>
        <v>0.15306122448979584</v>
      </c>
      <c r="AL51" s="16">
        <f>Table13[[#This Row],[Spike % on open before drop]]+AM51</f>
        <v>7.1090047393364886E-2</v>
      </c>
      <c r="AM51" s="16">
        <f t="shared" si="3"/>
        <v>7.1090047393364886E-2</v>
      </c>
      <c r="AN51" s="18">
        <f>IF($J51&gt;=$F51,($J51-$K51)/($J51),(IF($H51&lt;=$K51,($F51-$H51)/($F51),(Table13[[#This Row],[PM Hi]]-Table13[[#This Row],[Lowest lo from open to squeeze]])/(Table13[[#This Row],[PM Hi]]))))</f>
        <v>0.54155495978552282</v>
      </c>
      <c r="AO51" s="18">
        <f>IF(Table13[[#This Row],[Prior day close]]&lt;=Table13[[#This Row],[PM LO]],IF($J51&gt;=$F51,($J51-$K51)/($J51-Table13[[#This Row],[Prior day close]]),(IF($H51&lt;=$K51,($F51-$H51)/($F51-Table13[[#This Row],[Prior day close]]),(Table13[[#This Row],[PM Hi]]-Table13[[#This Row],[Lowest lo from open to squeeze]])/(Table13[[#This Row],[PM Hi]]-Table13[[#This Row],[Prior day close]])))),IF($J51&gt;=$F51,($J51-$K51)/($J51-Table13[[#This Row],[PM LO]]),(IF($H51&lt;=$K51,($F51-$H51)/($F51-Table13[[#This Row],[PM LO]]),(Table13[[#This Row],[PM Hi]]-Table13[[#This Row],[Lowest lo from open to squeeze]])/(Table13[[#This Row],[PM Hi]]-Table13[[#This Row],[PM LO]])))))</f>
        <v>0.77692307692307694</v>
      </c>
      <c r="AP51" s="18">
        <f>IF(J51&gt;=F51,(J51-K51)/(J51-D51),(IF(H51&lt;=K51,(F51-H51)/(F51-D51),(Table13[[#This Row],[PM Hi]]-Table13[[#This Row],[Lowest lo from open to squeeze]])/(Table13[[#This Row],[PM Hi]]-Table13[[#This Row],[Prior day close]]))))</f>
        <v>0.77692307692307694</v>
      </c>
      <c r="AQ51" s="17">
        <f>390+Table13[[#This Row],[Time until ideal entry point (mins) from open]]</f>
        <v>392</v>
      </c>
      <c r="AR51" s="51">
        <f>(Table13[[#This Row],[Time until ideal entry + 390 (6:30)]]+Table13[[#This Row],[Duration of frontside (mins)]])/1440</f>
        <v>0.31805555555555554</v>
      </c>
    </row>
    <row r="52" spans="1:44" x14ac:dyDescent="0.25">
      <c r="A52" s="10" t="s">
        <v>94</v>
      </c>
      <c r="B52" s="11">
        <v>44018</v>
      </c>
      <c r="C52" s="47" t="s">
        <v>71</v>
      </c>
      <c r="D52" s="12">
        <v>3.32</v>
      </c>
      <c r="E52" s="13">
        <v>3.49</v>
      </c>
      <c r="F52" s="12">
        <v>4.34</v>
      </c>
      <c r="G52" s="12">
        <v>3.34</v>
      </c>
      <c r="H52" s="12">
        <v>3.93</v>
      </c>
      <c r="I52" s="12">
        <v>4</v>
      </c>
      <c r="J52" s="12">
        <v>4.1500000000000004</v>
      </c>
      <c r="K52" s="12">
        <v>3.9</v>
      </c>
      <c r="L52" s="12">
        <v>6</v>
      </c>
      <c r="M52" s="12">
        <v>6</v>
      </c>
      <c r="N52" s="13">
        <v>172499430</v>
      </c>
      <c r="O52" s="12">
        <v>811193813</v>
      </c>
      <c r="P52" s="13">
        <v>146.69999999999999</v>
      </c>
      <c r="Q52">
        <v>30.44</v>
      </c>
      <c r="R52" s="14"/>
      <c r="S52" s="13">
        <v>4635766</v>
      </c>
      <c r="T52" s="13"/>
      <c r="U52" t="s">
        <v>43</v>
      </c>
      <c r="V52">
        <v>3</v>
      </c>
      <c r="W52">
        <v>4</v>
      </c>
      <c r="X52">
        <v>4.08</v>
      </c>
      <c r="Y52">
        <v>13</v>
      </c>
      <c r="Z52" s="15">
        <f>Table13[[#This Row],[Time until ideal entry + 390 (6:30)]]/(1440)</f>
        <v>0.27361111111111114</v>
      </c>
      <c r="AA52" s="18">
        <f t="shared" si="4"/>
        <v>0.30722891566265065</v>
      </c>
      <c r="AB52" s="18">
        <f>IF(Table13[[#This Row],[HOD AFTER PM HI]]&gt;=Table13[[#This Row],[PM Hi]],((Table13[[#This Row],[HOD AFTER PM HI]]-Table13[[#This Row],[Prior day close]])/Table13[[#This Row],[Prior day close]]),Table13[[#This Row],[Prior Close to PM Hi %]])</f>
        <v>0.80722891566265065</v>
      </c>
      <c r="AC52" s="18">
        <f>(Table13[[#This Row],[Price at hi of squeeze]]-Table13[[#This Row],[MKT Open Price]])/Table13[[#This Row],[MKT Open Price]]</f>
        <v>0.5</v>
      </c>
      <c r="AD52" s="18">
        <f>(Table13[[#This Row],[Price at hi of squeeze]]-Table13[[#This Row],[PM Hi]])/Table13[[#This Row],[PM Hi]]</f>
        <v>0.38248847926267288</v>
      </c>
      <c r="AE52" s="18">
        <f t="shared" si="5"/>
        <v>0.53846153846153855</v>
      </c>
      <c r="AF52" s="20">
        <f>Table13[[#This Row],[PM VOL]]/1000000/Table13[[#This Row],[FLOAT(M)]]</f>
        <v>0.1522919185282523</v>
      </c>
      <c r="AG52" s="21">
        <f>(Table13[[#This Row],[Volume]]/1000000)/Table13[[#This Row],[FLOAT(M)]]</f>
        <v>5.6668669513797632</v>
      </c>
      <c r="AH52" s="18">
        <f>(Table13[[#This Row],[Hi of Spike after open before drop]]-Table13[[#This Row],[MKT Open Price]])/Table13[[#This Row],[MKT Open Price]]</f>
        <v>3.7500000000000089E-2</v>
      </c>
      <c r="AI52" s="18">
        <f>(Table13[[#This Row],[PM Hi]]-Table13[[#This Row],[MKT Open Price]])/(Table13[[#This Row],[PM Hi]])</f>
        <v>7.8341013824884759E-2</v>
      </c>
      <c r="AJ52" s="16">
        <f>IF(Table13[[#This Row],[PM LO]]&gt;Table13[[#This Row],[Prior day close]],(Table13[[#This Row],[PM Hi]]-Table13[[#This Row],[MKT Open Price]])/(Table13[[#This Row],[PM Hi]]-Table13[[#This Row],[Prior day close]]),(Table13[[#This Row],[PM Hi]]-Table13[[#This Row],[MKT Open Price]])/(Table13[[#This Row],[PM Hi]]-Table13[[#This Row],[PM LO]]))</f>
        <v>0.3333333333333332</v>
      </c>
      <c r="AK52" s="16">
        <f>IF(Table13[[#This Row],[Prior day close]]&lt;Table13[[#This Row],[PM LO]],(I52-K52)/(I52-Table13[[#This Row],[Prior day close]]),(I52-K52)/(I52-Table13[[#This Row],[PM LO]]))</f>
        <v>0.14705882352941185</v>
      </c>
      <c r="AL52" s="16">
        <f>Table13[[#This Row],[Spike % on open before drop]]+AM52</f>
        <v>6.2500000000000111E-2</v>
      </c>
      <c r="AM52" s="16">
        <f t="shared" si="3"/>
        <v>2.5000000000000022E-2</v>
      </c>
      <c r="AN52" s="18">
        <f>IF($J52&gt;=$F52,($J52-$K52)/($J52),(IF($H52&lt;=$K52,($F52-$H52)/($F52),(Table13[[#This Row],[PM Hi]]-Table13[[#This Row],[Lowest lo from open to squeeze]])/(Table13[[#This Row],[PM Hi]]))))</f>
        <v>0.10138248847926266</v>
      </c>
      <c r="AO52" s="18">
        <f>IF(Table13[[#This Row],[Prior day close]]&lt;=Table13[[#This Row],[PM LO]],IF($J52&gt;=$F52,($J52-$K52)/($J52-Table13[[#This Row],[Prior day close]]),(IF($H52&lt;=$K52,($F52-$H52)/($F52-Table13[[#This Row],[Prior day close]]),(Table13[[#This Row],[PM Hi]]-Table13[[#This Row],[Lowest lo from open to squeeze]])/(Table13[[#This Row],[PM Hi]]-Table13[[#This Row],[Prior day close]])))),IF($J52&gt;=$F52,($J52-$K52)/($J52-Table13[[#This Row],[PM LO]]),(IF($H52&lt;=$K52,($F52-$H52)/($F52-Table13[[#This Row],[PM LO]]),(Table13[[#This Row],[PM Hi]]-Table13[[#This Row],[Lowest lo from open to squeeze]])/(Table13[[#This Row],[PM Hi]]-Table13[[#This Row],[PM LO]])))))</f>
        <v>0.43137254901960781</v>
      </c>
      <c r="AP52" s="18">
        <f>IF(J52&gt;=F52,(J52-K52)/(J52-D52),(IF(H52&lt;=K52,(F52-H52)/(F52-D52),(Table13[[#This Row],[PM Hi]]-Table13[[#This Row],[Lowest lo from open to squeeze]])/(Table13[[#This Row],[PM Hi]]-Table13[[#This Row],[Prior day close]]))))</f>
        <v>0.43137254901960781</v>
      </c>
      <c r="AQ52" s="17">
        <f>390+Table13[[#This Row],[Time until ideal entry point (mins) from open]]</f>
        <v>394</v>
      </c>
      <c r="AR52" s="51">
        <f>(Table13[[#This Row],[Time until ideal entry + 390 (6:30)]]+Table13[[#This Row],[Duration of frontside (mins)]])/1440</f>
        <v>0.28263888888888888</v>
      </c>
    </row>
    <row r="53" spans="1:44" s="26" customFormat="1" x14ac:dyDescent="0.25">
      <c r="A53" s="10" t="s">
        <v>93</v>
      </c>
      <c r="B53" s="11">
        <v>44018</v>
      </c>
      <c r="C53" s="47" t="s">
        <v>71</v>
      </c>
      <c r="D53" s="12">
        <v>3.28</v>
      </c>
      <c r="E53" s="13">
        <v>3.48</v>
      </c>
      <c r="F53" s="12">
        <v>5.28</v>
      </c>
      <c r="G53" s="12">
        <v>3.48</v>
      </c>
      <c r="H53" s="12">
        <v>4.87</v>
      </c>
      <c r="I53" s="12">
        <v>4.97</v>
      </c>
      <c r="J53" s="12">
        <v>5.43</v>
      </c>
      <c r="K53" s="12">
        <v>4.63</v>
      </c>
      <c r="L53" s="12">
        <v>8.18</v>
      </c>
      <c r="M53" s="12">
        <v>8.18</v>
      </c>
      <c r="N53" s="13">
        <v>228115370</v>
      </c>
      <c r="O53" s="12">
        <v>1220996281</v>
      </c>
      <c r="P53" s="13">
        <v>43.1</v>
      </c>
      <c r="Q53">
        <v>1.83</v>
      </c>
      <c r="R53" s="14"/>
      <c r="S53" s="13">
        <v>12184552</v>
      </c>
      <c r="T53" s="13"/>
      <c r="U53" t="s">
        <v>43</v>
      </c>
      <c r="V53">
        <v>3</v>
      </c>
      <c r="W53">
        <v>4</v>
      </c>
      <c r="X53">
        <v>4.74</v>
      </c>
      <c r="Y53">
        <v>110</v>
      </c>
      <c r="Z53" s="15">
        <f>Table13[[#This Row],[Time until ideal entry + 390 (6:30)]]/(1440)</f>
        <v>0.27361111111111114</v>
      </c>
      <c r="AA53" s="18">
        <f t="shared" si="4"/>
        <v>0.60975609756097582</v>
      </c>
      <c r="AB53" s="18">
        <f>IF(Table13[[#This Row],[HOD AFTER PM HI]]&gt;=Table13[[#This Row],[PM Hi]],((Table13[[#This Row],[HOD AFTER PM HI]]-Table13[[#This Row],[Prior day close]])/Table13[[#This Row],[Prior day close]]),Table13[[#This Row],[Prior Close to PM Hi %]])</f>
        <v>1.4939024390243905</v>
      </c>
      <c r="AC53" s="18">
        <f>(Table13[[#This Row],[Price at hi of squeeze]]-Table13[[#This Row],[MKT Open Price]])/Table13[[#This Row],[MKT Open Price]]</f>
        <v>0.64587525150905434</v>
      </c>
      <c r="AD53" s="18">
        <f>(Table13[[#This Row],[Price at hi of squeeze]]-Table13[[#This Row],[PM Hi]])/Table13[[#This Row],[PM Hi]]</f>
        <v>0.54924242424242409</v>
      </c>
      <c r="AE53" s="18">
        <f t="shared" si="5"/>
        <v>0.76673866090712739</v>
      </c>
      <c r="AF53" s="20">
        <f>Table13[[#This Row],[PM VOL]]/1000000/Table13[[#This Row],[FLOAT(M)]]</f>
        <v>6.658225136612022</v>
      </c>
      <c r="AG53" s="21">
        <f>(Table13[[#This Row],[Volume]]/1000000)/Table13[[#This Row],[FLOAT(M)]]</f>
        <v>124.65320765027323</v>
      </c>
      <c r="AH53" s="18">
        <f>(Table13[[#This Row],[Hi of Spike after open before drop]]-Table13[[#This Row],[MKT Open Price]])/Table13[[#This Row],[MKT Open Price]]</f>
        <v>9.2555331991951706E-2</v>
      </c>
      <c r="AI53" s="18">
        <f>(Table13[[#This Row],[PM Hi]]-Table13[[#This Row],[MKT Open Price]])/(Table13[[#This Row],[PM Hi]])</f>
        <v>5.8712121212121306E-2</v>
      </c>
      <c r="AJ53" s="16">
        <f>IF(Table13[[#This Row],[PM LO]]&gt;Table13[[#This Row],[Prior day close]],(Table13[[#This Row],[PM Hi]]-Table13[[#This Row],[MKT Open Price]])/(Table13[[#This Row],[PM Hi]]-Table13[[#This Row],[Prior day close]]),(Table13[[#This Row],[PM Hi]]-Table13[[#This Row],[MKT Open Price]])/(Table13[[#This Row],[PM Hi]]-Table13[[#This Row],[PM LO]]))</f>
        <v>0.15500000000000022</v>
      </c>
      <c r="AK53" s="16">
        <f>IF(Table13[[#This Row],[Prior day close]]&lt;Table13[[#This Row],[PM LO]],(I53-K53)/(I53-Table13[[#This Row],[Prior day close]]),(I53-K53)/(I53-Table13[[#This Row],[PM LO]]))</f>
        <v>0.20118343195266264</v>
      </c>
      <c r="AL53" s="16">
        <f>Table13[[#This Row],[Spike % on open before drop]]+AM53</f>
        <v>0.16096579476861164</v>
      </c>
      <c r="AM53" s="16">
        <f t="shared" si="3"/>
        <v>6.8410462776659936E-2</v>
      </c>
      <c r="AN53" s="18">
        <f>IF($J53&gt;=$F53,($J53-$K53)/($J53),(IF($H53&lt;=$K53,($F53-$H53)/($F53),(Table13[[#This Row],[PM Hi]]-Table13[[#This Row],[Lowest lo from open to squeeze]])/(Table13[[#This Row],[PM Hi]]))))</f>
        <v>0.14732965009208102</v>
      </c>
      <c r="AO53" s="18">
        <f>IF(Table13[[#This Row],[Prior day close]]&lt;=Table13[[#This Row],[PM LO]],IF($J53&gt;=$F53,($J53-$K53)/($J53-Table13[[#This Row],[Prior day close]]),(IF($H53&lt;=$K53,($F53-$H53)/($F53-Table13[[#This Row],[Prior day close]]),(Table13[[#This Row],[PM Hi]]-Table13[[#This Row],[Lowest lo from open to squeeze]])/(Table13[[#This Row],[PM Hi]]-Table13[[#This Row],[Prior day close]])))),IF($J53&gt;=$F53,($J53-$K53)/($J53-Table13[[#This Row],[PM LO]]),(IF($H53&lt;=$K53,($F53-$H53)/($F53-Table13[[#This Row],[PM LO]]),(Table13[[#This Row],[PM Hi]]-Table13[[#This Row],[Lowest lo from open to squeeze]])/(Table13[[#This Row],[PM Hi]]-Table13[[#This Row],[PM LO]])))))</f>
        <v>0.37209302325581389</v>
      </c>
      <c r="AP53" s="18">
        <f>IF(J53&gt;=F53,(J53-K53)/(J53-D53),(IF(H53&lt;=K53,(F53-H53)/(F53-D53),(Table13[[#This Row],[PM Hi]]-Table13[[#This Row],[Lowest lo from open to squeeze]])/(Table13[[#This Row],[PM Hi]]-Table13[[#This Row],[Prior day close]]))))</f>
        <v>0.37209302325581389</v>
      </c>
      <c r="AQ53" s="17">
        <f>390+Table13[[#This Row],[Time until ideal entry point (mins) from open]]</f>
        <v>394</v>
      </c>
      <c r="AR53" s="51">
        <f>(Table13[[#This Row],[Time until ideal entry + 390 (6:30)]]+Table13[[#This Row],[Duration of frontside (mins)]])/1440</f>
        <v>0.35</v>
      </c>
    </row>
    <row r="54" spans="1:44" s="36" customFormat="1" x14ac:dyDescent="0.25">
      <c r="A54" s="10" t="s">
        <v>95</v>
      </c>
      <c r="B54" s="11">
        <v>44022</v>
      </c>
      <c r="C54" s="47" t="s">
        <v>71</v>
      </c>
      <c r="D54" s="12">
        <v>4.1500000000000004</v>
      </c>
      <c r="E54" s="13">
        <v>4.1500000000000004</v>
      </c>
      <c r="F54" s="12">
        <v>9.25</v>
      </c>
      <c r="G54" s="12">
        <v>4.07</v>
      </c>
      <c r="H54" s="12">
        <v>8.07</v>
      </c>
      <c r="I54" s="12">
        <v>8</v>
      </c>
      <c r="J54" s="12">
        <v>8.23</v>
      </c>
      <c r="K54" s="12">
        <v>6.6</v>
      </c>
      <c r="L54" s="12">
        <v>15.56</v>
      </c>
      <c r="M54" s="12">
        <v>15.56</v>
      </c>
      <c r="N54" s="13">
        <v>141844070</v>
      </c>
      <c r="O54" s="12">
        <v>21276058814</v>
      </c>
      <c r="P54" s="13">
        <v>225.41</v>
      </c>
      <c r="Q54">
        <v>4.92</v>
      </c>
      <c r="R54" s="14"/>
      <c r="S54" s="13">
        <v>12624094</v>
      </c>
      <c r="T54" s="13" t="s">
        <v>41</v>
      </c>
      <c r="U54" t="s">
        <v>43</v>
      </c>
      <c r="V54">
        <v>23</v>
      </c>
      <c r="W54">
        <v>24</v>
      </c>
      <c r="X54">
        <v>6.73</v>
      </c>
      <c r="Y54">
        <v>16</v>
      </c>
      <c r="Z54" s="15">
        <f>Table13[[#This Row],[Time until ideal entry + 390 (6:30)]]/(1440)</f>
        <v>0.28749999999999998</v>
      </c>
      <c r="AA54" s="18">
        <f t="shared" si="4"/>
        <v>1.2289156626506021</v>
      </c>
      <c r="AB54" s="18">
        <f>IF(Table13[[#This Row],[HOD AFTER PM HI]]&gt;=Table13[[#This Row],[PM Hi]],((Table13[[#This Row],[HOD AFTER PM HI]]-Table13[[#This Row],[Prior day close]])/Table13[[#This Row],[Prior day close]]),Table13[[#This Row],[Prior Close to PM Hi %]])</f>
        <v>2.7493975903614456</v>
      </c>
      <c r="AC54" s="18">
        <f>(Table13[[#This Row],[Price at hi of squeeze]]-Table13[[#This Row],[MKT Open Price]])/Table13[[#This Row],[MKT Open Price]]</f>
        <v>0.94500000000000006</v>
      </c>
      <c r="AD54" s="18">
        <f>(Table13[[#This Row],[Price at hi of squeeze]]-Table13[[#This Row],[PM Hi]])/Table13[[#This Row],[PM Hi]]</f>
        <v>0.68216216216216219</v>
      </c>
      <c r="AE54" s="18">
        <f t="shared" si="5"/>
        <v>1.3575757575757579</v>
      </c>
      <c r="AF54" s="20">
        <f>Table13[[#This Row],[PM VOL]]/1000000/Table13[[#This Row],[FLOAT(M)]]</f>
        <v>2.5658727642276422</v>
      </c>
      <c r="AG54" s="21">
        <f>(Table13[[#This Row],[Volume]]/1000000)/Table13[[#This Row],[FLOAT(M)]]</f>
        <v>28.830095528455281</v>
      </c>
      <c r="AH54" s="18">
        <f>(Table13[[#This Row],[Hi of Spike after open before drop]]-Table13[[#This Row],[MKT Open Price]])/Table13[[#This Row],[MKT Open Price]]</f>
        <v>2.8750000000000053E-2</v>
      </c>
      <c r="AI54" s="18">
        <f>(Table13[[#This Row],[PM Hi]]-Table13[[#This Row],[MKT Open Price]])/(Table13[[#This Row],[PM Hi]])</f>
        <v>0.13513513513513514</v>
      </c>
      <c r="AJ54" s="16">
        <f>IF(Table13[[#This Row],[PM LO]]&gt;Table13[[#This Row],[Prior day close]],(Table13[[#This Row],[PM Hi]]-Table13[[#This Row],[MKT Open Price]])/(Table13[[#This Row],[PM Hi]]-Table13[[#This Row],[Prior day close]]),(Table13[[#This Row],[PM Hi]]-Table13[[#This Row],[MKT Open Price]])/(Table13[[#This Row],[PM Hi]]-Table13[[#This Row],[PM LO]]))</f>
        <v>0.24131274131274133</v>
      </c>
      <c r="AK54" s="16">
        <f>IF(Table13[[#This Row],[Prior day close]]&lt;Table13[[#This Row],[PM LO]],(I54-K54)/(I54-Table13[[#This Row],[Prior day close]]),(I54-K54)/(I54-Table13[[#This Row],[PM LO]]))</f>
        <v>0.35623409669211209</v>
      </c>
      <c r="AL54" s="16">
        <f>Table13[[#This Row],[Spike % on open before drop]]+AM54</f>
        <v>0.2037500000000001</v>
      </c>
      <c r="AM54" s="16">
        <f t="shared" si="3"/>
        <v>0.17500000000000004</v>
      </c>
      <c r="AN54" s="18">
        <f>IF($J54&gt;=$F54,($J54-$K54)/($J54),(IF($H54&lt;=$K54,($F54-$H54)/($F54),(Table13[[#This Row],[PM Hi]]-Table13[[#This Row],[Lowest lo from open to squeeze]])/(Table13[[#This Row],[PM Hi]]))))</f>
        <v>0.2864864864864865</v>
      </c>
      <c r="AO54" s="18">
        <f>IF(Table13[[#This Row],[Prior day close]]&lt;=Table13[[#This Row],[PM LO]],IF($J54&gt;=$F54,($J54-$K54)/($J54-Table13[[#This Row],[Prior day close]]),(IF($H54&lt;=$K54,($F54-$H54)/($F54-Table13[[#This Row],[Prior day close]]),(Table13[[#This Row],[PM Hi]]-Table13[[#This Row],[Lowest lo from open to squeeze]])/(Table13[[#This Row],[PM Hi]]-Table13[[#This Row],[Prior day close]])))),IF($J54&gt;=$F54,($J54-$K54)/($J54-Table13[[#This Row],[PM LO]]),(IF($H54&lt;=$K54,($F54-$H54)/($F54-Table13[[#This Row],[PM LO]]),(Table13[[#This Row],[PM Hi]]-Table13[[#This Row],[Lowest lo from open to squeeze]])/(Table13[[#This Row],[PM Hi]]-Table13[[#This Row],[PM LO]])))))</f>
        <v>0.51158301158301167</v>
      </c>
      <c r="AP54" s="18">
        <f>IF(J54&gt;=F54,(J54-K54)/(J54-D54),(IF(H54&lt;=K54,(F54-H54)/(F54-D54),(Table13[[#This Row],[PM Hi]]-Table13[[#This Row],[Lowest lo from open to squeeze]])/(Table13[[#This Row],[PM Hi]]-Table13[[#This Row],[Prior day close]]))))</f>
        <v>0.51960784313725505</v>
      </c>
      <c r="AQ54" s="17">
        <f>390+Table13[[#This Row],[Time until ideal entry point (mins) from open]]</f>
        <v>414</v>
      </c>
      <c r="AR54" s="51">
        <f>(Table13[[#This Row],[Time until ideal entry + 390 (6:30)]]+Table13[[#This Row],[Duration of frontside (mins)]])/1440</f>
        <v>0.2986111111111111</v>
      </c>
    </row>
    <row r="55" spans="1:44" x14ac:dyDescent="0.25">
      <c r="A55" s="10" t="s">
        <v>97</v>
      </c>
      <c r="B55" s="11">
        <v>44025</v>
      </c>
      <c r="C55" s="47" t="s">
        <v>71</v>
      </c>
      <c r="D55" s="12">
        <v>1.1499999999999999</v>
      </c>
      <c r="E55" s="13">
        <v>1.18</v>
      </c>
      <c r="F55" s="12">
        <v>2.1800000000000002</v>
      </c>
      <c r="G55" s="12">
        <v>1.1299999999999999</v>
      </c>
      <c r="H55" s="12">
        <v>1.46</v>
      </c>
      <c r="I55" s="12">
        <v>1.54</v>
      </c>
      <c r="J55" s="12">
        <v>1.63</v>
      </c>
      <c r="K55" s="12">
        <v>1.42</v>
      </c>
      <c r="L55" s="12">
        <v>1.94</v>
      </c>
      <c r="M55" s="12">
        <v>1.94</v>
      </c>
      <c r="N55" s="13">
        <v>81548470</v>
      </c>
      <c r="O55" s="12">
        <v>110917868</v>
      </c>
      <c r="P55" s="13">
        <v>38.4</v>
      </c>
      <c r="Q55">
        <v>26.11</v>
      </c>
      <c r="R55" s="14"/>
      <c r="S55" s="13">
        <v>9827815</v>
      </c>
      <c r="T55" s="13" t="s">
        <v>43</v>
      </c>
      <c r="U55" t="s">
        <v>43</v>
      </c>
      <c r="V55">
        <v>4</v>
      </c>
      <c r="W55">
        <v>5</v>
      </c>
      <c r="X55">
        <v>1.45</v>
      </c>
      <c r="Y55">
        <v>28</v>
      </c>
      <c r="Z55" s="15">
        <f>Table13[[#This Row],[Time until ideal entry + 390 (6:30)]]/(1440)</f>
        <v>0.27430555555555558</v>
      </c>
      <c r="AA55" s="18">
        <f t="shared" si="4"/>
        <v>0.89565217391304375</v>
      </c>
      <c r="AB55" s="18">
        <f>IF(Table13[[#This Row],[HOD AFTER PM HI]]&gt;=Table13[[#This Row],[PM Hi]],((Table13[[#This Row],[HOD AFTER PM HI]]-Table13[[#This Row],[Prior day close]])/Table13[[#This Row],[Prior day close]]),Table13[[#This Row],[Prior Close to PM Hi %]])</f>
        <v>0.89565217391304375</v>
      </c>
      <c r="AC55" s="18">
        <f>(Table13[[#This Row],[Price at hi of squeeze]]-Table13[[#This Row],[MKT Open Price]])/Table13[[#This Row],[MKT Open Price]]</f>
        <v>0.25974025974025966</v>
      </c>
      <c r="AD55" s="18">
        <f>(Table13[[#This Row],[Price at hi of squeeze]]-Table13[[#This Row],[PM Hi]])/Table13[[#This Row],[PM Hi]]</f>
        <v>-0.11009174311926614</v>
      </c>
      <c r="AE55" s="18">
        <f t="shared" si="5"/>
        <v>0.36619718309859156</v>
      </c>
      <c r="AF55" s="20">
        <f>Table13[[#This Row],[PM VOL]]/1000000/Table13[[#This Row],[FLOAT(M)]]</f>
        <v>0.37640042129452317</v>
      </c>
      <c r="AG55" s="21">
        <f>(Table13[[#This Row],[Volume]]/1000000)/Table13[[#This Row],[FLOAT(M)]]</f>
        <v>3.1232657985446188</v>
      </c>
      <c r="AH55" s="18">
        <f>(Table13[[#This Row],[Hi of Spike after open before drop]]-Table13[[#This Row],[MKT Open Price]])/Table13[[#This Row],[MKT Open Price]]</f>
        <v>5.844155844155835E-2</v>
      </c>
      <c r="AI55" s="18">
        <f>(Table13[[#This Row],[PM Hi]]-Table13[[#This Row],[MKT Open Price]])/(Table13[[#This Row],[PM Hi]])</f>
        <v>0.29357798165137616</v>
      </c>
      <c r="AJ55" s="16">
        <f>IF(Table13[[#This Row],[PM LO]]&gt;Table13[[#This Row],[Prior day close]],(Table13[[#This Row],[PM Hi]]-Table13[[#This Row],[MKT Open Price]])/(Table13[[#This Row],[PM Hi]]-Table13[[#This Row],[Prior day close]]),(Table13[[#This Row],[PM Hi]]-Table13[[#This Row],[MKT Open Price]])/(Table13[[#This Row],[PM Hi]]-Table13[[#This Row],[PM LO]]))</f>
        <v>0.60952380952380947</v>
      </c>
      <c r="AK55" s="16">
        <f>IF(Table13[[#This Row],[Prior day close]]&lt;Table13[[#This Row],[PM LO]],(I55-K55)/(I55-Table13[[#This Row],[Prior day close]]),(I55-K55)/(I55-Table13[[#This Row],[PM LO]]))</f>
        <v>0.29268292682926844</v>
      </c>
      <c r="AL55" s="16">
        <f>Table13[[#This Row],[Spike % on open before drop]]+AM55</f>
        <v>0.13636363636363635</v>
      </c>
      <c r="AM55" s="16">
        <f t="shared" si="3"/>
        <v>7.792207792207799E-2</v>
      </c>
      <c r="AN55" s="18">
        <f>IF($J55&gt;=$F55,($J55-$K55)/($J55),(IF($H55&lt;=$K55,($F55-$H55)/($F55),(Table13[[#This Row],[PM Hi]]-Table13[[#This Row],[Lowest lo from open to squeeze]])/(Table13[[#This Row],[PM Hi]]))))</f>
        <v>0.34862385321100925</v>
      </c>
      <c r="AO55" s="18">
        <f>IF(Table13[[#This Row],[Prior day close]]&lt;=Table13[[#This Row],[PM LO]],IF($J55&gt;=$F55,($J55-$K55)/($J55-Table13[[#This Row],[Prior day close]]),(IF($H55&lt;=$K55,($F55-$H55)/($F55-Table13[[#This Row],[Prior day close]]),(Table13[[#This Row],[PM Hi]]-Table13[[#This Row],[Lowest lo from open to squeeze]])/(Table13[[#This Row],[PM Hi]]-Table13[[#This Row],[Prior day close]])))),IF($J55&gt;=$F55,($J55-$K55)/($J55-Table13[[#This Row],[PM LO]]),(IF($H55&lt;=$K55,($F55-$H55)/($F55-Table13[[#This Row],[PM LO]]),(Table13[[#This Row],[PM Hi]]-Table13[[#This Row],[Lowest lo from open to squeeze]])/(Table13[[#This Row],[PM Hi]]-Table13[[#This Row],[PM LO]])))))</f>
        <v>0.72380952380952379</v>
      </c>
      <c r="AP55" s="18">
        <f>IF(J55&gt;=F55,(J55-K55)/(J55-D55),(IF(H55&lt;=K55,(F55-H55)/(F55-D55),(Table13[[#This Row],[PM Hi]]-Table13[[#This Row],[Lowest lo from open to squeeze]])/(Table13[[#This Row],[PM Hi]]-Table13[[#This Row],[Prior day close]]))))</f>
        <v>0.73786407766990292</v>
      </c>
      <c r="AQ55" s="17">
        <f>390+Table13[[#This Row],[Time until ideal entry point (mins) from open]]</f>
        <v>395</v>
      </c>
      <c r="AR55" s="51">
        <f>(Table13[[#This Row],[Time until ideal entry + 390 (6:30)]]+Table13[[#This Row],[Duration of frontside (mins)]])/1440</f>
        <v>0.29375000000000001</v>
      </c>
    </row>
    <row r="56" spans="1:44" x14ac:dyDescent="0.25">
      <c r="A56" s="10" t="s">
        <v>96</v>
      </c>
      <c r="B56" s="11">
        <v>44025</v>
      </c>
      <c r="C56" s="47" t="s">
        <v>71</v>
      </c>
      <c r="D56" s="12">
        <v>1.55</v>
      </c>
      <c r="E56" s="13">
        <v>1.36</v>
      </c>
      <c r="F56" s="12">
        <v>3.38</v>
      </c>
      <c r="G56" s="12">
        <v>1.36</v>
      </c>
      <c r="H56" s="12">
        <v>2.98</v>
      </c>
      <c r="I56" s="12">
        <v>3.14</v>
      </c>
      <c r="J56" s="12">
        <v>3.25</v>
      </c>
      <c r="K56" s="12">
        <v>2.77</v>
      </c>
      <c r="L56" s="12">
        <v>3.3</v>
      </c>
      <c r="M56" s="12">
        <v>3.3</v>
      </c>
      <c r="N56" s="13">
        <v>158027140</v>
      </c>
      <c r="O56" s="12">
        <v>284189632</v>
      </c>
      <c r="P56" s="13">
        <v>30.4</v>
      </c>
      <c r="Q56" s="13">
        <v>26.32</v>
      </c>
      <c r="R56" s="13"/>
      <c r="S56" s="13">
        <v>26977189</v>
      </c>
      <c r="T56" s="13" t="s">
        <v>74</v>
      </c>
      <c r="U56" t="s">
        <v>43</v>
      </c>
      <c r="V56">
        <v>8</v>
      </c>
      <c r="W56">
        <v>9</v>
      </c>
      <c r="X56">
        <v>2.81</v>
      </c>
      <c r="Y56">
        <v>11</v>
      </c>
      <c r="Z56" s="15">
        <f>Table13[[#This Row],[Time until ideal entry + 390 (6:30)]]/(1440)</f>
        <v>0.27708333333333335</v>
      </c>
      <c r="AA56" s="18">
        <f t="shared" ref="AA56:AA87" si="6">(F56-D56)/D56</f>
        <v>1.1806451612903224</v>
      </c>
      <c r="AB56" s="18">
        <f>IF(Table13[[#This Row],[HOD AFTER PM HI]]&gt;=Table13[[#This Row],[PM Hi]],((Table13[[#This Row],[HOD AFTER PM HI]]-Table13[[#This Row],[Prior day close]])/Table13[[#This Row],[Prior day close]]),Table13[[#This Row],[Prior Close to PM Hi %]])</f>
        <v>1.1806451612903224</v>
      </c>
      <c r="AC56" s="18">
        <f>(Table13[[#This Row],[Price at hi of squeeze]]-Table13[[#This Row],[MKT Open Price]])/Table13[[#This Row],[MKT Open Price]]</f>
        <v>5.0955414012738752E-2</v>
      </c>
      <c r="AD56" s="18">
        <f>(Table13[[#This Row],[Price at hi of squeeze]]-Table13[[#This Row],[PM Hi]])/Table13[[#This Row],[PM Hi]]</f>
        <v>-2.3668639053254458E-2</v>
      </c>
      <c r="AE56" s="18">
        <f t="shared" si="5"/>
        <v>0.19133574007220208</v>
      </c>
      <c r="AF56" s="20">
        <f>Table13[[#This Row],[PM VOL]]/1000000/Table13[[#This Row],[FLOAT(M)]]</f>
        <v>1.0249691869300912</v>
      </c>
      <c r="AG56" s="23">
        <f>(Table13[[#This Row],[Volume]]/1000000)/Table13[[#This Row],[FLOAT(M)]]</f>
        <v>6.004070668693009</v>
      </c>
      <c r="AH56" s="18">
        <f>(Table13[[#This Row],[Hi of Spike after open before drop]]-Table13[[#This Row],[MKT Open Price]])/Table13[[#This Row],[MKT Open Price]]</f>
        <v>3.5031847133757919E-2</v>
      </c>
      <c r="AI56" s="18">
        <f>(Table13[[#This Row],[PM Hi]]-Table13[[#This Row],[MKT Open Price]])/(Table13[[#This Row],[PM Hi]])</f>
        <v>7.1005917159763246E-2</v>
      </c>
      <c r="AJ56" s="16">
        <f>IF(Table13[[#This Row],[PM LO]]&gt;Table13[[#This Row],[Prior day close]],(Table13[[#This Row],[PM Hi]]-Table13[[#This Row],[MKT Open Price]])/(Table13[[#This Row],[PM Hi]]-Table13[[#This Row],[Prior day close]]),(Table13[[#This Row],[PM Hi]]-Table13[[#This Row],[MKT Open Price]])/(Table13[[#This Row],[PM Hi]]-Table13[[#This Row],[PM LO]]))</f>
        <v>0.11881188118811872</v>
      </c>
      <c r="AK56" s="16">
        <f>IF(Table13[[#This Row],[Prior day close]]&lt;Table13[[#This Row],[PM LO]],(I56-K56)/(I56-Table13[[#This Row],[Prior day close]]),(I56-K56)/(I56-Table13[[#This Row],[PM LO]]))</f>
        <v>0.20786516853932591</v>
      </c>
      <c r="AL56" s="16">
        <f>Table13[[#This Row],[Spike % on open before drop]]+AM56</f>
        <v>0.15286624203821655</v>
      </c>
      <c r="AM56" s="16">
        <f t="shared" si="3"/>
        <v>0.11783439490445863</v>
      </c>
      <c r="AN56" s="18">
        <f>IF($J56&gt;=$F56,($J56-$K56)/($J56),(IF($H56&lt;=$K56,($F56-$H56)/($F56),(Table13[[#This Row],[PM Hi]]-Table13[[#This Row],[Lowest lo from open to squeeze]])/(Table13[[#This Row],[PM Hi]]))))</f>
        <v>0.18047337278106507</v>
      </c>
      <c r="AO56" s="18">
        <f>IF(Table13[[#This Row],[Prior day close]]&lt;=Table13[[#This Row],[PM LO]],IF($J56&gt;=$F56,($J56-$K56)/($J56-Table13[[#This Row],[Prior day close]]),(IF($H56&lt;=$K56,($F56-$H56)/($F56-Table13[[#This Row],[Prior day close]]),(Table13[[#This Row],[PM Hi]]-Table13[[#This Row],[Lowest lo from open to squeeze]])/(Table13[[#This Row],[PM Hi]]-Table13[[#This Row],[Prior day close]])))),IF($J56&gt;=$F56,($J56-$K56)/($J56-Table13[[#This Row],[PM LO]]),(IF($H56&lt;=$K56,($F56-$H56)/($F56-Table13[[#This Row],[PM LO]]),(Table13[[#This Row],[PM Hi]]-Table13[[#This Row],[Lowest lo from open to squeeze]])/(Table13[[#This Row],[PM Hi]]-Table13[[#This Row],[PM LO]])))))</f>
        <v>0.30198019801980197</v>
      </c>
      <c r="AP56" s="18">
        <f>IF(J56&gt;=F56,(J56-K56)/(J56-D56),(IF(H56&lt;=K56,(F56-H56)/(F56-D56),(Table13[[#This Row],[PM Hi]]-Table13[[#This Row],[Lowest lo from open to squeeze]])/(Table13[[#This Row],[PM Hi]]-Table13[[#This Row],[Prior day close]]))))</f>
        <v>0.33333333333333331</v>
      </c>
      <c r="AQ56" s="17">
        <f>390+Table13[[#This Row],[Time until ideal entry point (mins) from open]]</f>
        <v>399</v>
      </c>
      <c r="AR56" s="51">
        <f>(Table13[[#This Row],[Time until ideal entry + 390 (6:30)]]+Table13[[#This Row],[Duration of frontside (mins)]])/1440</f>
        <v>0.28472222222222221</v>
      </c>
    </row>
    <row r="57" spans="1:44" hidden="1" x14ac:dyDescent="0.25">
      <c r="A57" s="24" t="s">
        <v>98</v>
      </c>
      <c r="B57" s="11">
        <v>44026</v>
      </c>
      <c r="C57" s="47" t="s">
        <v>71</v>
      </c>
      <c r="D57" s="12">
        <v>8.85</v>
      </c>
      <c r="E57" s="13">
        <v>9.48</v>
      </c>
      <c r="F57" s="12">
        <v>22.9</v>
      </c>
      <c r="G57" s="12">
        <v>9.48</v>
      </c>
      <c r="H57" s="12">
        <v>16.79</v>
      </c>
      <c r="I57" s="12"/>
      <c r="J57" s="12"/>
      <c r="K57" s="12"/>
      <c r="N57" s="13"/>
      <c r="P57" s="37"/>
      <c r="Q57"/>
      <c r="R57" s="37"/>
      <c r="S57" s="37">
        <v>2534750</v>
      </c>
      <c r="T57" s="37" t="s">
        <v>41</v>
      </c>
      <c r="U57" s="37"/>
      <c r="V57" s="38"/>
      <c r="W57"/>
      <c r="X57" s="39"/>
      <c r="Y57"/>
      <c r="Z57" s="40">
        <f>Table13[[#This Row],[Time until ideal entry + 390 (6:30)]]/(1440)</f>
        <v>0.27083333333333331</v>
      </c>
      <c r="AA57" s="18">
        <f t="shared" si="6"/>
        <v>1.5875706214689265</v>
      </c>
      <c r="AB57" s="18">
        <f>IF(Table13[[#This Row],[HOD AFTER PM HI]]&gt;=Table13[[#This Row],[PM Hi]],((Table13[[#This Row],[HOD AFTER PM HI]]-Table13[[#This Row],[Prior day close]])/Table13[[#This Row],[Prior day close]]),Table13[[#This Row],[Prior Close to PM Hi %]])</f>
        <v>1.5875706214689265</v>
      </c>
      <c r="AC57" s="42" t="e">
        <f>(Table13[[#This Row],[Price at hi of squeeze]]-Table13[[#This Row],[MKT Open Price]])/Table13[[#This Row],[MKT Open Price]]</f>
        <v>#DIV/0!</v>
      </c>
      <c r="AD57" s="18">
        <f>(Table13[[#This Row],[Price at hi of squeeze]]-Table13[[#This Row],[PM Hi]])/Table13[[#This Row],[PM Hi]]</f>
        <v>-1</v>
      </c>
      <c r="AE57" s="18" t="e">
        <f t="shared" si="5"/>
        <v>#DIV/0!</v>
      </c>
      <c r="AF57" s="20" t="e">
        <f>Table13[[#This Row],[PM VOL]]/1000000/Table13[[#This Row],[FLOAT(M)]]</f>
        <v>#DIV/0!</v>
      </c>
      <c r="AG57" s="23" t="e">
        <f>(Table13[[#This Row],[Volume]]/1000000)/Table13[[#This Row],[FLOAT(M)]]</f>
        <v>#DIV/0!</v>
      </c>
      <c r="AI57" s="18">
        <f>(Table13[[#This Row],[PM Hi]]-Table13[[#This Row],[MKT Open Price]])/(Table13[[#This Row],[PM Hi]])</f>
        <v>1</v>
      </c>
      <c r="AJ57" s="16">
        <f>IF(Table13[[#This Row],[PM LO]]&gt;Table13[[#This Row],[Prior day close]],(Table13[[#This Row],[PM Hi]]-Table13[[#This Row],[MKT Open Price]])/(Table13[[#This Row],[PM Hi]]-Table13[[#This Row],[Prior day close]]),(Table13[[#This Row],[PM Hi]]-Table13[[#This Row],[MKT Open Price]])/(Table13[[#This Row],[PM Hi]]-Table13[[#This Row],[PM LO]]))</f>
        <v>1.6298932384341638</v>
      </c>
      <c r="AK57" s="18">
        <f>IF(Table13[[#This Row],[Prior day close]]&lt;Table13[[#This Row],[PM LO]],(I57-K57)/(I57-Table13[[#This Row],[Prior day close]]),(I57-K57)/(I57-Table13[[#This Row],[PM LO]]))</f>
        <v>0</v>
      </c>
      <c r="AL57" s="18">
        <f>Table13[[#This Row],[Spike % on open before drop]]+AM57</f>
        <v>0</v>
      </c>
      <c r="AM57" s="17"/>
      <c r="AN57" s="16"/>
      <c r="AO57" s="18">
        <f>IF(Table13[[#This Row],[Prior day close]]&lt;=Table13[[#This Row],[PM LO]],IF($J57&gt;=$F57,($J57-$K57)/($J57-Table13[[#This Row],[Prior day close]]),(IF($H57&lt;=$K57,($F57-$H57)/($F57-Table13[[#This Row],[Prior day close]]),(Table13[[#This Row],[PM Hi]]-Table13[[#This Row],[Lowest lo from open to squeeze]])/(Table13[[#This Row],[PM Hi]]-Table13[[#This Row],[Prior day close]])))),IF($J57&gt;=$F57,($J57-$K57)/($J57-Table13[[#This Row],[PM LO]]),(IF($H57&lt;=$K57,($F57-$H57)/($F57-Table13[[#This Row],[PM LO]]),(Table13[[#This Row],[PM Hi]]-Table13[[#This Row],[Lowest lo from open to squeeze]])/(Table13[[#This Row],[PM Hi]]-Table13[[#This Row],[PM LO]])))))</f>
        <v>1.6298932384341638</v>
      </c>
      <c r="AP57" s="18"/>
      <c r="AQ57" s="17">
        <f>390+Table13[[#This Row],[Time until ideal entry point (mins) from open]]</f>
        <v>390</v>
      </c>
      <c r="AR57" s="51">
        <f>(Table13[[#This Row],[Time until ideal entry + 390 (6:30)]]+Table13[[#This Row],[Duration of frontside (mins)]])/1440</f>
        <v>0.27083333333333331</v>
      </c>
    </row>
    <row r="58" spans="1:44" s="36" customFormat="1" x14ac:dyDescent="0.25">
      <c r="A58" s="10" t="s">
        <v>99</v>
      </c>
      <c r="B58" s="11">
        <v>44027</v>
      </c>
      <c r="C58" s="47" t="s">
        <v>71</v>
      </c>
      <c r="D58" s="12">
        <v>2.29</v>
      </c>
      <c r="E58" s="13">
        <v>2.23</v>
      </c>
      <c r="F58" s="12">
        <v>3.25</v>
      </c>
      <c r="G58" s="12">
        <v>2.23</v>
      </c>
      <c r="H58" s="12">
        <v>2.7</v>
      </c>
      <c r="I58" s="12">
        <v>2.77</v>
      </c>
      <c r="J58" s="12">
        <v>2.81</v>
      </c>
      <c r="K58" s="12">
        <v>2.64</v>
      </c>
      <c r="L58" s="12">
        <v>10.3</v>
      </c>
      <c r="M58" s="12">
        <v>10.3</v>
      </c>
      <c r="N58" s="13">
        <v>370000000</v>
      </c>
      <c r="O58" s="12">
        <v>2097612000</v>
      </c>
      <c r="P58" s="13">
        <v>30.28</v>
      </c>
      <c r="Q58" s="13">
        <v>6.08</v>
      </c>
      <c r="R58" s="13"/>
      <c r="S58" s="13">
        <v>4253067</v>
      </c>
      <c r="T58" s="13"/>
      <c r="U58" t="s">
        <v>43</v>
      </c>
      <c r="V58">
        <v>2</v>
      </c>
      <c r="W58">
        <v>3</v>
      </c>
      <c r="X58">
        <v>2.7</v>
      </c>
      <c r="Y58">
        <v>302</v>
      </c>
      <c r="Z58" s="15">
        <f>Table13[[#This Row],[Time until ideal entry + 390 (6:30)]]/(1440)</f>
        <v>0.27291666666666664</v>
      </c>
      <c r="AA58" s="18">
        <f t="shared" si="6"/>
        <v>0.41921397379912662</v>
      </c>
      <c r="AB58" s="18">
        <f>IF(Table13[[#This Row],[HOD AFTER PM HI]]&gt;=Table13[[#This Row],[PM Hi]],((Table13[[#This Row],[HOD AFTER PM HI]]-Table13[[#This Row],[Prior day close]])/Table13[[#This Row],[Prior day close]]),Table13[[#This Row],[Prior Close to PM Hi %]])</f>
        <v>3.4978165938864634</v>
      </c>
      <c r="AC58" s="18">
        <f>(Table13[[#This Row],[Price at hi of squeeze]]-Table13[[#This Row],[MKT Open Price]])/Table13[[#This Row],[MKT Open Price]]</f>
        <v>2.7184115523465708</v>
      </c>
      <c r="AD58" s="18">
        <f>(Table13[[#This Row],[Price at hi of squeeze]]-Table13[[#This Row],[PM Hi]])/Table13[[#This Row],[PM Hi]]</f>
        <v>2.1692307692307695</v>
      </c>
      <c r="AE58" s="18">
        <f t="shared" si="5"/>
        <v>2.9015151515151514</v>
      </c>
      <c r="AF58" s="20">
        <f>Table13[[#This Row],[PM VOL]]/1000000/Table13[[#This Row],[FLOAT(M)]]</f>
        <v>0.69951759868421048</v>
      </c>
      <c r="AG58" s="23">
        <f>(Table13[[#This Row],[Volume]]/1000000)/Table13[[#This Row],[FLOAT(M)]]</f>
        <v>60.855263157894733</v>
      </c>
      <c r="AH58" s="18">
        <f>(Table13[[#This Row],[Hi of Spike after open before drop]]-Table13[[#This Row],[MKT Open Price]])/Table13[[#This Row],[MKT Open Price]]</f>
        <v>1.4440433212996403E-2</v>
      </c>
      <c r="AI58" s="18">
        <f>(Table13[[#This Row],[PM Hi]]-Table13[[#This Row],[MKT Open Price]])/(Table13[[#This Row],[PM Hi]])</f>
        <v>0.14769230769230768</v>
      </c>
      <c r="AJ58" s="16">
        <f>IF(Table13[[#This Row],[PM LO]]&gt;Table13[[#This Row],[Prior day close]],(Table13[[#This Row],[PM Hi]]-Table13[[#This Row],[MKT Open Price]])/(Table13[[#This Row],[PM Hi]]-Table13[[#This Row],[Prior day close]]),(Table13[[#This Row],[PM Hi]]-Table13[[#This Row],[MKT Open Price]])/(Table13[[#This Row],[PM Hi]]-Table13[[#This Row],[PM LO]]))</f>
        <v>0.47058823529411764</v>
      </c>
      <c r="AK58" s="16">
        <f>IF(Table13[[#This Row],[Prior day close]]&lt;Table13[[#This Row],[PM LO]],(I58-K58)/(I58-Table13[[#This Row],[Prior day close]]),(I58-K58)/(I58-Table13[[#This Row],[PM LO]]))</f>
        <v>0.24074074074074053</v>
      </c>
      <c r="AL58" s="16">
        <f>Table13[[#This Row],[Spike % on open before drop]]+AM58</f>
        <v>6.1371841155234627E-2</v>
      </c>
      <c r="AM58" s="16">
        <f t="shared" ref="AM58:AM89" si="7">(I58-K58)/I58</f>
        <v>4.6931407942238226E-2</v>
      </c>
      <c r="AN58" s="18">
        <f>IF($J58&gt;=$F58,($J58-$K58)/($J58),(IF($H58&lt;=$K58,($F58-$H58)/($F58),(Table13[[#This Row],[PM Hi]]-Table13[[#This Row],[Lowest lo from open to squeeze]])/(Table13[[#This Row],[PM Hi]]))))</f>
        <v>0.18769230769230766</v>
      </c>
      <c r="AO58" s="18">
        <f>IF(Table13[[#This Row],[Prior day close]]&lt;=Table13[[#This Row],[PM LO]],IF($J58&gt;=$F58,($J58-$K58)/($J58-Table13[[#This Row],[Prior day close]]),(IF($H58&lt;=$K58,($F58-$H58)/($F58-Table13[[#This Row],[Prior day close]]),(Table13[[#This Row],[PM Hi]]-Table13[[#This Row],[Lowest lo from open to squeeze]])/(Table13[[#This Row],[PM Hi]]-Table13[[#This Row],[Prior day close]])))),IF($J58&gt;=$F58,($J58-$K58)/($J58-Table13[[#This Row],[PM LO]]),(IF($H58&lt;=$K58,($F58-$H58)/($F58-Table13[[#This Row],[PM LO]]),(Table13[[#This Row],[PM Hi]]-Table13[[#This Row],[Lowest lo from open to squeeze]])/(Table13[[#This Row],[PM Hi]]-Table13[[#This Row],[PM LO]])))))</f>
        <v>0.59803921568627438</v>
      </c>
      <c r="AP58" s="18">
        <f>IF(J58&gt;=F58,(J58-K58)/(J58-D58),(IF(H58&lt;=K58,(F58-H58)/(F58-D58),(Table13[[#This Row],[PM Hi]]-Table13[[#This Row],[Lowest lo from open to squeeze]])/(Table13[[#This Row],[PM Hi]]-Table13[[#This Row],[Prior day close]]))))</f>
        <v>0.63541666666666652</v>
      </c>
      <c r="AQ58" s="17">
        <f>390+Table13[[#This Row],[Time until ideal entry point (mins) from open]]</f>
        <v>393</v>
      </c>
      <c r="AR58" s="51">
        <f>(Table13[[#This Row],[Time until ideal entry + 390 (6:30)]]+Table13[[#This Row],[Duration of frontside (mins)]])/1440</f>
        <v>0.4826388888888889</v>
      </c>
    </row>
    <row r="59" spans="1:44" x14ac:dyDescent="0.25">
      <c r="A59" s="10" t="s">
        <v>100</v>
      </c>
      <c r="B59" s="11">
        <v>44029</v>
      </c>
      <c r="C59" s="47" t="s">
        <v>71</v>
      </c>
      <c r="D59" s="12">
        <v>4.7300000000000004</v>
      </c>
      <c r="E59" s="13">
        <v>5.75</v>
      </c>
      <c r="F59" s="12">
        <v>10.83</v>
      </c>
      <c r="G59" s="12">
        <v>5.75</v>
      </c>
      <c r="H59" s="12">
        <v>8.7200000000000006</v>
      </c>
      <c r="I59" s="12">
        <v>9.6300000000000008</v>
      </c>
      <c r="J59" s="12">
        <v>9.98</v>
      </c>
      <c r="K59" s="12">
        <v>8</v>
      </c>
      <c r="L59" s="12">
        <v>15.71</v>
      </c>
      <c r="M59" s="12">
        <v>12.7</v>
      </c>
      <c r="N59" s="13">
        <v>95312904</v>
      </c>
      <c r="O59" s="12">
        <v>961352552</v>
      </c>
      <c r="P59" s="13">
        <v>62.98</v>
      </c>
      <c r="Q59">
        <v>5.82</v>
      </c>
      <c r="R59" s="14"/>
      <c r="S59" s="13">
        <v>3705243</v>
      </c>
      <c r="T59" s="13"/>
      <c r="U59" t="s">
        <v>43</v>
      </c>
      <c r="V59">
        <v>24</v>
      </c>
      <c r="W59">
        <v>25</v>
      </c>
      <c r="X59">
        <v>8.14</v>
      </c>
      <c r="Y59">
        <v>48</v>
      </c>
      <c r="Z59" s="15">
        <f>Table13[[#This Row],[Time until ideal entry + 390 (6:30)]]/(1440)</f>
        <v>0.28819444444444442</v>
      </c>
      <c r="AA59" s="18">
        <f t="shared" si="6"/>
        <v>1.2896405919661731</v>
      </c>
      <c r="AB59" s="18">
        <f>IF(Table13[[#This Row],[HOD AFTER PM HI]]&gt;=Table13[[#This Row],[PM Hi]],((Table13[[#This Row],[HOD AFTER PM HI]]-Table13[[#This Row],[Prior day close]])/Table13[[#This Row],[Prior day close]]),Table13[[#This Row],[Prior Close to PM Hi %]])</f>
        <v>2.3213530655391121</v>
      </c>
      <c r="AC59" s="18">
        <f>(Table13[[#This Row],[Price at hi of squeeze]]-Table13[[#This Row],[MKT Open Price]])/Table13[[#This Row],[MKT Open Price]]</f>
        <v>0.31879543094496349</v>
      </c>
      <c r="AD59" s="18">
        <f>(Table13[[#This Row],[Price at hi of squeeze]]-Table13[[#This Row],[PM Hi]])/Table13[[#This Row],[PM Hi]]</f>
        <v>0.17266851338873493</v>
      </c>
      <c r="AE59" s="18">
        <f t="shared" si="5"/>
        <v>0.58749999999999991</v>
      </c>
      <c r="AF59" s="20">
        <f>Table13[[#This Row],[PM VOL]]/1000000/Table13[[#This Row],[FLOAT(M)]]</f>
        <v>0.63663969072164939</v>
      </c>
      <c r="AG59" s="21">
        <f>(Table13[[#This Row],[Volume]]/1000000)/Table13[[#This Row],[FLOAT(M)]]</f>
        <v>16.37678762886598</v>
      </c>
      <c r="AH59" s="18">
        <f>(Table13[[#This Row],[Hi of Spike after open before drop]]-Table13[[#This Row],[MKT Open Price]])/Table13[[#This Row],[MKT Open Price]]</f>
        <v>3.6344755970924153E-2</v>
      </c>
      <c r="AI59" s="18">
        <f>(Table13[[#This Row],[PM Hi]]-Table13[[#This Row],[MKT Open Price]])/(Table13[[#This Row],[PM Hi]])</f>
        <v>0.11080332409972292</v>
      </c>
      <c r="AJ59" s="16">
        <f>IF(Table13[[#This Row],[PM LO]]&gt;Table13[[#This Row],[Prior day close]],(Table13[[#This Row],[PM Hi]]-Table13[[#This Row],[MKT Open Price]])/(Table13[[#This Row],[PM Hi]]-Table13[[#This Row],[Prior day close]]),(Table13[[#This Row],[PM Hi]]-Table13[[#This Row],[MKT Open Price]])/(Table13[[#This Row],[PM Hi]]-Table13[[#This Row],[PM LO]]))</f>
        <v>0.19672131147540972</v>
      </c>
      <c r="AK59" s="16">
        <f>IF(Table13[[#This Row],[Prior day close]]&lt;Table13[[#This Row],[PM LO]],(I59-K59)/(I59-Table13[[#This Row],[Prior day close]]),(I59-K59)/(I59-Table13[[#This Row],[PM LO]]))</f>
        <v>0.33265306122448995</v>
      </c>
      <c r="AL59" s="16">
        <f>Table13[[#This Row],[Spike % on open before drop]]+AM59</f>
        <v>0.20560747663551404</v>
      </c>
      <c r="AM59" s="16">
        <f t="shared" si="7"/>
        <v>0.16926272066458989</v>
      </c>
      <c r="AN59" s="18">
        <f>IF($J59&gt;=$F59,($J59-$K59)/($J59),(IF($H59&lt;=$K59,($F59-$H59)/($F59),(Table13[[#This Row],[PM Hi]]-Table13[[#This Row],[Lowest lo from open to squeeze]])/(Table13[[#This Row],[PM Hi]]))))</f>
        <v>0.26131117266851339</v>
      </c>
      <c r="AO59" s="18">
        <f>IF(Table13[[#This Row],[Prior day close]]&lt;=Table13[[#This Row],[PM LO]],IF($J59&gt;=$F59,($J59-$K59)/($J59-Table13[[#This Row],[Prior day close]]),(IF($H59&lt;=$K59,($F59-$H59)/($F59-Table13[[#This Row],[Prior day close]]),(Table13[[#This Row],[PM Hi]]-Table13[[#This Row],[Lowest lo from open to squeeze]])/(Table13[[#This Row],[PM Hi]]-Table13[[#This Row],[Prior day close]])))),IF($J59&gt;=$F59,($J59-$K59)/($J59-Table13[[#This Row],[PM LO]]),(IF($H59&lt;=$K59,($F59-$H59)/($F59-Table13[[#This Row],[PM LO]]),(Table13[[#This Row],[PM Hi]]-Table13[[#This Row],[Lowest lo from open to squeeze]])/(Table13[[#This Row],[PM Hi]]-Table13[[#This Row],[PM LO]])))))</f>
        <v>0.46393442622950826</v>
      </c>
      <c r="AP59" s="18">
        <f>IF(J59&gt;=F59,(J59-K59)/(J59-D59),(IF(H59&lt;=K59,(F59-H59)/(F59-D59),(Table13[[#This Row],[PM Hi]]-Table13[[#This Row],[Lowest lo from open to squeeze]])/(Table13[[#This Row],[PM Hi]]-Table13[[#This Row],[Prior day close]]))))</f>
        <v>0.46393442622950826</v>
      </c>
      <c r="AQ59" s="17">
        <f>390+Table13[[#This Row],[Time until ideal entry point (mins) from open]]</f>
        <v>415</v>
      </c>
      <c r="AR59" s="51">
        <f>(Table13[[#This Row],[Time until ideal entry + 390 (6:30)]]+Table13[[#This Row],[Duration of frontside (mins)]])/1440</f>
        <v>0.3215277777777778</v>
      </c>
    </row>
    <row r="60" spans="1:44" s="26" customFormat="1" x14ac:dyDescent="0.25">
      <c r="A60" s="10" t="s">
        <v>81</v>
      </c>
      <c r="B60" s="44">
        <v>44032</v>
      </c>
      <c r="C60" s="47" t="s">
        <v>71</v>
      </c>
      <c r="D60" s="12">
        <v>6.37</v>
      </c>
      <c r="E60" s="13">
        <v>6.74</v>
      </c>
      <c r="F60" s="12">
        <v>15.67</v>
      </c>
      <c r="G60" s="12">
        <v>6.74</v>
      </c>
      <c r="H60" s="12">
        <v>11.07</v>
      </c>
      <c r="I60" s="12">
        <v>10.5</v>
      </c>
      <c r="J60" s="12">
        <v>10.63</v>
      </c>
      <c r="K60" s="12">
        <v>10.130000000000001</v>
      </c>
      <c r="L60" s="12">
        <v>19.53</v>
      </c>
      <c r="M60" s="12">
        <v>19.53</v>
      </c>
      <c r="N60" s="13">
        <v>67448138</v>
      </c>
      <c r="O60" s="12">
        <v>705411894</v>
      </c>
      <c r="P60" s="13">
        <v>28.37</v>
      </c>
      <c r="Q60">
        <v>3.71</v>
      </c>
      <c r="R60" s="14"/>
      <c r="S60" s="13">
        <v>1100393</v>
      </c>
      <c r="T60" s="13"/>
      <c r="U60" t="s">
        <v>43</v>
      </c>
      <c r="V60">
        <v>1</v>
      </c>
      <c r="W60">
        <v>2</v>
      </c>
      <c r="X60">
        <v>10.61</v>
      </c>
      <c r="Y60">
        <v>40</v>
      </c>
      <c r="Z60" s="15">
        <f>Table13[[#This Row],[Time until ideal entry + 390 (6:30)]]/(1440)</f>
        <v>0.2722222222222222</v>
      </c>
      <c r="AA60" s="18">
        <f t="shared" si="6"/>
        <v>1.4599686028257457</v>
      </c>
      <c r="AB60" s="18">
        <f>IF(Table13[[#This Row],[HOD AFTER PM HI]]&gt;=Table13[[#This Row],[PM Hi]],((Table13[[#This Row],[HOD AFTER PM HI]]-Table13[[#This Row],[Prior day close]])/Table13[[#This Row],[Prior day close]]),Table13[[#This Row],[Prior Close to PM Hi %]])</f>
        <v>2.0659340659340657</v>
      </c>
      <c r="AC60" s="18">
        <f>(Table13[[#This Row],[Price at hi of squeeze]]-Table13[[#This Row],[MKT Open Price]])/Table13[[#This Row],[MKT Open Price]]</f>
        <v>0.8600000000000001</v>
      </c>
      <c r="AD60" s="18">
        <f>(Table13[[#This Row],[Price at hi of squeeze]]-Table13[[#This Row],[PM Hi]])/Table13[[#This Row],[PM Hi]]</f>
        <v>0.246330567964263</v>
      </c>
      <c r="AE60" s="18">
        <f t="shared" si="5"/>
        <v>0.92793682132280353</v>
      </c>
      <c r="AF60" s="20">
        <f>Table13[[#This Row],[PM VOL]]/1000000/Table13[[#This Row],[FLOAT(M)]]</f>
        <v>0.29660188679245281</v>
      </c>
      <c r="AG60" s="21">
        <f>(Table13[[#This Row],[Volume]]/1000000)/Table13[[#This Row],[FLOAT(M)]]</f>
        <v>18.180091105121296</v>
      </c>
      <c r="AH60" s="18">
        <f>(Table13[[#This Row],[Hi of Spike after open before drop]]-Table13[[#This Row],[MKT Open Price]])/Table13[[#This Row],[MKT Open Price]]</f>
        <v>1.2380952380952456E-2</v>
      </c>
      <c r="AI60" s="18">
        <f>(Table13[[#This Row],[PM Hi]]-Table13[[#This Row],[MKT Open Price]])/(Table13[[#This Row],[PM Hi]])</f>
        <v>0.3299298021697511</v>
      </c>
      <c r="AJ60" s="16">
        <f>IF(Table13[[#This Row],[PM LO]]&gt;Table13[[#This Row],[Prior day close]],(Table13[[#This Row],[PM Hi]]-Table13[[#This Row],[MKT Open Price]])/(Table13[[#This Row],[PM Hi]]-Table13[[#This Row],[Prior day close]]),(Table13[[#This Row],[PM Hi]]-Table13[[#This Row],[MKT Open Price]])/(Table13[[#This Row],[PM Hi]]-Table13[[#This Row],[PM LO]]))</f>
        <v>0.55591397849462365</v>
      </c>
      <c r="AK60" s="16">
        <f>IF(Table13[[#This Row],[Prior day close]]&lt;Table13[[#This Row],[PM LO]],(I60-K60)/(I60-Table13[[#This Row],[Prior day close]]),(I60-K60)/(I60-Table13[[#This Row],[PM LO]]))</f>
        <v>8.9588377723970755E-2</v>
      </c>
      <c r="AL60" s="16">
        <f>Table13[[#This Row],[Spike % on open before drop]]+AM60</f>
        <v>4.7619047619047623E-2</v>
      </c>
      <c r="AM60" s="16">
        <f t="shared" si="7"/>
        <v>3.5238095238095166E-2</v>
      </c>
      <c r="AN60" s="18">
        <f>IF($J60&gt;=$F60,($J60-$K60)/($J60),(IF($H60&lt;=$K60,($F60-$H60)/($F60),(Table13[[#This Row],[PM Hi]]-Table13[[#This Row],[Lowest lo from open to squeeze]])/(Table13[[#This Row],[PM Hi]]))))</f>
        <v>0.35354179961710269</v>
      </c>
      <c r="AO60" s="18">
        <f>IF(Table13[[#This Row],[Prior day close]]&lt;=Table13[[#This Row],[PM LO]],IF($J60&gt;=$F60,($J60-$K60)/($J60-Table13[[#This Row],[Prior day close]]),(IF($H60&lt;=$K60,($F60-$H60)/($F60-Table13[[#This Row],[Prior day close]]),(Table13[[#This Row],[PM Hi]]-Table13[[#This Row],[Lowest lo from open to squeeze]])/(Table13[[#This Row],[PM Hi]]-Table13[[#This Row],[Prior day close]])))),IF($J60&gt;=$F60,($J60-$K60)/($J60-Table13[[#This Row],[PM LO]]),(IF($H60&lt;=$K60,($F60-$H60)/($F60-Table13[[#This Row],[PM LO]]),(Table13[[#This Row],[PM Hi]]-Table13[[#This Row],[Lowest lo from open to squeeze]])/(Table13[[#This Row],[PM Hi]]-Table13[[#This Row],[PM LO]])))))</f>
        <v>0.59569892473118269</v>
      </c>
      <c r="AP60" s="18">
        <f>IF(J60&gt;=F60,(J60-K60)/(J60-D60),(IF(H60&lt;=K60,(F60-H60)/(F60-D60),(Table13[[#This Row],[PM Hi]]-Table13[[#This Row],[Lowest lo from open to squeeze]])/(Table13[[#This Row],[PM Hi]]-Table13[[#This Row],[Prior day close]]))))</f>
        <v>0.59569892473118269</v>
      </c>
      <c r="AQ60" s="17">
        <f>390+Table13[[#This Row],[Time until ideal entry point (mins) from open]]</f>
        <v>392</v>
      </c>
      <c r="AR60" s="51">
        <f>(Table13[[#This Row],[Time until ideal entry + 390 (6:30)]]+Table13[[#This Row],[Duration of frontside (mins)]])/1440</f>
        <v>0.3</v>
      </c>
    </row>
    <row r="61" spans="1:44" s="26" customFormat="1" x14ac:dyDescent="0.25">
      <c r="A61" s="10" t="s">
        <v>64</v>
      </c>
      <c r="B61" s="11">
        <v>44032</v>
      </c>
      <c r="C61" s="47" t="s">
        <v>71</v>
      </c>
      <c r="D61" s="12">
        <v>2.04</v>
      </c>
      <c r="E61" s="13">
        <v>3.7</v>
      </c>
      <c r="F61" s="12">
        <v>5.39</v>
      </c>
      <c r="G61" s="12">
        <v>2.14</v>
      </c>
      <c r="H61" s="12">
        <v>4.9000000000000004</v>
      </c>
      <c r="I61" s="12">
        <v>4.8899999999999997</v>
      </c>
      <c r="J61" s="12">
        <v>5</v>
      </c>
      <c r="K61" s="12">
        <v>4.03</v>
      </c>
      <c r="L61" s="12">
        <v>5.24</v>
      </c>
      <c r="M61" s="12">
        <v>5.24</v>
      </c>
      <c r="N61" s="13">
        <v>64184852</v>
      </c>
      <c r="O61" s="12">
        <v>190308086</v>
      </c>
      <c r="P61" s="13">
        <v>12.71</v>
      </c>
      <c r="Q61">
        <v>5.13</v>
      </c>
      <c r="R61" s="14"/>
      <c r="S61" s="13">
        <v>12827663</v>
      </c>
      <c r="T61" s="13" t="s">
        <v>43</v>
      </c>
      <c r="U61" t="s">
        <v>43</v>
      </c>
      <c r="V61">
        <v>24</v>
      </c>
      <c r="W61">
        <v>25</v>
      </c>
      <c r="X61">
        <v>4.0599999999999996</v>
      </c>
      <c r="Y61">
        <v>19</v>
      </c>
      <c r="Z61" s="15">
        <f>Table13[[#This Row],[Time until ideal entry + 390 (6:30)]]/(1440)</f>
        <v>0.28819444444444442</v>
      </c>
      <c r="AA61" s="18">
        <f t="shared" si="6"/>
        <v>1.6421568627450978</v>
      </c>
      <c r="AB61" s="18">
        <f>IF(Table13[[#This Row],[HOD AFTER PM HI]]&gt;=Table13[[#This Row],[PM Hi]],((Table13[[#This Row],[HOD AFTER PM HI]]-Table13[[#This Row],[Prior day close]])/Table13[[#This Row],[Prior day close]]),Table13[[#This Row],[Prior Close to PM Hi %]])</f>
        <v>1.6421568627450978</v>
      </c>
      <c r="AC61" s="18">
        <f>(Table13[[#This Row],[Price at hi of squeeze]]-Table13[[#This Row],[MKT Open Price]])/Table13[[#This Row],[MKT Open Price]]</f>
        <v>7.1574642126789476E-2</v>
      </c>
      <c r="AD61" s="18">
        <f>(Table13[[#This Row],[Price at hi of squeeze]]-Table13[[#This Row],[PM Hi]])/Table13[[#This Row],[PM Hi]]</f>
        <v>-2.782931354359916E-2</v>
      </c>
      <c r="AE61" s="18">
        <f t="shared" si="5"/>
        <v>0.30024813895781632</v>
      </c>
      <c r="AF61" s="20">
        <f>Table13[[#This Row],[PM VOL]]/1000000/Table13[[#This Row],[FLOAT(M)]]</f>
        <v>2.5005191033138399</v>
      </c>
      <c r="AG61" s="21">
        <f>(Table13[[#This Row],[Volume]]/1000000)/Table13[[#This Row],[FLOAT(M)]]</f>
        <v>12.511667056530216</v>
      </c>
      <c r="AH61" s="18">
        <f>(Table13[[#This Row],[Hi of Spike after open before drop]]-Table13[[#This Row],[MKT Open Price]])/Table13[[#This Row],[MKT Open Price]]</f>
        <v>2.2494887525562439E-2</v>
      </c>
      <c r="AI61" s="18">
        <f>(Table13[[#This Row],[PM Hi]]-Table13[[#This Row],[MKT Open Price]])/(Table13[[#This Row],[PM Hi]])</f>
        <v>9.27643784786642E-2</v>
      </c>
      <c r="AJ61" s="16">
        <f>IF(Table13[[#This Row],[PM LO]]&gt;Table13[[#This Row],[Prior day close]],(Table13[[#This Row],[PM Hi]]-Table13[[#This Row],[MKT Open Price]])/(Table13[[#This Row],[PM Hi]]-Table13[[#This Row],[Prior day close]]),(Table13[[#This Row],[PM Hi]]-Table13[[#This Row],[MKT Open Price]])/(Table13[[#This Row],[PM Hi]]-Table13[[#This Row],[PM LO]]))</f>
        <v>0.1492537313432836</v>
      </c>
      <c r="AK61" s="16">
        <f>IF(Table13[[#This Row],[Prior day close]]&lt;Table13[[#This Row],[PM LO]],(I61-K61)/(I61-Table13[[#This Row],[Prior day close]]),(I61-K61)/(I61-Table13[[#This Row],[PM LO]]))</f>
        <v>0.30175438596491211</v>
      </c>
      <c r="AL61" s="16">
        <f>Table13[[#This Row],[Spike % on open before drop]]+AM61</f>
        <v>0.19836400817995906</v>
      </c>
      <c r="AM61" s="16">
        <f t="shared" si="7"/>
        <v>0.17586912065439661</v>
      </c>
      <c r="AN61" s="18">
        <f>IF($J61&gt;=$F61,($J61-$K61)/($J61),(IF($H61&lt;=$K61,($F61-$H61)/($F61),(Table13[[#This Row],[PM Hi]]-Table13[[#This Row],[Lowest lo from open to squeeze]])/(Table13[[#This Row],[PM Hi]]))))</f>
        <v>0.25231910946196651</v>
      </c>
      <c r="AO61" s="18">
        <f>IF(Table13[[#This Row],[Prior day close]]&lt;=Table13[[#This Row],[PM LO]],IF($J61&gt;=$F61,($J61-$K61)/($J61-Table13[[#This Row],[Prior day close]]),(IF($H61&lt;=$K61,($F61-$H61)/($F61-Table13[[#This Row],[Prior day close]]),(Table13[[#This Row],[PM Hi]]-Table13[[#This Row],[Lowest lo from open to squeeze]])/(Table13[[#This Row],[PM Hi]]-Table13[[#This Row],[Prior day close]])))),IF($J61&gt;=$F61,($J61-$K61)/($J61-Table13[[#This Row],[PM LO]]),(IF($H61&lt;=$K61,($F61-$H61)/($F61-Table13[[#This Row],[PM LO]]),(Table13[[#This Row],[PM Hi]]-Table13[[#This Row],[Lowest lo from open to squeeze]])/(Table13[[#This Row],[PM Hi]]-Table13[[#This Row],[PM LO]])))))</f>
        <v>0.40597014925373121</v>
      </c>
      <c r="AP61" s="18">
        <f>IF(J61&gt;=F61,(J61-K61)/(J61-D61),(IF(H61&lt;=K61,(F61-H61)/(F61-D61),(Table13[[#This Row],[PM Hi]]-Table13[[#This Row],[Lowest lo from open to squeeze]])/(Table13[[#This Row],[PM Hi]]-Table13[[#This Row],[Prior day close]]))))</f>
        <v>0.40597014925373121</v>
      </c>
      <c r="AQ61" s="17">
        <f>390+Table13[[#This Row],[Time until ideal entry point (mins) from open]]</f>
        <v>415</v>
      </c>
      <c r="AR61" s="51">
        <f>(Table13[[#This Row],[Time until ideal entry + 390 (6:30)]]+Table13[[#This Row],[Duration of frontside (mins)]])/1440</f>
        <v>0.30138888888888887</v>
      </c>
    </row>
    <row r="62" spans="1:44" s="26" customFormat="1" x14ac:dyDescent="0.25">
      <c r="A62" s="10" t="s">
        <v>101</v>
      </c>
      <c r="B62" s="44">
        <v>44033</v>
      </c>
      <c r="C62" s="47" t="s">
        <v>71</v>
      </c>
      <c r="D62" s="12">
        <v>1.72</v>
      </c>
      <c r="E62" s="13">
        <v>1.8</v>
      </c>
      <c r="F62" s="12">
        <v>4.0199999999999996</v>
      </c>
      <c r="G62" s="12">
        <v>1.8</v>
      </c>
      <c r="H62" s="12">
        <v>2.68</v>
      </c>
      <c r="I62" s="12">
        <v>3.08</v>
      </c>
      <c r="J62" s="12">
        <v>3.3</v>
      </c>
      <c r="K62" s="12">
        <v>3.06</v>
      </c>
      <c r="L62" s="12">
        <v>7.07</v>
      </c>
      <c r="M62" s="12">
        <v>6.85</v>
      </c>
      <c r="N62" s="13">
        <v>199756150</v>
      </c>
      <c r="O62" s="12">
        <v>808412255</v>
      </c>
      <c r="P62" s="13">
        <v>13.35</v>
      </c>
      <c r="Q62">
        <v>5.15</v>
      </c>
      <c r="R62" s="14"/>
      <c r="S62" s="13">
        <v>6111542</v>
      </c>
      <c r="T62" s="13"/>
      <c r="U62" t="s">
        <v>43</v>
      </c>
      <c r="V62">
        <v>1</v>
      </c>
      <c r="W62">
        <v>2</v>
      </c>
      <c r="X62">
        <v>3.3</v>
      </c>
      <c r="Y62">
        <v>39</v>
      </c>
      <c r="Z62" s="15">
        <f>Table13[[#This Row],[Time until ideal entry + 390 (6:30)]]/(1440)</f>
        <v>0.2722222222222222</v>
      </c>
      <c r="AA62" s="18">
        <f t="shared" si="6"/>
        <v>1.3372093023255813</v>
      </c>
      <c r="AB62" s="18">
        <f>IF(Table13[[#This Row],[HOD AFTER PM HI]]&gt;=Table13[[#This Row],[PM Hi]],((Table13[[#This Row],[HOD AFTER PM HI]]-Table13[[#This Row],[Prior day close]])/Table13[[#This Row],[Prior day close]]),Table13[[#This Row],[Prior Close to PM Hi %]])</f>
        <v>3.11046511627907</v>
      </c>
      <c r="AC62" s="18">
        <f>(Table13[[#This Row],[Price at hi of squeeze]]-Table13[[#This Row],[MKT Open Price]])/Table13[[#This Row],[MKT Open Price]]</f>
        <v>1.2240259740259738</v>
      </c>
      <c r="AD62" s="18">
        <f>(Table13[[#This Row],[Price at hi of squeeze]]-Table13[[#This Row],[PM Hi]])/Table13[[#This Row],[PM Hi]]</f>
        <v>0.70398009950248763</v>
      </c>
      <c r="AE62" s="18">
        <f t="shared" si="5"/>
        <v>1.2385620915032678</v>
      </c>
      <c r="AF62" s="20">
        <f>Table13[[#This Row],[PM VOL]]/1000000/Table13[[#This Row],[FLOAT(M)]]</f>
        <v>1.1867071844660193</v>
      </c>
      <c r="AG62" s="21">
        <f>(Table13[[#This Row],[Volume]]/1000000)/Table13[[#This Row],[FLOAT(M)]]</f>
        <v>38.787601941747567</v>
      </c>
      <c r="AH62" s="18">
        <f>(Table13[[#This Row],[Hi of Spike after open before drop]]-Table13[[#This Row],[MKT Open Price]])/Table13[[#This Row],[MKT Open Price]]</f>
        <v>7.1428571428571341E-2</v>
      </c>
      <c r="AI62" s="18">
        <f>(Table13[[#This Row],[PM Hi]]-Table13[[#This Row],[MKT Open Price]])/(Table13[[#This Row],[PM Hi]])</f>
        <v>0.23383084577114419</v>
      </c>
      <c r="AJ62" s="16">
        <f>IF(Table13[[#This Row],[PM LO]]&gt;Table13[[#This Row],[Prior day close]],(Table13[[#This Row],[PM Hi]]-Table13[[#This Row],[MKT Open Price]])/(Table13[[#This Row],[PM Hi]]-Table13[[#This Row],[Prior day close]]),(Table13[[#This Row],[PM Hi]]-Table13[[#This Row],[MKT Open Price]])/(Table13[[#This Row],[PM Hi]]-Table13[[#This Row],[PM LO]]))</f>
        <v>0.40869565217391285</v>
      </c>
      <c r="AK62" s="16">
        <f>IF(Table13[[#This Row],[Prior day close]]&lt;Table13[[#This Row],[PM LO]],(I62-K62)/(I62-Table13[[#This Row],[Prior day close]]),(I62-K62)/(I62-Table13[[#This Row],[PM LO]]))</f>
        <v>1.4705882352941188E-2</v>
      </c>
      <c r="AL62" s="16">
        <f>Table13[[#This Row],[Spike % on open before drop]]+AM62</f>
        <v>7.7922077922077837E-2</v>
      </c>
      <c r="AM62" s="16">
        <f t="shared" si="7"/>
        <v>6.4935064935064991E-3</v>
      </c>
      <c r="AN62" s="18">
        <f>IF($J62&gt;=$F62,($J62-$K62)/($J62),(IF($H62&lt;=$K62,($F62-$H62)/($F62),(Table13[[#This Row],[PM Hi]]-Table13[[#This Row],[Lowest lo from open to squeeze]])/(Table13[[#This Row],[PM Hi]]))))</f>
        <v>0.3333333333333332</v>
      </c>
      <c r="AO62" s="18">
        <f>IF(Table13[[#This Row],[Prior day close]]&lt;=Table13[[#This Row],[PM LO]],IF($J62&gt;=$F62,($J62-$K62)/($J62-Table13[[#This Row],[Prior day close]]),(IF($H62&lt;=$K62,($F62-$H62)/($F62-Table13[[#This Row],[Prior day close]]),(Table13[[#This Row],[PM Hi]]-Table13[[#This Row],[Lowest lo from open to squeeze]])/(Table13[[#This Row],[PM Hi]]-Table13[[#This Row],[Prior day close]])))),IF($J62&gt;=$F62,($J62-$K62)/($J62-Table13[[#This Row],[PM LO]]),(IF($H62&lt;=$K62,($F62-$H62)/($F62-Table13[[#This Row],[PM LO]]),(Table13[[#This Row],[PM Hi]]-Table13[[#This Row],[Lowest lo from open to squeeze]])/(Table13[[#This Row],[PM Hi]]-Table13[[#This Row],[PM LO]])))))</f>
        <v>0.58260869565217366</v>
      </c>
      <c r="AP62" s="18">
        <f>IF(J62&gt;=F62,(J62-K62)/(J62-D62),(IF(H62&lt;=K62,(F62-H62)/(F62-D62),(Table13[[#This Row],[PM Hi]]-Table13[[#This Row],[Lowest lo from open to squeeze]])/(Table13[[#This Row],[PM Hi]]-Table13[[#This Row],[Prior day close]]))))</f>
        <v>0.58260869565217366</v>
      </c>
      <c r="AQ62" s="17">
        <f>390+Table13[[#This Row],[Time until ideal entry point (mins) from open]]</f>
        <v>392</v>
      </c>
      <c r="AR62" s="51">
        <f>(Table13[[#This Row],[Time until ideal entry + 390 (6:30)]]+Table13[[#This Row],[Duration of frontside (mins)]])/1440</f>
        <v>0.29930555555555555</v>
      </c>
    </row>
    <row r="63" spans="1:44" x14ac:dyDescent="0.25">
      <c r="A63" s="24" t="s">
        <v>102</v>
      </c>
      <c r="B63" s="11">
        <v>44034</v>
      </c>
      <c r="C63" s="47" t="s">
        <v>71</v>
      </c>
      <c r="D63" s="12">
        <v>2.5</v>
      </c>
      <c r="E63" s="13">
        <v>2.38</v>
      </c>
      <c r="F63" s="12">
        <v>4.2</v>
      </c>
      <c r="G63" s="12"/>
      <c r="H63" s="12">
        <v>3.75</v>
      </c>
      <c r="I63" s="12">
        <v>3.8</v>
      </c>
      <c r="J63" s="12">
        <v>4.0999999999999996</v>
      </c>
      <c r="K63" s="12">
        <v>3.44</v>
      </c>
      <c r="L63" s="12">
        <v>4.8</v>
      </c>
      <c r="M63" s="12">
        <v>4.8</v>
      </c>
      <c r="N63" s="13">
        <v>82729817</v>
      </c>
      <c r="O63" s="12">
        <v>268871905</v>
      </c>
      <c r="P63" s="37">
        <v>16</v>
      </c>
      <c r="Q63"/>
      <c r="R63" s="37"/>
      <c r="S63" s="37"/>
      <c r="T63" s="37"/>
      <c r="U63" s="37"/>
      <c r="V63" s="38"/>
      <c r="W63"/>
      <c r="X63" s="39"/>
      <c r="Y63"/>
      <c r="Z63" s="40">
        <f>Table13[[#This Row],[Time until ideal entry + 390 (6:30)]]/(1440)</f>
        <v>0.27083333333333331</v>
      </c>
      <c r="AA63" s="18">
        <f t="shared" si="6"/>
        <v>0.68</v>
      </c>
      <c r="AB63" s="18">
        <f>IF(Table13[[#This Row],[HOD AFTER PM HI]]&gt;=Table13[[#This Row],[PM Hi]],((Table13[[#This Row],[HOD AFTER PM HI]]-Table13[[#This Row],[Prior day close]])/Table13[[#This Row],[Prior day close]]),Table13[[#This Row],[Prior Close to PM Hi %]])</f>
        <v>0.91999999999999993</v>
      </c>
      <c r="AC63" s="18">
        <f>(Table13[[#This Row],[Price at hi of squeeze]]-Table13[[#This Row],[MKT Open Price]])/Table13[[#This Row],[MKT Open Price]]</f>
        <v>0.26315789473684209</v>
      </c>
      <c r="AD63" s="18">
        <f>(Table13[[#This Row],[Price at hi of squeeze]]-Table13[[#This Row],[PM Hi]])/Table13[[#This Row],[PM Hi]]</f>
        <v>0.14285714285714277</v>
      </c>
      <c r="AE63" s="18">
        <f t="shared" si="5"/>
        <v>0.39534883720930231</v>
      </c>
      <c r="AF63" s="20" t="e">
        <f>Table13[[#This Row],[PM VOL]]/1000000/Table13[[#This Row],[FLOAT(M)]]</f>
        <v>#DIV/0!</v>
      </c>
      <c r="AG63" s="23" t="e">
        <f>(Table13[[#This Row],[Volume]]/1000000)/Table13[[#This Row],[FLOAT(M)]]</f>
        <v>#DIV/0!</v>
      </c>
      <c r="AI63" s="18">
        <f>(Table13[[#This Row],[PM Hi]]-Table13[[#This Row],[MKT Open Price]])/(Table13[[#This Row],[PM Hi]])</f>
        <v>9.5238095238095316E-2</v>
      </c>
      <c r="AJ63" s="16">
        <f>IF(Table13[[#This Row],[PM LO]]&gt;Table13[[#This Row],[Prior day close]],(Table13[[#This Row],[PM Hi]]-Table13[[#This Row],[MKT Open Price]])/(Table13[[#This Row],[PM Hi]]-Table13[[#This Row],[Prior day close]]),(Table13[[#This Row],[PM Hi]]-Table13[[#This Row],[MKT Open Price]])/(Table13[[#This Row],[PM Hi]]-Table13[[#This Row],[PM LO]]))</f>
        <v>9.5238095238095316E-2</v>
      </c>
      <c r="AK63" s="18">
        <f>IF(Table13[[#This Row],[Prior day close]]&lt;Table13[[#This Row],[PM LO]],(I63-K63)/(I63-Table13[[#This Row],[Prior day close]]),(I63-K63)/(I63-Table13[[#This Row],[PM LO]]))</f>
        <v>9.4736842105263133E-2</v>
      </c>
      <c r="AL63" s="18">
        <f>Table13[[#This Row],[Spike % on open before drop]]+AM63</f>
        <v>9.4736842105263133E-2</v>
      </c>
      <c r="AM63" s="16">
        <f t="shared" si="7"/>
        <v>9.4736842105263133E-2</v>
      </c>
      <c r="AN63" s="16"/>
      <c r="AO63" s="18">
        <f>IF(Table13[[#This Row],[Prior day close]]&lt;=Table13[[#This Row],[PM LO]],IF($J63&gt;=$F63,($J63-$K63)/($J63-Table13[[#This Row],[Prior day close]]),(IF($H63&lt;=$K63,($F63-$H63)/($F63-Table13[[#This Row],[Prior day close]]),(Table13[[#This Row],[PM Hi]]-Table13[[#This Row],[Lowest lo from open to squeeze]])/(Table13[[#This Row],[PM Hi]]-Table13[[#This Row],[Prior day close]])))),IF($J63&gt;=$F63,($J63-$K63)/($J63-Table13[[#This Row],[PM LO]]),(IF($H63&lt;=$K63,($F63-$H63)/($F63-Table13[[#This Row],[PM LO]]),(Table13[[#This Row],[PM Hi]]-Table13[[#This Row],[Lowest lo from open to squeeze]])/(Table13[[#This Row],[PM Hi]]-Table13[[#This Row],[PM LO]])))))</f>
        <v>0.180952380952381</v>
      </c>
      <c r="AP63" s="18"/>
      <c r="AQ63" s="17">
        <f>390+Table13[[#This Row],[Time until ideal entry point (mins) from open]]</f>
        <v>390</v>
      </c>
      <c r="AR63" s="51">
        <f>(Table13[[#This Row],[Time until ideal entry + 390 (6:30)]]+Table13[[#This Row],[Duration of frontside (mins)]])/1440</f>
        <v>0.27083333333333331</v>
      </c>
    </row>
    <row r="64" spans="1:44" x14ac:dyDescent="0.25">
      <c r="A64" s="10" t="s">
        <v>104</v>
      </c>
      <c r="B64" s="11">
        <v>44040</v>
      </c>
      <c r="C64" s="47" t="s">
        <v>71</v>
      </c>
      <c r="D64" s="12">
        <v>2.73</v>
      </c>
      <c r="E64" s="13">
        <v>2.8</v>
      </c>
      <c r="F64" s="12">
        <v>9.74</v>
      </c>
      <c r="G64" s="12">
        <v>2.8</v>
      </c>
      <c r="H64" s="12">
        <v>9.36</v>
      </c>
      <c r="I64" s="12">
        <v>9.6300000000000008</v>
      </c>
      <c r="J64" s="12">
        <v>10.8</v>
      </c>
      <c r="K64" s="12">
        <v>8.9700000000000006</v>
      </c>
      <c r="L64" s="12">
        <v>11.8</v>
      </c>
      <c r="M64" s="12">
        <v>11.8</v>
      </c>
      <c r="N64" s="13">
        <v>264169530</v>
      </c>
      <c r="O64" s="12">
        <v>2108114560</v>
      </c>
      <c r="P64" s="13">
        <v>116.77</v>
      </c>
      <c r="Q64">
        <v>8.18</v>
      </c>
      <c r="R64" s="14"/>
      <c r="S64" s="13">
        <v>27128120</v>
      </c>
      <c r="T64" s="13" t="s">
        <v>41</v>
      </c>
      <c r="U64" t="s">
        <v>43</v>
      </c>
      <c r="V64">
        <v>9</v>
      </c>
      <c r="W64">
        <v>10</v>
      </c>
      <c r="X64">
        <v>9.4499999999999993</v>
      </c>
      <c r="Y64">
        <v>25</v>
      </c>
      <c r="Z64" s="15">
        <f>Table13[[#This Row],[Time until ideal entry + 390 (6:30)]]/(1440)</f>
        <v>0.27777777777777779</v>
      </c>
      <c r="AA64" s="18">
        <f t="shared" si="6"/>
        <v>2.5677655677655675</v>
      </c>
      <c r="AB64" s="18">
        <f>IF(Table13[[#This Row],[HOD AFTER PM HI]]&gt;=Table13[[#This Row],[PM Hi]],((Table13[[#This Row],[HOD AFTER PM HI]]-Table13[[#This Row],[Prior day close]])/Table13[[#This Row],[Prior day close]]),Table13[[#This Row],[Prior Close to PM Hi %]])</f>
        <v>3.3223443223443225</v>
      </c>
      <c r="AC64" s="18">
        <f>(Table13[[#This Row],[Price at hi of squeeze]]-Table13[[#This Row],[MKT Open Price]])/Table13[[#This Row],[MKT Open Price]]</f>
        <v>0.22533748701973</v>
      </c>
      <c r="AD64" s="18">
        <f>(Table13[[#This Row],[Price at hi of squeeze]]-Table13[[#This Row],[PM Hi]])/Table13[[#This Row],[PM Hi]]</f>
        <v>0.21149897330595488</v>
      </c>
      <c r="AE64" s="18">
        <f t="shared" si="5"/>
        <v>0.31549609810479373</v>
      </c>
      <c r="AF64" s="20">
        <f>Table13[[#This Row],[PM VOL]]/1000000/Table13[[#This Row],[FLOAT(M)]]</f>
        <v>3.3163960880195598</v>
      </c>
      <c r="AG64" s="21">
        <f>(Table13[[#This Row],[Volume]]/1000000)/Table13[[#This Row],[FLOAT(M)]]</f>
        <v>32.294563569682154</v>
      </c>
      <c r="AH64" s="18">
        <f>(Table13[[#This Row],[Hi of Spike after open before drop]]-Table13[[#This Row],[MKT Open Price]])/Table13[[#This Row],[MKT Open Price]]</f>
        <v>0.12149532710280372</v>
      </c>
      <c r="AI64" s="18">
        <f>(Table13[[#This Row],[PM Hi]]-Table13[[#This Row],[MKT Open Price]])/(Table13[[#This Row],[PM Hi]])</f>
        <v>1.129363449691986E-2</v>
      </c>
      <c r="AJ64" s="16">
        <f>IF(Table13[[#This Row],[PM LO]]&gt;Table13[[#This Row],[Prior day close]],(Table13[[#This Row],[PM Hi]]-Table13[[#This Row],[MKT Open Price]])/(Table13[[#This Row],[PM Hi]]-Table13[[#This Row],[Prior day close]]),(Table13[[#This Row],[PM Hi]]-Table13[[#This Row],[MKT Open Price]])/(Table13[[#This Row],[PM Hi]]-Table13[[#This Row],[PM LO]]))</f>
        <v>1.5691868758915754E-2</v>
      </c>
      <c r="AK64" s="16">
        <f>IF(Table13[[#This Row],[Prior day close]]&lt;Table13[[#This Row],[PM LO]],(I64-K64)/(I64-Table13[[#This Row],[Prior day close]]),(I64-K64)/(I64-Table13[[#This Row],[PM LO]]))</f>
        <v>9.5652173913043495E-2</v>
      </c>
      <c r="AL64" s="16">
        <f>Table13[[#This Row],[Spike % on open before drop]]+AM64</f>
        <v>0.19003115264797507</v>
      </c>
      <c r="AM64" s="16">
        <f t="shared" si="7"/>
        <v>6.8535825545171347E-2</v>
      </c>
      <c r="AN64" s="18">
        <f>IF($J64&gt;=$F64,($J64-$K64)/($J64),(IF($H64&lt;=$K64,($F64-$H64)/($F64),(Table13[[#This Row],[PM Hi]]-Table13[[#This Row],[Lowest lo from open to squeeze]])/(Table13[[#This Row],[PM Hi]]))))</f>
        <v>0.16944444444444445</v>
      </c>
      <c r="AO64" s="18">
        <f>IF(Table13[[#This Row],[Prior day close]]&lt;=Table13[[#This Row],[PM LO]],IF($J64&gt;=$F64,($J64-$K64)/($J64-Table13[[#This Row],[Prior day close]]),(IF($H64&lt;=$K64,($F64-$H64)/($F64-Table13[[#This Row],[Prior day close]]),(Table13[[#This Row],[PM Hi]]-Table13[[#This Row],[Lowest lo from open to squeeze]])/(Table13[[#This Row],[PM Hi]]-Table13[[#This Row],[Prior day close]])))),IF($J64&gt;=$F64,($J64-$K64)/($J64-Table13[[#This Row],[PM LO]]),(IF($H64&lt;=$K64,($F64-$H64)/($F64-Table13[[#This Row],[PM LO]]),(Table13[[#This Row],[PM Hi]]-Table13[[#This Row],[Lowest lo from open to squeeze]])/(Table13[[#This Row],[PM Hi]]-Table13[[#This Row],[PM LO]])))))</f>
        <v>0.22676579925650558</v>
      </c>
      <c r="AP64" s="18">
        <f>IF(J64&gt;=F64,(J64-K64)/(J64-D64),(IF(H64&lt;=K64,(F64-H64)/(F64-D64),(Table13[[#This Row],[PM Hi]]-Table13[[#This Row],[Lowest lo from open to squeeze]])/(Table13[[#This Row],[PM Hi]]-Table13[[#This Row],[Prior day close]]))))</f>
        <v>0.22676579925650558</v>
      </c>
      <c r="AQ64" s="17">
        <f>390+Table13[[#This Row],[Time until ideal entry point (mins) from open]]</f>
        <v>400</v>
      </c>
      <c r="AR64" s="51">
        <f>(Table13[[#This Row],[Time until ideal entry + 390 (6:30)]]+Table13[[#This Row],[Duration of frontside (mins)]])/1440</f>
        <v>0.2951388888888889</v>
      </c>
    </row>
    <row r="65" spans="1:44" x14ac:dyDescent="0.25">
      <c r="A65" s="10" t="s">
        <v>105</v>
      </c>
      <c r="B65" s="11">
        <v>44041</v>
      </c>
      <c r="C65" s="47" t="s">
        <v>71</v>
      </c>
      <c r="D65" s="12">
        <v>13.21</v>
      </c>
      <c r="E65" s="13">
        <v>12.03</v>
      </c>
      <c r="F65" s="12">
        <v>18.5</v>
      </c>
      <c r="G65" s="12">
        <v>11.22</v>
      </c>
      <c r="H65" s="12">
        <v>18.100000000000001</v>
      </c>
      <c r="I65" s="12">
        <v>18.43</v>
      </c>
      <c r="J65" s="12">
        <v>22.05</v>
      </c>
      <c r="K65" s="12">
        <v>17.5</v>
      </c>
      <c r="L65" s="12">
        <v>60</v>
      </c>
      <c r="M65" s="12">
        <v>60</v>
      </c>
      <c r="N65" s="13">
        <v>222598315</v>
      </c>
      <c r="O65" s="12">
        <v>8973950704</v>
      </c>
      <c r="P65" s="13">
        <v>353.89</v>
      </c>
      <c r="Q65" s="13">
        <v>8.18</v>
      </c>
      <c r="R65" s="13"/>
      <c r="S65" s="13">
        <v>43387369</v>
      </c>
      <c r="T65" s="13" t="s">
        <v>41</v>
      </c>
      <c r="U65" t="s">
        <v>41</v>
      </c>
      <c r="V65">
        <v>21</v>
      </c>
      <c r="W65">
        <v>22</v>
      </c>
      <c r="X65">
        <v>18.239999999999998</v>
      </c>
      <c r="Y65">
        <v>50</v>
      </c>
      <c r="Z65" s="15">
        <f>Table13[[#This Row],[Time until ideal entry + 390 (6:30)]]/(1440)</f>
        <v>0.28611111111111109</v>
      </c>
      <c r="AA65" s="18">
        <f t="shared" si="6"/>
        <v>0.40045420136260401</v>
      </c>
      <c r="AB65" s="18">
        <f>IF(Table13[[#This Row],[HOD AFTER PM HI]]&gt;=Table13[[#This Row],[PM Hi]],((Table13[[#This Row],[HOD AFTER PM HI]]-Table13[[#This Row],[Prior day close]])/Table13[[#This Row],[Prior day close]]),Table13[[#This Row],[Prior Close to PM Hi %]])</f>
        <v>3.5420136260408777</v>
      </c>
      <c r="AC65" s="18">
        <f>(Table13[[#This Row],[Price at hi of squeeze]]-Table13[[#This Row],[MKT Open Price]])/Table13[[#This Row],[MKT Open Price]]</f>
        <v>2.2555615843733046</v>
      </c>
      <c r="AD65" s="18">
        <f>(Table13[[#This Row],[Price at hi of squeeze]]-Table13[[#This Row],[PM Hi]])/Table13[[#This Row],[PM Hi]]</f>
        <v>2.2432432432432434</v>
      </c>
      <c r="AE65" s="18">
        <f t="shared" si="5"/>
        <v>2.4285714285714284</v>
      </c>
      <c r="AF65" s="20">
        <f>Table13[[#This Row],[PM VOL]]/1000000/Table13[[#This Row],[FLOAT(M)]]</f>
        <v>5.3040793398533008</v>
      </c>
      <c r="AG65" s="23">
        <f>(Table13[[#This Row],[Volume]]/1000000)/Table13[[#This Row],[FLOAT(M)]]</f>
        <v>27.212507946210273</v>
      </c>
      <c r="AH65" s="18">
        <f>(Table13[[#This Row],[Hi of Spike after open before drop]]-Table13[[#This Row],[MKT Open Price]])/Table13[[#This Row],[MKT Open Price]]</f>
        <v>0.19641888225718943</v>
      </c>
      <c r="AI65" s="18">
        <f>(Table13[[#This Row],[PM Hi]]-Table13[[#This Row],[MKT Open Price]])/(Table13[[#This Row],[PM Hi]])</f>
        <v>3.7837837837837993E-3</v>
      </c>
      <c r="AJ65" s="16">
        <f>IF(Table13[[#This Row],[PM LO]]&gt;Table13[[#This Row],[Prior day close]],(Table13[[#This Row],[PM Hi]]-Table13[[#This Row],[MKT Open Price]])/(Table13[[#This Row],[PM Hi]]-Table13[[#This Row],[Prior day close]]),(Table13[[#This Row],[PM Hi]]-Table13[[#This Row],[MKT Open Price]])/(Table13[[#This Row],[PM Hi]]-Table13[[#This Row],[PM LO]]))</f>
        <v>9.6153846153846558E-3</v>
      </c>
      <c r="AK65" s="16">
        <f>IF(Table13[[#This Row],[Prior day close]]&lt;Table13[[#This Row],[PM LO]],(I65-K65)/(I65-Table13[[#This Row],[Prior day close]]),(I65-K65)/(I65-Table13[[#This Row],[PM LO]]))</f>
        <v>0.12898751733703187</v>
      </c>
      <c r="AL65" s="16">
        <f>Table13[[#This Row],[Spike % on open before drop]]+AM65</f>
        <v>0.24688008681497564</v>
      </c>
      <c r="AM65" s="16">
        <f t="shared" si="7"/>
        <v>5.0461204557786202E-2</v>
      </c>
      <c r="AN65" s="18">
        <f>IF($J65&gt;=$F65,($J65-$K65)/($J65),(IF($H65&lt;=$K65,($F65-$H65)/($F65),(Table13[[#This Row],[PM Hi]]-Table13[[#This Row],[Lowest lo from open to squeeze]])/(Table13[[#This Row],[PM Hi]]))))</f>
        <v>0.20634920634920637</v>
      </c>
      <c r="AO65" s="18">
        <f>IF(Table13[[#This Row],[Prior day close]]&lt;=Table13[[#This Row],[PM LO]],IF($J65&gt;=$F65,($J65-$K65)/($J65-Table13[[#This Row],[Prior day close]]),(IF($H65&lt;=$K65,($F65-$H65)/($F65-Table13[[#This Row],[Prior day close]]),(Table13[[#This Row],[PM Hi]]-Table13[[#This Row],[Lowest lo from open to squeeze]])/(Table13[[#This Row],[PM Hi]]-Table13[[#This Row],[Prior day close]])))),IF($J65&gt;=$F65,($J65-$K65)/($J65-Table13[[#This Row],[PM LO]]),(IF($H65&lt;=$K65,($F65-$H65)/($F65-Table13[[#This Row],[PM LO]]),(Table13[[#This Row],[PM Hi]]-Table13[[#This Row],[Lowest lo from open to squeeze]])/(Table13[[#This Row],[PM Hi]]-Table13[[#This Row],[PM LO]])))))</f>
        <v>0.42012927054478305</v>
      </c>
      <c r="AP65" s="18">
        <f>IF(J65&gt;=F65,(J65-K65)/(J65-D65),(IF(H65&lt;=K65,(F65-H65)/(F65-D65),(Table13[[#This Row],[PM Hi]]-Table13[[#This Row],[Lowest lo from open to squeeze]])/(Table13[[#This Row],[PM Hi]]-Table13[[#This Row],[Prior day close]]))))</f>
        <v>0.51470588235294124</v>
      </c>
      <c r="AQ65" s="17">
        <f>390+Table13[[#This Row],[Time until ideal entry point (mins) from open]]</f>
        <v>412</v>
      </c>
      <c r="AR65" s="51">
        <f>(Table13[[#This Row],[Time until ideal entry + 390 (6:30)]]+Table13[[#This Row],[Duration of frontside (mins)]])/1440</f>
        <v>0.32083333333333336</v>
      </c>
    </row>
    <row r="66" spans="1:44" x14ac:dyDescent="0.25">
      <c r="A66" s="10" t="s">
        <v>106</v>
      </c>
      <c r="B66" s="44">
        <v>44046</v>
      </c>
      <c r="C66" s="47" t="s">
        <v>71</v>
      </c>
      <c r="D66" s="12">
        <v>2.72</v>
      </c>
      <c r="E66" s="13">
        <v>2.41</v>
      </c>
      <c r="F66" s="12">
        <v>3.19</v>
      </c>
      <c r="G66" s="12">
        <v>2.36</v>
      </c>
      <c r="H66" s="12">
        <v>3.1</v>
      </c>
      <c r="I66" s="12">
        <v>3.11</v>
      </c>
      <c r="J66" s="12">
        <v>3.66</v>
      </c>
      <c r="K66" s="12">
        <v>2.84</v>
      </c>
      <c r="L66" s="12">
        <v>4.79</v>
      </c>
      <c r="M66" s="12">
        <v>4.79</v>
      </c>
      <c r="N66" s="13">
        <v>213154698</v>
      </c>
      <c r="O66" s="12">
        <v>850094351</v>
      </c>
      <c r="P66" s="13">
        <v>50.61</v>
      </c>
      <c r="Q66">
        <v>18.010000000000002</v>
      </c>
      <c r="R66" s="14"/>
      <c r="S66" s="13">
        <v>6899903</v>
      </c>
      <c r="T66" s="13" t="s">
        <v>43</v>
      </c>
      <c r="U66" t="s">
        <v>41</v>
      </c>
      <c r="V66">
        <v>17</v>
      </c>
      <c r="W66">
        <v>18</v>
      </c>
      <c r="X66">
        <v>2.89</v>
      </c>
      <c r="Y66">
        <v>57</v>
      </c>
      <c r="Z66" s="15">
        <f>Table13[[#This Row],[Time until ideal entry + 390 (6:30)]]/(1440)</f>
        <v>0.28333333333333333</v>
      </c>
      <c r="AA66" s="18">
        <f t="shared" si="6"/>
        <v>0.17279411764705871</v>
      </c>
      <c r="AB66" s="18">
        <f>IF(Table13[[#This Row],[HOD AFTER PM HI]]&gt;=Table13[[#This Row],[PM Hi]],((Table13[[#This Row],[HOD AFTER PM HI]]-Table13[[#This Row],[Prior day close]])/Table13[[#This Row],[Prior day close]]),Table13[[#This Row],[Prior Close to PM Hi %]])</f>
        <v>0.76102941176470573</v>
      </c>
      <c r="AC66" s="18">
        <f>(Table13[[#This Row],[Price at hi of squeeze]]-Table13[[#This Row],[MKT Open Price]])/Table13[[#This Row],[MKT Open Price]]</f>
        <v>0.54019292604501612</v>
      </c>
      <c r="AD66" s="18">
        <f>(Table13[[#This Row],[Price at hi of squeeze]]-Table13[[#This Row],[PM Hi]])/Table13[[#This Row],[PM Hi]]</f>
        <v>0.50156739811912232</v>
      </c>
      <c r="AE66" s="18">
        <f t="shared" si="5"/>
        <v>0.68661971830985924</v>
      </c>
      <c r="AF66" s="20">
        <f>Table13[[#This Row],[PM VOL]]/1000000/Table13[[#This Row],[FLOAT(M)]]</f>
        <v>0.3831151027207107</v>
      </c>
      <c r="AG66" s="21">
        <f>(Table13[[#This Row],[Volume]]/1000000)/Table13[[#This Row],[FLOAT(M)]]</f>
        <v>11.835352470849527</v>
      </c>
      <c r="AH66" s="18">
        <f>(Table13[[#This Row],[Hi of Spike after open before drop]]-Table13[[#This Row],[MKT Open Price]])/Table13[[#This Row],[MKT Open Price]]</f>
        <v>0.17684887459807083</v>
      </c>
      <c r="AI66" s="18">
        <f>(Table13[[#This Row],[PM Hi]]-Table13[[#This Row],[MKT Open Price]])/(Table13[[#This Row],[PM Hi]])</f>
        <v>2.5078369905956136E-2</v>
      </c>
      <c r="AJ66" s="16">
        <f>IF(Table13[[#This Row],[PM LO]]&gt;Table13[[#This Row],[Prior day close]],(Table13[[#This Row],[PM Hi]]-Table13[[#This Row],[MKT Open Price]])/(Table13[[#This Row],[PM Hi]]-Table13[[#This Row],[Prior day close]]),(Table13[[#This Row],[PM Hi]]-Table13[[#This Row],[MKT Open Price]])/(Table13[[#This Row],[PM Hi]]-Table13[[#This Row],[PM LO]]))</f>
        <v>9.6385542168674773E-2</v>
      </c>
      <c r="AK66" s="16">
        <f>IF(Table13[[#This Row],[Prior day close]]&lt;Table13[[#This Row],[PM LO]],(I66-K66)/(I66-Table13[[#This Row],[Prior day close]]),(I66-K66)/(I66-Table13[[#This Row],[PM LO]]))</f>
        <v>0.36000000000000004</v>
      </c>
      <c r="AL66" s="16">
        <f>Table13[[#This Row],[Spike % on open before drop]]+AM66</f>
        <v>0.26366559485530555</v>
      </c>
      <c r="AM66" s="16">
        <f t="shared" si="7"/>
        <v>8.6816720257234734E-2</v>
      </c>
      <c r="AN66" s="18">
        <f>IF($J66&gt;=$F66,($J66-$K66)/($J66),(IF($H66&lt;=$K66,($F66-$H66)/($F66),(Table13[[#This Row],[PM Hi]]-Table13[[#This Row],[Lowest lo from open to squeeze]])/(Table13[[#This Row],[PM Hi]]))))</f>
        <v>0.22404371584699462</v>
      </c>
      <c r="AO66" s="18">
        <f>IF(Table13[[#This Row],[Prior day close]]&lt;=Table13[[#This Row],[PM LO]],IF($J66&gt;=$F66,($J66-$K66)/($J66-Table13[[#This Row],[Prior day close]]),(IF($H66&lt;=$K66,($F66-$H66)/($F66-Table13[[#This Row],[Prior day close]]),(Table13[[#This Row],[PM Hi]]-Table13[[#This Row],[Lowest lo from open to squeeze]])/(Table13[[#This Row],[PM Hi]]-Table13[[#This Row],[Prior day close]])))),IF($J66&gt;=$F66,($J66-$K66)/($J66-Table13[[#This Row],[PM LO]]),(IF($H66&lt;=$K66,($F66-$H66)/($F66-Table13[[#This Row],[PM LO]]),(Table13[[#This Row],[PM Hi]]-Table13[[#This Row],[Lowest lo from open to squeeze]])/(Table13[[#This Row],[PM Hi]]-Table13[[#This Row],[PM LO]])))))</f>
        <v>0.63076923076923086</v>
      </c>
      <c r="AP66" s="18">
        <f>IF(J66&gt;=F66,(J66-K66)/(J66-D66),(IF(H66&lt;=K66,(F66-H66)/(F66-D66),(Table13[[#This Row],[PM Hi]]-Table13[[#This Row],[Lowest lo from open to squeeze]])/(Table13[[#This Row],[PM Hi]]-Table13[[#This Row],[Prior day close]]))))</f>
        <v>0.87234042553191526</v>
      </c>
      <c r="AQ66" s="17">
        <f>390+Table13[[#This Row],[Time until ideal entry point (mins) from open]]</f>
        <v>408</v>
      </c>
      <c r="AR66" s="51">
        <f>(Table13[[#This Row],[Time until ideal entry + 390 (6:30)]]+Table13[[#This Row],[Duration of frontside (mins)]])/1440</f>
        <v>0.32291666666666669</v>
      </c>
    </row>
    <row r="67" spans="1:44" x14ac:dyDescent="0.25">
      <c r="A67" s="10" t="s">
        <v>107</v>
      </c>
      <c r="B67" s="11">
        <v>44053</v>
      </c>
      <c r="C67" s="47" t="s">
        <v>71</v>
      </c>
      <c r="D67" s="12">
        <v>4.6399999999999997</v>
      </c>
      <c r="E67" s="13">
        <v>4.9000000000000004</v>
      </c>
      <c r="F67" s="12">
        <v>20.75</v>
      </c>
      <c r="G67" s="12">
        <v>4.9000000000000004</v>
      </c>
      <c r="H67" s="12">
        <v>19.7</v>
      </c>
      <c r="I67" s="12">
        <v>20.13</v>
      </c>
      <c r="J67" s="12">
        <v>21.89</v>
      </c>
      <c r="K67" s="12">
        <v>18</v>
      </c>
      <c r="L67" s="12">
        <v>33</v>
      </c>
      <c r="M67" s="12">
        <v>33</v>
      </c>
      <c r="N67" s="13">
        <v>95056137</v>
      </c>
      <c r="O67" s="12">
        <v>2148531301</v>
      </c>
      <c r="P67" s="13">
        <v>337.8</v>
      </c>
      <c r="Q67">
        <v>69.09</v>
      </c>
      <c r="R67" s="14"/>
      <c r="S67" s="13">
        <v>12579809</v>
      </c>
      <c r="T67" s="13" t="s">
        <v>41</v>
      </c>
      <c r="U67" t="s">
        <v>43</v>
      </c>
      <c r="V67">
        <v>3</v>
      </c>
      <c r="W67">
        <v>4</v>
      </c>
      <c r="X67">
        <v>18.78</v>
      </c>
      <c r="Y67">
        <v>52</v>
      </c>
      <c r="Z67" s="15">
        <f>Table13[[#This Row],[Time until ideal entry + 390 (6:30)]]/(1440)</f>
        <v>0.27361111111111114</v>
      </c>
      <c r="AA67" s="18">
        <f t="shared" si="6"/>
        <v>3.4719827586206899</v>
      </c>
      <c r="AB67" s="18">
        <f>IF(Table13[[#This Row],[HOD AFTER PM HI]]&gt;=Table13[[#This Row],[PM Hi]],((Table13[[#This Row],[HOD AFTER PM HI]]-Table13[[#This Row],[Prior day close]])/Table13[[#This Row],[Prior day close]]),Table13[[#This Row],[Prior Close to PM Hi %]])</f>
        <v>6.112068965517242</v>
      </c>
      <c r="AC67" s="18">
        <f>(Table13[[#This Row],[Price at hi of squeeze]]-Table13[[#This Row],[MKT Open Price]])/Table13[[#This Row],[MKT Open Price]]</f>
        <v>0.63934426229508201</v>
      </c>
      <c r="AD67" s="18">
        <f>(Table13[[#This Row],[Price at hi of squeeze]]-Table13[[#This Row],[PM Hi]])/Table13[[#This Row],[PM Hi]]</f>
        <v>0.59036144578313254</v>
      </c>
      <c r="AE67" s="18">
        <f t="shared" si="5"/>
        <v>0.83333333333333337</v>
      </c>
      <c r="AF67" s="20">
        <f>Table13[[#This Row],[PM VOL]]/1000000/Table13[[#This Row],[FLOAT(M)]]</f>
        <v>0.18207857866550872</v>
      </c>
      <c r="AG67" s="21">
        <f>(Table13[[#This Row],[Volume]]/1000000)/Table13[[#This Row],[FLOAT(M)]]</f>
        <v>1.375830612244898</v>
      </c>
      <c r="AH67" s="18">
        <f>(Table13[[#This Row],[Hi of Spike after open before drop]]-Table13[[#This Row],[MKT Open Price]])/Table13[[#This Row],[MKT Open Price]]</f>
        <v>8.7431693989071121E-2</v>
      </c>
      <c r="AI67" s="18">
        <f>(Table13[[#This Row],[PM Hi]]-Table13[[#This Row],[MKT Open Price]])/(Table13[[#This Row],[PM Hi]])</f>
        <v>2.9879518072289203E-2</v>
      </c>
      <c r="AJ67" s="16">
        <f>IF(Table13[[#This Row],[PM LO]]&gt;Table13[[#This Row],[Prior day close]],(Table13[[#This Row],[PM Hi]]-Table13[[#This Row],[MKT Open Price]])/(Table13[[#This Row],[PM Hi]]-Table13[[#This Row],[Prior day close]]),(Table13[[#This Row],[PM Hi]]-Table13[[#This Row],[MKT Open Price]])/(Table13[[#This Row],[PM Hi]]-Table13[[#This Row],[PM LO]]))</f>
        <v>3.8485412787088828E-2</v>
      </c>
      <c r="AK67" s="16">
        <f>IF(Table13[[#This Row],[Prior day close]]&lt;Table13[[#This Row],[PM LO]],(I67-K67)/(I67-Table13[[#This Row],[Prior day close]]),(I67-K67)/(I67-Table13[[#This Row],[PM LO]]))</f>
        <v>0.13750806972240151</v>
      </c>
      <c r="AL67" s="16">
        <f>Table13[[#This Row],[Spike % on open before drop]]+AM67</f>
        <v>0.19324391455539</v>
      </c>
      <c r="AM67" s="16">
        <f t="shared" si="7"/>
        <v>0.10581222056631888</v>
      </c>
      <c r="AN67" s="18">
        <f>IF($J67&gt;=$F67,($J67-$K67)/($J67),(IF($H67&lt;=$K67,($F67-$H67)/($F67),(Table13[[#This Row],[PM Hi]]-Table13[[#This Row],[Lowest lo from open to squeeze]])/(Table13[[#This Row],[PM Hi]]))))</f>
        <v>0.17770671539515762</v>
      </c>
      <c r="AO67" s="18">
        <f>IF(Table13[[#This Row],[Prior day close]]&lt;=Table13[[#This Row],[PM LO]],IF($J67&gt;=$F67,($J67-$K67)/($J67-Table13[[#This Row],[Prior day close]]),(IF($H67&lt;=$K67,($F67-$H67)/($F67-Table13[[#This Row],[Prior day close]]),(Table13[[#This Row],[PM Hi]]-Table13[[#This Row],[Lowest lo from open to squeeze]])/(Table13[[#This Row],[PM Hi]]-Table13[[#This Row],[Prior day close]])))),IF($J67&gt;=$F67,($J67-$K67)/($J67-Table13[[#This Row],[PM LO]]),(IF($H67&lt;=$K67,($F67-$H67)/($F67-Table13[[#This Row],[PM LO]]),(Table13[[#This Row],[PM Hi]]-Table13[[#This Row],[Lowest lo from open to squeeze]])/(Table13[[#This Row],[PM Hi]]-Table13[[#This Row],[PM LO]])))))</f>
        <v>0.22550724637681163</v>
      </c>
      <c r="AP67" s="18">
        <f>IF(J67&gt;=F67,(J67-K67)/(J67-D67),(IF(H67&lt;=K67,(F67-H67)/(F67-D67),(Table13[[#This Row],[PM Hi]]-Table13[[#This Row],[Lowest lo from open to squeeze]])/(Table13[[#This Row],[PM Hi]]-Table13[[#This Row],[Prior day close]]))))</f>
        <v>0.22550724637681163</v>
      </c>
      <c r="AQ67" s="17">
        <f>390+Table13[[#This Row],[Time until ideal entry point (mins) from open]]</f>
        <v>394</v>
      </c>
      <c r="AR67" s="51">
        <f>(Table13[[#This Row],[Time until ideal entry + 390 (6:30)]]+Table13[[#This Row],[Duration of frontside (mins)]])/1440</f>
        <v>0.30972222222222223</v>
      </c>
    </row>
    <row r="68" spans="1:44" x14ac:dyDescent="0.25">
      <c r="A68" s="10" t="s">
        <v>108</v>
      </c>
      <c r="B68" s="11">
        <v>44057</v>
      </c>
      <c r="C68" s="47" t="s">
        <v>71</v>
      </c>
      <c r="D68" s="12">
        <v>12.2</v>
      </c>
      <c r="E68" s="13">
        <v>14.66</v>
      </c>
      <c r="F68" s="12">
        <v>20.53</v>
      </c>
      <c r="G68" s="12">
        <v>14.66</v>
      </c>
      <c r="H68" s="12">
        <v>16.350000000000001</v>
      </c>
      <c r="I68" s="12">
        <v>18.41</v>
      </c>
      <c r="J68" s="12">
        <v>18.5</v>
      </c>
      <c r="K68" s="12">
        <v>16.25</v>
      </c>
      <c r="L68" s="12">
        <v>19.600000000000001</v>
      </c>
      <c r="M68" s="12">
        <v>19.600000000000001</v>
      </c>
      <c r="N68" s="13">
        <v>25653667</v>
      </c>
      <c r="O68" s="12">
        <v>398200545</v>
      </c>
      <c r="P68" s="13">
        <v>1333</v>
      </c>
      <c r="Q68" s="13">
        <v>90.89</v>
      </c>
      <c r="R68" s="13"/>
      <c r="S68" s="13">
        <v>1712807</v>
      </c>
      <c r="T68" s="13" t="s">
        <v>43</v>
      </c>
      <c r="U68" t="s">
        <v>43</v>
      </c>
      <c r="V68">
        <v>35</v>
      </c>
      <c r="W68">
        <v>36</v>
      </c>
      <c r="X68">
        <v>16.39</v>
      </c>
      <c r="Y68">
        <v>106</v>
      </c>
      <c r="Z68" s="15">
        <f>Table13[[#This Row],[Time until ideal entry + 390 (6:30)]]/(1440)</f>
        <v>0.29583333333333334</v>
      </c>
      <c r="AA68" s="18">
        <f t="shared" si="6"/>
        <v>0.68278688524590181</v>
      </c>
      <c r="AB68" s="18">
        <f>IF(Table13[[#This Row],[HOD AFTER PM HI]]&gt;=Table13[[#This Row],[PM Hi]],((Table13[[#This Row],[HOD AFTER PM HI]]-Table13[[#This Row],[Prior day close]])/Table13[[#This Row],[Prior day close]]),Table13[[#This Row],[Prior Close to PM Hi %]])</f>
        <v>0.68278688524590181</v>
      </c>
      <c r="AC68" s="18">
        <f>(Table13[[#This Row],[Price at hi of squeeze]]-Table13[[#This Row],[MKT Open Price]])/Table13[[#This Row],[MKT Open Price]]</f>
        <v>6.4638783269962044E-2</v>
      </c>
      <c r="AD68" s="18">
        <f>(Table13[[#This Row],[Price at hi of squeeze]]-Table13[[#This Row],[PM Hi]])/Table13[[#This Row],[PM Hi]]</f>
        <v>-4.5299561617145621E-2</v>
      </c>
      <c r="AE68" s="18">
        <f t="shared" si="5"/>
        <v>0.20615384615384624</v>
      </c>
      <c r="AF68" s="20">
        <f>Table13[[#This Row],[PM VOL]]/1000000/Table13[[#This Row],[FLOAT(M)]]</f>
        <v>1.8844834415227198E-2</v>
      </c>
      <c r="AG68" s="23">
        <f>(Table13[[#This Row],[Volume]]/1000000)/Table13[[#This Row],[FLOAT(M)]]</f>
        <v>0.28224960941797778</v>
      </c>
      <c r="AH68" s="18">
        <f>(Table13[[#This Row],[Hi of Spike after open before drop]]-Table13[[#This Row],[MKT Open Price]])/Table13[[#This Row],[MKT Open Price]]</f>
        <v>4.8886474741987969E-3</v>
      </c>
      <c r="AI68" s="18">
        <f>(Table13[[#This Row],[PM Hi]]-Table13[[#This Row],[MKT Open Price]])/(Table13[[#This Row],[PM Hi]])</f>
        <v>0.10326351680467613</v>
      </c>
      <c r="AJ68" s="16">
        <f>IF(Table13[[#This Row],[PM LO]]&gt;Table13[[#This Row],[Prior day close]],(Table13[[#This Row],[PM Hi]]-Table13[[#This Row],[MKT Open Price]])/(Table13[[#This Row],[PM Hi]]-Table13[[#This Row],[Prior day close]]),(Table13[[#This Row],[PM Hi]]-Table13[[#This Row],[MKT Open Price]])/(Table13[[#This Row],[PM Hi]]-Table13[[#This Row],[PM LO]]))</f>
        <v>0.25450180072028816</v>
      </c>
      <c r="AK68" s="16">
        <f>IF(Table13[[#This Row],[Prior day close]]&lt;Table13[[#This Row],[PM LO]],(I68-K68)/(I68-Table13[[#This Row],[Prior day close]]),(I68-K68)/(I68-Table13[[#This Row],[PM LO]]))</f>
        <v>0.34782608695652173</v>
      </c>
      <c r="AL68" s="16">
        <f>Table13[[#This Row],[Spike % on open before drop]]+AM68</f>
        <v>0.12221618685497013</v>
      </c>
      <c r="AM68" s="16">
        <f t="shared" si="7"/>
        <v>0.11732753938077133</v>
      </c>
      <c r="AN68" s="18">
        <f>IF($J68&gt;=$F68,($J68-$K68)/($J68),(IF($H68&lt;=$K68,($F68-$H68)/($F68),(Table13[[#This Row],[PM Hi]]-Table13[[#This Row],[Lowest lo from open to squeeze]])/(Table13[[#This Row],[PM Hi]]))))</f>
        <v>0.20847540185094987</v>
      </c>
      <c r="AO68" s="18">
        <f>IF(Table13[[#This Row],[Prior day close]]&lt;=Table13[[#This Row],[PM LO]],IF($J68&gt;=$F68,($J68-$K68)/($J68-Table13[[#This Row],[Prior day close]]),(IF($H68&lt;=$K68,($F68-$H68)/($F68-Table13[[#This Row],[Prior day close]]),(Table13[[#This Row],[PM Hi]]-Table13[[#This Row],[Lowest lo from open to squeeze]])/(Table13[[#This Row],[PM Hi]]-Table13[[#This Row],[Prior day close]])))),IF($J68&gt;=$F68,($J68-$K68)/($J68-Table13[[#This Row],[PM LO]]),(IF($H68&lt;=$K68,($F68-$H68)/($F68-Table13[[#This Row],[PM LO]]),(Table13[[#This Row],[PM Hi]]-Table13[[#This Row],[Lowest lo from open to squeeze]])/(Table13[[#This Row],[PM Hi]]-Table13[[#This Row],[PM LO]])))))</f>
        <v>0.51380552220888354</v>
      </c>
      <c r="AP68" s="18">
        <f>IF(J68&gt;=F68,(J68-K68)/(J68-D68),(IF(H68&lt;=K68,(F68-H68)/(F68-D68),(Table13[[#This Row],[PM Hi]]-Table13[[#This Row],[Lowest lo from open to squeeze]])/(Table13[[#This Row],[PM Hi]]-Table13[[#This Row],[Prior day close]]))))</f>
        <v>0.51380552220888354</v>
      </c>
      <c r="AQ68" s="17">
        <f>390+Table13[[#This Row],[Time until ideal entry point (mins) from open]]</f>
        <v>426</v>
      </c>
      <c r="AR68" s="51">
        <f>(Table13[[#This Row],[Time until ideal entry + 390 (6:30)]]+Table13[[#This Row],[Duration of frontside (mins)]])/1440</f>
        <v>0.36944444444444446</v>
      </c>
    </row>
    <row r="69" spans="1:44" s="26" customFormat="1" x14ac:dyDescent="0.25">
      <c r="A69" s="10" t="s">
        <v>109</v>
      </c>
      <c r="B69" s="11">
        <v>44063</v>
      </c>
      <c r="C69" s="47" t="s">
        <v>71</v>
      </c>
      <c r="D69" s="12">
        <v>0.55000000000000004</v>
      </c>
      <c r="E69" s="13">
        <v>0.53</v>
      </c>
      <c r="F69" s="12">
        <v>1.02</v>
      </c>
      <c r="G69" s="12">
        <v>0.53</v>
      </c>
      <c r="H69" s="12">
        <v>0.93</v>
      </c>
      <c r="I69" s="12">
        <v>0.97</v>
      </c>
      <c r="J69" s="12">
        <v>1.1200000000000001</v>
      </c>
      <c r="K69" s="12">
        <v>0.88</v>
      </c>
      <c r="L69" s="12">
        <v>2.1800000000000002</v>
      </c>
      <c r="M69" s="12">
        <v>2.1800000000000002</v>
      </c>
      <c r="N69" s="13">
        <v>933393101</v>
      </c>
      <c r="O69" s="12">
        <v>1723463205</v>
      </c>
      <c r="P69" s="13">
        <f>0.5*Table13[[#This Row],[FLOAT(M)]]</f>
        <v>15.855</v>
      </c>
      <c r="Q69" s="13">
        <v>31.71</v>
      </c>
      <c r="R69" s="13"/>
      <c r="S69" s="13">
        <v>24496244</v>
      </c>
      <c r="T69" s="13" t="s">
        <v>43</v>
      </c>
      <c r="U69" t="s">
        <v>43</v>
      </c>
      <c r="V69">
        <v>14</v>
      </c>
      <c r="W69">
        <v>15</v>
      </c>
      <c r="X69">
        <v>0.91</v>
      </c>
      <c r="Y69">
        <v>189</v>
      </c>
      <c r="Z69" s="15">
        <f>Table13[[#This Row],[Time until ideal entry + 390 (6:30)]]/(1440)</f>
        <v>0.28125</v>
      </c>
      <c r="AA69" s="18">
        <f t="shared" si="6"/>
        <v>0.85454545454545439</v>
      </c>
      <c r="AB69" s="18">
        <f>IF(Table13[[#This Row],[HOD AFTER PM HI]]&gt;=Table13[[#This Row],[PM Hi]],((Table13[[#This Row],[HOD AFTER PM HI]]-Table13[[#This Row],[Prior day close]])/Table13[[#This Row],[Prior day close]]),Table13[[#This Row],[Prior Close to PM Hi %]])</f>
        <v>2.9636363636363634</v>
      </c>
      <c r="AC69" s="18">
        <f>(Table13[[#This Row],[Price at hi of squeeze]]-Table13[[#This Row],[MKT Open Price]])/Table13[[#This Row],[MKT Open Price]]</f>
        <v>1.2474226804123714</v>
      </c>
      <c r="AD69" s="18">
        <f>(Table13[[#This Row],[Price at hi of squeeze]]-Table13[[#This Row],[PM Hi]])/Table13[[#This Row],[PM Hi]]</f>
        <v>1.1372549019607845</v>
      </c>
      <c r="AE69" s="18">
        <f t="shared" si="5"/>
        <v>1.4772727272727275</v>
      </c>
      <c r="AF69" s="20">
        <f>Table13[[#This Row],[PM VOL]]/1000000/Table13[[#This Row],[FLOAT(M)]]</f>
        <v>0.77250848312835063</v>
      </c>
      <c r="AG69" s="23">
        <f>(Table13[[#This Row],[Volume]]/1000000)/Table13[[#This Row],[FLOAT(M)]]</f>
        <v>29.435291737622201</v>
      </c>
      <c r="AH69" s="18">
        <f>(Table13[[#This Row],[Hi of Spike after open before drop]]-Table13[[#This Row],[MKT Open Price]])/Table13[[#This Row],[MKT Open Price]]</f>
        <v>0.1546391752577321</v>
      </c>
      <c r="AI69" s="18">
        <f>(Table13[[#This Row],[PM Hi]]-Table13[[#This Row],[MKT Open Price]])/(Table13[[#This Row],[PM Hi]])</f>
        <v>4.9019607843137296E-2</v>
      </c>
      <c r="AJ69" s="16">
        <f>IF(Table13[[#This Row],[PM LO]]&gt;Table13[[#This Row],[Prior day close]],(Table13[[#This Row],[PM Hi]]-Table13[[#This Row],[MKT Open Price]])/(Table13[[#This Row],[PM Hi]]-Table13[[#This Row],[Prior day close]]),(Table13[[#This Row],[PM Hi]]-Table13[[#This Row],[MKT Open Price]])/(Table13[[#This Row],[PM Hi]]-Table13[[#This Row],[PM LO]]))</f>
        <v>0.10204081632653071</v>
      </c>
      <c r="AK69" s="16">
        <f>IF(Table13[[#This Row],[Prior day close]]&lt;Table13[[#This Row],[PM LO]],(I69-K69)/(I69-Table13[[#This Row],[Prior day close]]),(I69-K69)/(I69-Table13[[#This Row],[PM LO]]))</f>
        <v>0.2045454545454545</v>
      </c>
      <c r="AL69" s="16">
        <f>Table13[[#This Row],[Spike % on open before drop]]+AM69</f>
        <v>0.24742268041237125</v>
      </c>
      <c r="AM69" s="16">
        <f t="shared" si="7"/>
        <v>9.2783505154639151E-2</v>
      </c>
      <c r="AN69" s="18">
        <f>IF($J69&gt;=$F69,($J69-$K69)/($J69),(IF($H69&lt;=$K69,($F69-$H69)/($F69),(Table13[[#This Row],[PM Hi]]-Table13[[#This Row],[Lowest lo from open to squeeze]])/(Table13[[#This Row],[PM Hi]]))))</f>
        <v>0.21428571428571436</v>
      </c>
      <c r="AO69" s="18">
        <f>IF(Table13[[#This Row],[Prior day close]]&lt;=Table13[[#This Row],[PM LO]],IF($J69&gt;=$F69,($J69-$K69)/($J69-Table13[[#This Row],[Prior day close]]),(IF($H69&lt;=$K69,($F69-$H69)/($F69-Table13[[#This Row],[Prior day close]]),(Table13[[#This Row],[PM Hi]]-Table13[[#This Row],[Lowest lo from open to squeeze]])/(Table13[[#This Row],[PM Hi]]-Table13[[#This Row],[Prior day close]])))),IF($J69&gt;=$F69,($J69-$K69)/($J69-Table13[[#This Row],[PM LO]]),(IF($H69&lt;=$K69,($F69-$H69)/($F69-Table13[[#This Row],[PM LO]]),(Table13[[#This Row],[PM Hi]]-Table13[[#This Row],[Lowest lo from open to squeeze]])/(Table13[[#This Row],[PM Hi]]-Table13[[#This Row],[PM LO]])))))</f>
        <v>0.40677966101694929</v>
      </c>
      <c r="AP69" s="18">
        <f>IF(J69&gt;=F69,(J69-K69)/(J69-D69),(IF(H69&lt;=K69,(F69-H69)/(F69-D69),(Table13[[#This Row],[PM Hi]]-Table13[[#This Row],[Lowest lo from open to squeeze]])/(Table13[[#This Row],[PM Hi]]-Table13[[#This Row],[Prior day close]]))))</f>
        <v>0.42105263157894751</v>
      </c>
      <c r="AQ69" s="17">
        <f>390+Table13[[#This Row],[Time until ideal entry point (mins) from open]]</f>
        <v>405</v>
      </c>
      <c r="AR69" s="51">
        <f>(Table13[[#This Row],[Time until ideal entry + 390 (6:30)]]+Table13[[#This Row],[Duration of frontside (mins)]])/1440</f>
        <v>0.41249999999999998</v>
      </c>
    </row>
    <row r="70" spans="1:44" x14ac:dyDescent="0.25">
      <c r="A70" s="10" t="s">
        <v>110</v>
      </c>
      <c r="B70" s="11">
        <v>44067</v>
      </c>
      <c r="C70" s="47" t="s">
        <v>71</v>
      </c>
      <c r="D70" s="12">
        <v>0.88</v>
      </c>
      <c r="E70" s="13">
        <v>0.86</v>
      </c>
      <c r="F70" s="12">
        <v>1.54</v>
      </c>
      <c r="G70" s="12">
        <v>0.86</v>
      </c>
      <c r="H70" s="12">
        <v>1.3</v>
      </c>
      <c r="I70" s="12">
        <v>1.32</v>
      </c>
      <c r="J70" s="12">
        <v>1.47</v>
      </c>
      <c r="K70" s="12">
        <v>1.1499999999999999</v>
      </c>
      <c r="L70" s="12">
        <v>2.23</v>
      </c>
      <c r="M70" s="12">
        <v>2.23</v>
      </c>
      <c r="N70" s="13">
        <v>151453000</v>
      </c>
      <c r="O70" s="12">
        <v>179263600</v>
      </c>
      <c r="P70" s="13">
        <f>Table13[[#This Row],[FLOAT(M)]]*0.8</f>
        <v>19.272000000000002</v>
      </c>
      <c r="Q70" s="13">
        <v>24.09</v>
      </c>
      <c r="R70" s="13"/>
      <c r="S70" s="13">
        <v>1479809</v>
      </c>
      <c r="T70" s="13" t="s">
        <v>43</v>
      </c>
      <c r="U70" t="s">
        <v>43</v>
      </c>
      <c r="V70">
        <v>3</v>
      </c>
      <c r="W70">
        <v>4</v>
      </c>
      <c r="X70">
        <v>1.26</v>
      </c>
      <c r="Y70">
        <v>65</v>
      </c>
      <c r="Z70" s="15">
        <f>Table13[[#This Row],[Time until ideal entry + 390 (6:30)]]/(1440)</f>
        <v>0.27361111111111114</v>
      </c>
      <c r="AA70" s="18">
        <f t="shared" si="6"/>
        <v>0.75</v>
      </c>
      <c r="AB70" s="18">
        <f>IF(Table13[[#This Row],[HOD AFTER PM HI]]&gt;=Table13[[#This Row],[PM Hi]],((Table13[[#This Row],[HOD AFTER PM HI]]-Table13[[#This Row],[Prior day close]])/Table13[[#This Row],[Prior day close]]),Table13[[#This Row],[Prior Close to PM Hi %]])</f>
        <v>1.5340909090909092</v>
      </c>
      <c r="AC70" s="18">
        <f>(Table13[[#This Row],[Price at hi of squeeze]]-Table13[[#This Row],[MKT Open Price]])/Table13[[#This Row],[MKT Open Price]]</f>
        <v>0.68939393939393934</v>
      </c>
      <c r="AD70" s="18">
        <f>(Table13[[#This Row],[Price at hi of squeeze]]-Table13[[#This Row],[PM Hi]])/Table13[[#This Row],[PM Hi]]</f>
        <v>0.44805194805194803</v>
      </c>
      <c r="AE70" s="18">
        <f t="shared" si="5"/>
        <v>0.93913043478260883</v>
      </c>
      <c r="AF70" s="20">
        <f>Table13[[#This Row],[PM VOL]]/1000000/Table13[[#This Row],[FLOAT(M)]]</f>
        <v>6.1428352013283519E-2</v>
      </c>
      <c r="AG70" s="23">
        <f>(Table13[[#This Row],[Volume]]/1000000)/Table13[[#This Row],[FLOAT(M)]]</f>
        <v>6.2869655458696556</v>
      </c>
      <c r="AH70" s="18">
        <f>(Table13[[#This Row],[Hi of Spike after open before drop]]-Table13[[#This Row],[MKT Open Price]])/Table13[[#This Row],[MKT Open Price]]</f>
        <v>0.11363636363636356</v>
      </c>
      <c r="AI70" s="18">
        <f>(Table13[[#This Row],[PM Hi]]-Table13[[#This Row],[MKT Open Price]])/(Table13[[#This Row],[PM Hi]])</f>
        <v>0.14285714285714285</v>
      </c>
      <c r="AJ70" s="16">
        <f>IF(Table13[[#This Row],[PM LO]]&gt;Table13[[#This Row],[Prior day close]],(Table13[[#This Row],[PM Hi]]-Table13[[#This Row],[MKT Open Price]])/(Table13[[#This Row],[PM Hi]]-Table13[[#This Row],[Prior day close]]),(Table13[[#This Row],[PM Hi]]-Table13[[#This Row],[MKT Open Price]])/(Table13[[#This Row],[PM Hi]]-Table13[[#This Row],[PM LO]]))</f>
        <v>0.32352941176470584</v>
      </c>
      <c r="AK70" s="16">
        <f>IF(Table13[[#This Row],[Prior day close]]&lt;Table13[[#This Row],[PM LO]],(I70-K70)/(I70-Table13[[#This Row],[Prior day close]]),(I70-K70)/(I70-Table13[[#This Row],[PM LO]]))</f>
        <v>0.3695652173913046</v>
      </c>
      <c r="AL70" s="16">
        <f>Table13[[#This Row],[Spike % on open before drop]]+AM70</f>
        <v>0.24242424242424246</v>
      </c>
      <c r="AM70" s="16">
        <f t="shared" si="7"/>
        <v>0.1287878787878789</v>
      </c>
      <c r="AN70" s="18">
        <f>IF($J70&gt;=$F70,($J70-$K70)/($J70),(IF($H70&lt;=$K70,($F70-$H70)/($F70),(Table13[[#This Row],[PM Hi]]-Table13[[#This Row],[Lowest lo from open to squeeze]])/(Table13[[#This Row],[PM Hi]]))))</f>
        <v>0.25324675324675333</v>
      </c>
      <c r="AO70" s="18">
        <f>IF(Table13[[#This Row],[Prior day close]]&lt;=Table13[[#This Row],[PM LO]],IF($J70&gt;=$F70,($J70-$K70)/($J70-Table13[[#This Row],[Prior day close]]),(IF($H70&lt;=$K70,($F70-$H70)/($F70-Table13[[#This Row],[Prior day close]]),(Table13[[#This Row],[PM Hi]]-Table13[[#This Row],[Lowest lo from open to squeeze]])/(Table13[[#This Row],[PM Hi]]-Table13[[#This Row],[Prior day close]])))),IF($J70&gt;=$F70,($J70-$K70)/($J70-Table13[[#This Row],[PM LO]]),(IF($H70&lt;=$K70,($F70-$H70)/($F70-Table13[[#This Row],[PM LO]]),(Table13[[#This Row],[PM Hi]]-Table13[[#This Row],[Lowest lo from open to squeeze]])/(Table13[[#This Row],[PM Hi]]-Table13[[#This Row],[PM LO]])))))</f>
        <v>0.57352941176470607</v>
      </c>
      <c r="AP70" s="18">
        <f>IF(J70&gt;=F70,(J70-K70)/(J70-D70),(IF(H70&lt;=K70,(F70-H70)/(F70-D70),(Table13[[#This Row],[PM Hi]]-Table13[[#This Row],[Lowest lo from open to squeeze]])/(Table13[[#This Row],[PM Hi]]-Table13[[#This Row],[Prior day close]]))))</f>
        <v>0.59090909090909105</v>
      </c>
      <c r="AQ70" s="17">
        <f>390+Table13[[#This Row],[Time until ideal entry point (mins) from open]]</f>
        <v>394</v>
      </c>
      <c r="AR70" s="51">
        <f>(Table13[[#This Row],[Time until ideal entry + 390 (6:30)]]+Table13[[#This Row],[Duration of frontside (mins)]])/1440</f>
        <v>0.31874999999999998</v>
      </c>
    </row>
    <row r="71" spans="1:44" x14ac:dyDescent="0.25">
      <c r="A71" s="24" t="s">
        <v>111</v>
      </c>
      <c r="B71" s="11">
        <v>44082</v>
      </c>
      <c r="C71" s="47" t="s">
        <v>71</v>
      </c>
      <c r="D71" s="12">
        <v>1.05</v>
      </c>
      <c r="E71" s="13">
        <v>1.0900000000000001</v>
      </c>
      <c r="F71" s="12">
        <v>2.02</v>
      </c>
      <c r="G71" s="12">
        <v>1.0900000000000001</v>
      </c>
      <c r="H71" s="12">
        <v>1.9</v>
      </c>
      <c r="I71" s="12">
        <v>1.91</v>
      </c>
      <c r="J71" s="12">
        <v>2.09</v>
      </c>
      <c r="K71" s="12">
        <v>1.65</v>
      </c>
      <c r="L71" s="12">
        <v>2.33</v>
      </c>
      <c r="M71" s="12">
        <v>2.2200000000000002</v>
      </c>
      <c r="N71" s="13">
        <v>165232990</v>
      </c>
      <c r="O71" s="12">
        <v>356903258</v>
      </c>
      <c r="P71" s="37">
        <v>31.5</v>
      </c>
      <c r="Q71">
        <v>19.649999999999999</v>
      </c>
      <c r="R71" s="13"/>
      <c r="S71" s="13">
        <v>6903199</v>
      </c>
      <c r="T71" s="13" t="s">
        <v>41</v>
      </c>
      <c r="U71" t="s">
        <v>43</v>
      </c>
      <c r="V71" s="17">
        <v>14</v>
      </c>
      <c r="W71">
        <v>15</v>
      </c>
      <c r="X71">
        <v>1.7</v>
      </c>
      <c r="Y71">
        <v>33</v>
      </c>
      <c r="Z71" s="15">
        <f>Table13[[#This Row],[Time until ideal entry + 390 (6:30)]]/(1440)</f>
        <v>0.28125</v>
      </c>
      <c r="AA71" s="18">
        <f t="shared" si="6"/>
        <v>0.92380952380952375</v>
      </c>
      <c r="AB71" s="18">
        <f>IF(Table13[[#This Row],[HOD AFTER PM HI]]&gt;=Table13[[#This Row],[PM Hi]],((Table13[[#This Row],[HOD AFTER PM HI]]-Table13[[#This Row],[Prior day close]])/Table13[[#This Row],[Prior day close]]),Table13[[#This Row],[Prior Close to PM Hi %]])</f>
        <v>1.2190476190476189</v>
      </c>
      <c r="AC71" s="18">
        <f>(Table13[[#This Row],[Price at hi of squeeze]]-Table13[[#This Row],[MKT Open Price]])/Table13[[#This Row],[MKT Open Price]]</f>
        <v>0.16230366492146611</v>
      </c>
      <c r="AD71" s="18">
        <f>(Table13[[#This Row],[Price at hi of squeeze]]-Table13[[#This Row],[PM Hi]])/Table13[[#This Row],[PM Hi]]</f>
        <v>9.9009900990099098E-2</v>
      </c>
      <c r="AE71" s="18">
        <f t="shared" si="5"/>
        <v>0.34545454545454563</v>
      </c>
      <c r="AF71" s="20">
        <f>Table13[[#This Row],[PM VOL]]/1000000/Table13[[#This Row],[FLOAT(M)]]</f>
        <v>0.35130783715012726</v>
      </c>
      <c r="AG71" s="23">
        <f>(Table13[[#This Row],[Volume]]/1000000)/Table13[[#This Row],[FLOAT(M)]]</f>
        <v>8.4088035623409674</v>
      </c>
      <c r="AH71" s="18">
        <f>(Table13[[#This Row],[Hi of Spike after open before drop]]-Table13[[#This Row],[MKT Open Price]])/Table13[[#This Row],[MKT Open Price]]</f>
        <v>9.4240837696335053E-2</v>
      </c>
      <c r="AI71" s="18">
        <f>(Table13[[#This Row],[PM Hi]]-Table13[[#This Row],[MKT Open Price]])/(Table13[[#This Row],[PM Hi]])</f>
        <v>5.4455445544554504E-2</v>
      </c>
      <c r="AJ71" s="16">
        <f>IF(Table13[[#This Row],[PM LO]]&gt;Table13[[#This Row],[Prior day close]],(Table13[[#This Row],[PM Hi]]-Table13[[#This Row],[MKT Open Price]])/(Table13[[#This Row],[PM Hi]]-Table13[[#This Row],[Prior day close]]),(Table13[[#This Row],[PM Hi]]-Table13[[#This Row],[MKT Open Price]])/(Table13[[#This Row],[PM Hi]]-Table13[[#This Row],[PM LO]]))</f>
        <v>0.11340206185567021</v>
      </c>
      <c r="AK71" s="16">
        <f>IF(Table13[[#This Row],[Prior day close]]&lt;Table13[[#This Row],[PM LO]],(I71-K71)/(I71-Table13[[#This Row],[Prior day close]]),(I71-K71)/(I71-Table13[[#This Row],[PM LO]]))</f>
        <v>0.30232558139534887</v>
      </c>
      <c r="AL71" s="16">
        <f>Table13[[#This Row],[Spike % on open before drop]]+AM71</f>
        <v>0.23036649214659682</v>
      </c>
      <c r="AM71" s="16">
        <f t="shared" si="7"/>
        <v>0.13612565445026178</v>
      </c>
      <c r="AN71" s="18">
        <f>IF($J71&gt;=$F71,($J71-$K71)/($J71),(IF($H71&lt;=$K71,($F71-$H71)/($F71),(Table13[[#This Row],[PM Hi]]-Table13[[#This Row],[Lowest lo from open to squeeze]])/(Table13[[#This Row],[PM Hi]]))))</f>
        <v>0.21052631578947367</v>
      </c>
      <c r="AO71" s="18">
        <f>IF(Table13[[#This Row],[Prior day close]]&lt;=Table13[[#This Row],[PM LO]],IF($J71&gt;=$F71,($J71-$K71)/($J71-Table13[[#This Row],[Prior day close]]),(IF($H71&lt;=$K71,($F71-$H71)/($F71-Table13[[#This Row],[Prior day close]]),(Table13[[#This Row],[PM Hi]]-Table13[[#This Row],[Lowest lo from open to squeeze]])/(Table13[[#This Row],[PM Hi]]-Table13[[#This Row],[Prior day close]])))),IF($J71&gt;=$F71,($J71-$K71)/($J71-Table13[[#This Row],[PM LO]]),(IF($H71&lt;=$K71,($F71-$H71)/($F71-Table13[[#This Row],[PM LO]]),(Table13[[#This Row],[PM Hi]]-Table13[[#This Row],[Lowest lo from open to squeeze]])/(Table13[[#This Row],[PM Hi]]-Table13[[#This Row],[PM LO]])))))</f>
        <v>0.42307692307692313</v>
      </c>
      <c r="AP71" s="18">
        <f>IF(J71&gt;=F71,(J71-K71)/(J71-D71),(IF(H71&lt;=K71,(F71-H71)/(F71-D71),(Table13[[#This Row],[PM Hi]]-Table13[[#This Row],[Lowest lo from open to squeeze]])/(Table13[[#This Row],[PM Hi]]-Table13[[#This Row],[Prior day close]]))))</f>
        <v>0.42307692307692313</v>
      </c>
      <c r="AQ71" s="17">
        <f>390+Table13[[#This Row],[Time until ideal entry point (mins) from open]]</f>
        <v>405</v>
      </c>
      <c r="AR71" s="51">
        <f>(Table13[[#This Row],[Time until ideal entry + 390 (6:30)]]+Table13[[#This Row],[Duration of frontside (mins)]])/1440</f>
        <v>0.30416666666666664</v>
      </c>
    </row>
    <row r="72" spans="1:44" x14ac:dyDescent="0.25">
      <c r="A72" s="26" t="s">
        <v>112</v>
      </c>
      <c r="B72" s="27">
        <v>44089</v>
      </c>
      <c r="C72" s="47" t="s">
        <v>71</v>
      </c>
      <c r="D72" s="28">
        <v>2.11</v>
      </c>
      <c r="E72" s="29">
        <v>2.85</v>
      </c>
      <c r="F72" s="28">
        <v>4.2</v>
      </c>
      <c r="G72" s="28">
        <v>2.8</v>
      </c>
      <c r="H72" s="28">
        <v>3.2</v>
      </c>
      <c r="I72" s="28">
        <v>3.34</v>
      </c>
      <c r="J72" s="28">
        <v>3.36</v>
      </c>
      <c r="K72" s="28">
        <v>2.98</v>
      </c>
      <c r="L72" s="28">
        <v>4.07</v>
      </c>
      <c r="M72" s="28">
        <v>3.97</v>
      </c>
      <c r="N72" s="29">
        <v>166063860</v>
      </c>
      <c r="O72" s="28">
        <v>528083074</v>
      </c>
      <c r="P72" s="29">
        <v>251.41</v>
      </c>
      <c r="Q72" s="26">
        <v>82.92</v>
      </c>
      <c r="R72" s="29"/>
      <c r="S72" s="29">
        <v>5207608</v>
      </c>
      <c r="T72" s="29" t="s">
        <v>41</v>
      </c>
      <c r="U72" s="26" t="s">
        <v>43</v>
      </c>
      <c r="V72" s="32">
        <v>6</v>
      </c>
      <c r="W72" s="26">
        <v>7</v>
      </c>
      <c r="X72" s="26">
        <v>3.05</v>
      </c>
      <c r="Y72" s="26">
        <v>132</v>
      </c>
      <c r="Z72" s="30">
        <f>Table13[[#This Row],[Time until ideal entry + 390 (6:30)]]/(1440)</f>
        <v>0.27569444444444446</v>
      </c>
      <c r="AA72" s="31">
        <f t="shared" si="6"/>
        <v>0.99052132701421824</v>
      </c>
      <c r="AB72" s="31">
        <f>IF(Table13[[#This Row],[HOD AFTER PM HI]]&gt;=Table13[[#This Row],[PM Hi]],((Table13[[#This Row],[HOD AFTER PM HI]]-Table13[[#This Row],[Prior day close]])/Table13[[#This Row],[Prior day close]]),Table13[[#This Row],[Prior Close to PM Hi %]])</f>
        <v>0.99052132701421824</v>
      </c>
      <c r="AC72" s="31">
        <f>(Table13[[#This Row],[Price at hi of squeeze]]-Table13[[#This Row],[MKT Open Price]])/Table13[[#This Row],[MKT Open Price]]</f>
        <v>0.18862275449101806</v>
      </c>
      <c r="AD72" s="33">
        <f>(Table13[[#This Row],[Price at hi of squeeze]]-Table13[[#This Row],[PM Hi]])/Table13[[#This Row],[PM Hi]]</f>
        <v>-5.4761904761904755E-2</v>
      </c>
      <c r="AE72" s="18">
        <f t="shared" ref="AE72:AE100" si="8">(M72-K72)/K72</f>
        <v>0.33221476510067122</v>
      </c>
      <c r="AF72" s="35">
        <f>Table13[[#This Row],[PM VOL]]/1000000/Table13[[#This Row],[FLOAT(M)]]</f>
        <v>6.2802797877472255E-2</v>
      </c>
      <c r="AG72" s="34">
        <f>(Table13[[#This Row],[Volume]]/1000000)/Table13[[#This Row],[FLOAT(M)]]</f>
        <v>2.0026997105643995</v>
      </c>
      <c r="AH72" s="31">
        <f>(Table13[[#This Row],[Hi of Spike after open before drop]]-Table13[[#This Row],[MKT Open Price]])/Table13[[#This Row],[MKT Open Price]]</f>
        <v>5.988023952095814E-3</v>
      </c>
      <c r="AI72" s="31">
        <f>(Table13[[#This Row],[PM Hi]]-Table13[[#This Row],[MKT Open Price]])/(Table13[[#This Row],[PM Hi]])</f>
        <v>0.20476190476190484</v>
      </c>
      <c r="AJ72" s="16">
        <f>IF(Table13[[#This Row],[PM LO]]&gt;Table13[[#This Row],[Prior day close]],(Table13[[#This Row],[PM Hi]]-Table13[[#This Row],[MKT Open Price]])/(Table13[[#This Row],[PM Hi]]-Table13[[#This Row],[Prior day close]]),(Table13[[#This Row],[PM Hi]]-Table13[[#This Row],[MKT Open Price]])/(Table13[[#This Row],[PM Hi]]-Table13[[#This Row],[PM LO]]))</f>
        <v>0.41148325358851684</v>
      </c>
      <c r="AK72" s="31">
        <f>IF(Table13[[#This Row],[Prior day close]]&lt;Table13[[#This Row],[PM LO]],(I72-K72)/(I72-Table13[[#This Row],[Prior day close]]),(I72-K72)/(I72-Table13[[#This Row],[PM LO]]))</f>
        <v>0.29268292682926822</v>
      </c>
      <c r="AL72" s="31">
        <f>Table13[[#This Row],[Spike % on open before drop]]+AM72</f>
        <v>0.11377245508982033</v>
      </c>
      <c r="AM72" s="16">
        <f t="shared" si="7"/>
        <v>0.10778443113772451</v>
      </c>
      <c r="AN72" s="31">
        <f>IF($J72&gt;=$F72,($J72-$K72)/($J72),(IF($H72&lt;=$K72,($F72-$H72)/($F72),(Table13[[#This Row],[PM Hi]]-Table13[[#This Row],[Lowest lo from open to squeeze]])/(Table13[[#This Row],[PM Hi]]))))</f>
        <v>0.2904761904761905</v>
      </c>
      <c r="AO72" s="31">
        <f>IF(Table13[[#This Row],[Prior day close]]&lt;=Table13[[#This Row],[PM LO]],IF($J72&gt;=$F72,($J72-$K72)/($J72-Table13[[#This Row],[Prior day close]]),(IF($H72&lt;=$K72,($F72-$H72)/($F72-Table13[[#This Row],[Prior day close]]),(Table13[[#This Row],[PM Hi]]-Table13[[#This Row],[Lowest lo from open to squeeze]])/(Table13[[#This Row],[PM Hi]]-Table13[[#This Row],[Prior day close]])))),IF($J72&gt;=$F72,($J72-$K72)/($J72-Table13[[#This Row],[PM LO]]),(IF($H72&lt;=$K72,($F72-$H72)/($F72-Table13[[#This Row],[PM LO]]),(Table13[[#This Row],[PM Hi]]-Table13[[#This Row],[Lowest lo from open to squeeze]])/(Table13[[#This Row],[PM Hi]]-Table13[[#This Row],[PM LO]])))))</f>
        <v>0.58373205741626799</v>
      </c>
      <c r="AP72" s="31">
        <f>IF(J72&gt;=F72,(J72-K72)/(J72-D72),(IF(H72&lt;=K72,(F72-H72)/(F72-D72),(Table13[[#This Row],[PM Hi]]-Table13[[#This Row],[Lowest lo from open to squeeze]])/(Table13[[#This Row],[PM Hi]]-Table13[[#This Row],[Prior day close]]))))</f>
        <v>0.58373205741626799</v>
      </c>
      <c r="AQ72" s="32">
        <f>390+Table13[[#This Row],[Time until ideal entry point (mins) from open]]</f>
        <v>397</v>
      </c>
      <c r="AR72" s="51">
        <f>(Table13[[#This Row],[Time until ideal entry + 390 (6:30)]]+Table13[[#This Row],[Duration of frontside (mins)]])/1440</f>
        <v>0.36736111111111114</v>
      </c>
    </row>
    <row r="73" spans="1:44" x14ac:dyDescent="0.25">
      <c r="A73" s="24" t="s">
        <v>77</v>
      </c>
      <c r="B73" s="11">
        <v>44092</v>
      </c>
      <c r="C73" s="47" t="s">
        <v>71</v>
      </c>
      <c r="D73" s="12">
        <v>8.33</v>
      </c>
      <c r="E73" s="13">
        <v>8.44</v>
      </c>
      <c r="F73" s="12">
        <v>9.4</v>
      </c>
      <c r="G73" s="12">
        <v>7.86</v>
      </c>
      <c r="H73" s="12">
        <v>8.51</v>
      </c>
      <c r="I73" s="12">
        <v>8.75</v>
      </c>
      <c r="J73" s="12">
        <v>9.0399999999999991</v>
      </c>
      <c r="K73" s="12">
        <v>8.4</v>
      </c>
      <c r="L73" s="12">
        <v>10.45</v>
      </c>
      <c r="M73" s="12">
        <v>10.130000000000001</v>
      </c>
      <c r="N73" s="13">
        <v>107523863</v>
      </c>
      <c r="O73" s="12">
        <v>1051583380</v>
      </c>
      <c r="P73" s="37">
        <v>166.97</v>
      </c>
      <c r="Q73">
        <v>22.32</v>
      </c>
      <c r="R73" s="13"/>
      <c r="S73" s="13">
        <v>4490615</v>
      </c>
      <c r="T73" s="13" t="s">
        <v>43</v>
      </c>
      <c r="U73" t="s">
        <v>41</v>
      </c>
      <c r="V73" s="17">
        <v>11</v>
      </c>
      <c r="W73">
        <v>12</v>
      </c>
      <c r="X73">
        <v>8.5500000000000007</v>
      </c>
      <c r="Y73">
        <v>73</v>
      </c>
      <c r="Z73" s="15">
        <f>Table13[[#This Row],[Time until ideal entry + 390 (6:30)]]/(1440)</f>
        <v>0.27916666666666667</v>
      </c>
      <c r="AA73" s="18">
        <f t="shared" si="6"/>
        <v>0.12845138055222091</v>
      </c>
      <c r="AB73" s="18">
        <f>IF(Table13[[#This Row],[HOD AFTER PM HI]]&gt;=Table13[[#This Row],[PM Hi]],((Table13[[#This Row],[HOD AFTER PM HI]]-Table13[[#This Row],[Prior day close]])/Table13[[#This Row],[Prior day close]]),Table13[[#This Row],[Prior Close to PM Hi %]])</f>
        <v>0.254501800720288</v>
      </c>
      <c r="AC73" s="18">
        <f>(Table13[[#This Row],[Price at hi of squeeze]]-Table13[[#This Row],[MKT Open Price]])/Table13[[#This Row],[MKT Open Price]]</f>
        <v>0.15771428571428581</v>
      </c>
      <c r="AD73" s="18">
        <f>(Table13[[#This Row],[Price at hi of squeeze]]-Table13[[#This Row],[PM Hi]])/Table13[[#This Row],[PM Hi]]</f>
        <v>7.7659574468085149E-2</v>
      </c>
      <c r="AE73" s="18">
        <f t="shared" si="8"/>
        <v>0.205952380952381</v>
      </c>
      <c r="AF73" s="20">
        <f>Table13[[#This Row],[PM VOL]]/1000000/Table13[[#This Row],[FLOAT(M)]]</f>
        <v>0.20119242831541218</v>
      </c>
      <c r="AG73" s="23">
        <f>(Table13[[#This Row],[Volume]]/1000000)/Table13[[#This Row],[FLOAT(M)]]</f>
        <v>4.8173773745519712</v>
      </c>
      <c r="AH73" s="18">
        <f>(Table13[[#This Row],[Hi of Spike after open before drop]]-Table13[[#This Row],[MKT Open Price]])/Table13[[#This Row],[MKT Open Price]]</f>
        <v>3.3142857142857043E-2</v>
      </c>
      <c r="AI73" s="18">
        <f>(Table13[[#This Row],[PM Hi]]-Table13[[#This Row],[MKT Open Price]])/(Table13[[#This Row],[PM Hi]])</f>
        <v>6.9148936170212796E-2</v>
      </c>
      <c r="AJ73" s="16">
        <f>IF(Table13[[#This Row],[PM LO]]&gt;Table13[[#This Row],[Prior day close]],(Table13[[#This Row],[PM Hi]]-Table13[[#This Row],[MKT Open Price]])/(Table13[[#This Row],[PM Hi]]-Table13[[#This Row],[Prior day close]]),(Table13[[#This Row],[PM Hi]]-Table13[[#This Row],[MKT Open Price]])/(Table13[[#This Row],[PM Hi]]-Table13[[#This Row],[PM LO]]))</f>
        <v>0.42207792207792227</v>
      </c>
      <c r="AK73" s="18">
        <f>IF(Table13[[#This Row],[Prior day close]]&lt;Table13[[#This Row],[PM LO]],(I73-K73)/(I73-Table13[[#This Row],[Prior day close]]),(I73-K73)/(I73-Table13[[#This Row],[PM LO]]))</f>
        <v>0.39325842696629187</v>
      </c>
      <c r="AL73" s="18">
        <f>Table13[[#This Row],[Spike % on open before drop]]+AM73</f>
        <v>7.314285714285701E-2</v>
      </c>
      <c r="AM73" s="16">
        <f t="shared" si="7"/>
        <v>3.9999999999999959E-2</v>
      </c>
      <c r="AN73" s="18">
        <f>IF($J73&gt;=$F73,($J73-$K73)/($J73),(IF($H73&lt;=$K73,($F73-$H73)/($F73),(Table13[[#This Row],[PM Hi]]-Table13[[#This Row],[Lowest lo from open to squeeze]])/(Table13[[#This Row],[PM Hi]]))))</f>
        <v>0.10638297872340426</v>
      </c>
      <c r="AO73" s="18">
        <f>IF(Table13[[#This Row],[Prior day close]]&lt;=Table13[[#This Row],[PM LO]],IF($J73&gt;=$F73,($J73-$K73)/($J73-Table13[[#This Row],[Prior day close]]),(IF($H73&lt;=$K73,($F73-$H73)/($F73-Table13[[#This Row],[Prior day close]]),(Table13[[#This Row],[PM Hi]]-Table13[[#This Row],[Lowest lo from open to squeeze]])/(Table13[[#This Row],[PM Hi]]-Table13[[#This Row],[Prior day close]])))),IF($J73&gt;=$F73,($J73-$K73)/($J73-Table13[[#This Row],[PM LO]]),(IF($H73&lt;=$K73,($F73-$H73)/($F73-Table13[[#This Row],[PM LO]]),(Table13[[#This Row],[PM Hi]]-Table13[[#This Row],[Lowest lo from open to squeeze]])/(Table13[[#This Row],[PM Hi]]-Table13[[#This Row],[PM LO]])))))</f>
        <v>0.64935064935064934</v>
      </c>
      <c r="AP73" s="18">
        <f>IF(J73&gt;=F73,(J73-K73)/(J73-D73),(IF(H73&lt;=K73,(F73-H73)/(F73-D73),(Table13[[#This Row],[PM Hi]]-Table13[[#This Row],[Lowest lo from open to squeeze]])/(Table13[[#This Row],[PM Hi]]-Table13[[#This Row],[Prior day close]]))))</f>
        <v>0.93457943925233622</v>
      </c>
      <c r="AQ73" s="17">
        <f>390+Table13[[#This Row],[Time until ideal entry point (mins) from open]]</f>
        <v>402</v>
      </c>
      <c r="AR73" s="51">
        <f>(Table13[[#This Row],[Time until ideal entry + 390 (6:30)]]+Table13[[#This Row],[Duration of frontside (mins)]])/1440</f>
        <v>0.3298611111111111</v>
      </c>
    </row>
    <row r="74" spans="1:44" x14ac:dyDescent="0.25">
      <c r="A74" s="24" t="s">
        <v>113</v>
      </c>
      <c r="B74" s="45">
        <v>44097</v>
      </c>
      <c r="C74" s="47" t="s">
        <v>71</v>
      </c>
      <c r="D74" s="12">
        <v>1.07</v>
      </c>
      <c r="E74" s="13">
        <v>1.0900000000000001</v>
      </c>
      <c r="F74" s="12">
        <v>4.03</v>
      </c>
      <c r="G74" s="12">
        <v>1.0900000000000001</v>
      </c>
      <c r="H74" s="12">
        <v>2.88</v>
      </c>
      <c r="I74" s="12">
        <v>3.54</v>
      </c>
      <c r="J74" s="12">
        <v>4.2300000000000004</v>
      </c>
      <c r="K74" s="12">
        <v>3.3</v>
      </c>
      <c r="L74" s="12">
        <v>46.67</v>
      </c>
      <c r="M74" s="12">
        <v>46.67</v>
      </c>
      <c r="N74" s="13">
        <v>339000000</v>
      </c>
      <c r="O74" s="12">
        <v>5222888908</v>
      </c>
      <c r="P74" s="37">
        <v>15.44</v>
      </c>
      <c r="Q74">
        <v>7.2</v>
      </c>
      <c r="R74" s="13"/>
      <c r="S74" s="13">
        <v>23432797</v>
      </c>
      <c r="T74" s="13" t="s">
        <v>43</v>
      </c>
      <c r="U74" t="s">
        <v>43</v>
      </c>
      <c r="V74" s="17">
        <v>26</v>
      </c>
      <c r="W74">
        <v>27</v>
      </c>
      <c r="X74">
        <v>3.38</v>
      </c>
      <c r="Y74">
        <v>248</v>
      </c>
      <c r="Z74" s="15">
        <f>Table13[[#This Row],[Time until ideal entry + 390 (6:30)]]/(1440)</f>
        <v>0.28958333333333336</v>
      </c>
      <c r="AA74" s="18">
        <f t="shared" si="6"/>
        <v>2.7663551401869158</v>
      </c>
      <c r="AB74" s="18">
        <f>IF(Table13[[#This Row],[HOD AFTER PM HI]]&gt;=Table13[[#This Row],[PM Hi]],((Table13[[#This Row],[HOD AFTER PM HI]]-Table13[[#This Row],[Prior day close]])/Table13[[#This Row],[Prior day close]]),Table13[[#This Row],[Prior Close to PM Hi %]])</f>
        <v>42.616822429906541</v>
      </c>
      <c r="AC74" s="18">
        <f>(Table13[[#This Row],[Price at hi of squeeze]]-Table13[[#This Row],[MKT Open Price]])/Table13[[#This Row],[MKT Open Price]]</f>
        <v>12.18361581920904</v>
      </c>
      <c r="AD74" s="18">
        <f>(Table13[[#This Row],[Price at hi of squeeze]]-Table13[[#This Row],[PM Hi]])/Table13[[#This Row],[PM Hi]]</f>
        <v>10.580645161290322</v>
      </c>
      <c r="AE74" s="18">
        <f t="shared" si="8"/>
        <v>13.142424242424244</v>
      </c>
      <c r="AF74" s="20">
        <f>Table13[[#This Row],[PM VOL]]/1000000/Table13[[#This Row],[FLOAT(M)]]</f>
        <v>3.2545551388888887</v>
      </c>
      <c r="AG74" s="23">
        <f>(Table13[[#This Row],[Volume]]/1000000)/Table13[[#This Row],[FLOAT(M)]]</f>
        <v>47.083333333333336</v>
      </c>
      <c r="AH74" s="18">
        <f>(Table13[[#This Row],[Hi of Spike after open before drop]]-Table13[[#This Row],[MKT Open Price]])/Table13[[#This Row],[MKT Open Price]]</f>
        <v>0.19491525423728825</v>
      </c>
      <c r="AI74" s="18">
        <f>(Table13[[#This Row],[PM Hi]]-Table13[[#This Row],[MKT Open Price]])/(Table13[[#This Row],[PM Hi]])</f>
        <v>0.12158808933002486</v>
      </c>
      <c r="AJ74" s="16">
        <f>IF(Table13[[#This Row],[PM LO]]&gt;Table13[[#This Row],[Prior day close]],(Table13[[#This Row],[PM Hi]]-Table13[[#This Row],[MKT Open Price]])/(Table13[[#This Row],[PM Hi]]-Table13[[#This Row],[Prior day close]]),(Table13[[#This Row],[PM Hi]]-Table13[[#This Row],[MKT Open Price]])/(Table13[[#This Row],[PM Hi]]-Table13[[#This Row],[PM LO]]))</f>
        <v>0.16554054054054063</v>
      </c>
      <c r="AK74" s="18">
        <f>IF(Table13[[#This Row],[Prior day close]]&lt;Table13[[#This Row],[PM LO]],(I74-K74)/(I74-Table13[[#This Row],[Prior day close]]),(I74-K74)/(I74-Table13[[#This Row],[PM LO]]))</f>
        <v>9.7165991902834106E-2</v>
      </c>
      <c r="AL74" s="18">
        <f>Table13[[#This Row],[Spike % on open before drop]]+AM74</f>
        <v>0.26271186440677985</v>
      </c>
      <c r="AM74" s="16">
        <f t="shared" si="7"/>
        <v>6.7796610169491581E-2</v>
      </c>
      <c r="AN74" s="18">
        <f>IF($J74&gt;=$F74,($J74-$K74)/($J74),(IF($H74&lt;=$K74,($F74-$H74)/($F74),(Table13[[#This Row],[PM Hi]]-Table13[[#This Row],[Lowest lo from open to squeeze]])/(Table13[[#This Row],[PM Hi]]))))</f>
        <v>0.21985815602836892</v>
      </c>
      <c r="AO74" s="18">
        <f>IF(Table13[[#This Row],[Prior day close]]&lt;=Table13[[#This Row],[PM LO]],IF($J74&gt;=$F74,($J74-$K74)/($J74-Table13[[#This Row],[Prior day close]]),(IF($H74&lt;=$K74,($F74-$H74)/($F74-Table13[[#This Row],[Prior day close]]),(Table13[[#This Row],[PM Hi]]-Table13[[#This Row],[Lowest lo from open to squeeze]])/(Table13[[#This Row],[PM Hi]]-Table13[[#This Row],[Prior day close]])))),IF($J74&gt;=$F74,($J74-$K74)/($J74-Table13[[#This Row],[PM LO]]),(IF($H74&lt;=$K74,($F74-$H74)/($F74-Table13[[#This Row],[PM LO]]),(Table13[[#This Row],[PM Hi]]-Table13[[#This Row],[Lowest lo from open to squeeze]])/(Table13[[#This Row],[PM Hi]]-Table13[[#This Row],[PM LO]])))))</f>
        <v>0.29430379746835461</v>
      </c>
      <c r="AP74" s="18">
        <f>IF(J74&gt;=F74,(J74-K74)/(J74-D74),(IF(H74&lt;=K74,(F74-H74)/(F74-D74),(Table13[[#This Row],[PM Hi]]-Table13[[#This Row],[Lowest lo from open to squeeze]])/(Table13[[#This Row],[PM Hi]]-Table13[[#This Row],[Prior day close]]))))</f>
        <v>0.29430379746835461</v>
      </c>
      <c r="AQ74" s="17">
        <f>390+Table13[[#This Row],[Time until ideal entry point (mins) from open]]</f>
        <v>417</v>
      </c>
      <c r="AR74" s="51">
        <f>(Table13[[#This Row],[Time until ideal entry + 390 (6:30)]]+Table13[[#This Row],[Duration of frontside (mins)]])/1440</f>
        <v>0.46180555555555558</v>
      </c>
    </row>
    <row r="75" spans="1:44" x14ac:dyDescent="0.25">
      <c r="A75" s="24" t="s">
        <v>114</v>
      </c>
      <c r="B75" s="11">
        <v>44105</v>
      </c>
      <c r="C75" s="47" t="s">
        <v>71</v>
      </c>
      <c r="D75" s="12">
        <v>2.1</v>
      </c>
      <c r="E75" s="13">
        <v>2.5</v>
      </c>
      <c r="F75" s="12">
        <v>5.53</v>
      </c>
      <c r="G75" s="12">
        <v>2.5</v>
      </c>
      <c r="H75" s="12">
        <v>5.09</v>
      </c>
      <c r="I75" s="12">
        <v>5.21</v>
      </c>
      <c r="J75" s="12">
        <v>5.85</v>
      </c>
      <c r="K75" s="12">
        <v>4.87</v>
      </c>
      <c r="L75" s="12">
        <v>6.1</v>
      </c>
      <c r="M75" s="12">
        <v>6.1</v>
      </c>
      <c r="N75" s="13">
        <v>172641392</v>
      </c>
      <c r="O75" s="12">
        <v>597339216</v>
      </c>
      <c r="P75" s="37">
        <v>89.56</v>
      </c>
      <c r="Q75">
        <v>26.54</v>
      </c>
      <c r="R75" s="37" t="s">
        <v>115</v>
      </c>
      <c r="S75" s="37">
        <v>23621806</v>
      </c>
      <c r="T75" s="37" t="s">
        <v>43</v>
      </c>
      <c r="U75" s="37" t="s">
        <v>43</v>
      </c>
      <c r="V75" s="38">
        <v>4</v>
      </c>
      <c r="W75">
        <v>5</v>
      </c>
      <c r="X75" s="39">
        <v>5.0199999999999996</v>
      </c>
      <c r="Y75">
        <v>7</v>
      </c>
      <c r="Z75" s="40">
        <f>Table13[[#This Row],[Time until ideal entry + 390 (6:30)]]/(1440)</f>
        <v>0.27430555555555558</v>
      </c>
      <c r="AA75" s="18">
        <f t="shared" si="6"/>
        <v>1.6333333333333333</v>
      </c>
      <c r="AB75" s="18">
        <f>IF(Table13[[#This Row],[HOD AFTER PM HI]]&gt;=Table13[[#This Row],[PM Hi]],((Table13[[#This Row],[HOD AFTER PM HI]]-Table13[[#This Row],[Prior day close]])/Table13[[#This Row],[Prior day close]]),Table13[[#This Row],[Prior Close to PM Hi %]])</f>
        <v>1.9047619047619044</v>
      </c>
      <c r="AC75" s="42">
        <f>(Table13[[#This Row],[Price at hi of squeeze]]-Table13[[#This Row],[MKT Open Price]])/Table13[[#This Row],[MKT Open Price]]</f>
        <v>0.17082533589251434</v>
      </c>
      <c r="AD75" s="18">
        <f>(Table13[[#This Row],[Price at hi of squeeze]]-Table13[[#This Row],[PM Hi]])/Table13[[#This Row],[PM Hi]]</f>
        <v>0.10307414104882448</v>
      </c>
      <c r="AE75" s="18">
        <f t="shared" si="8"/>
        <v>0.25256673511293626</v>
      </c>
      <c r="AF75" s="20">
        <f>Table13[[#This Row],[PM VOL]]/1000000/Table13[[#This Row],[FLOAT(M)]]</f>
        <v>0.89004544084400905</v>
      </c>
      <c r="AG75" s="23">
        <f>(Table13[[#This Row],[Volume]]/1000000)/Table13[[#This Row],[FLOAT(M)]]</f>
        <v>6.5049507159005273</v>
      </c>
      <c r="AI75" s="18">
        <f>(Table13[[#This Row],[PM Hi]]-Table13[[#This Row],[MKT Open Price]])/(Table13[[#This Row],[PM Hi]])</f>
        <v>5.7866184448462976E-2</v>
      </c>
      <c r="AJ75" s="16">
        <f>IF(Table13[[#This Row],[PM LO]]&gt;Table13[[#This Row],[Prior day close]],(Table13[[#This Row],[PM Hi]]-Table13[[#This Row],[MKT Open Price]])/(Table13[[#This Row],[PM Hi]]-Table13[[#This Row],[Prior day close]]),(Table13[[#This Row],[PM Hi]]-Table13[[#This Row],[MKT Open Price]])/(Table13[[#This Row],[PM Hi]]-Table13[[#This Row],[PM LO]]))</f>
        <v>9.3294460641399499E-2</v>
      </c>
      <c r="AK75" s="18">
        <f>IF(Table13[[#This Row],[Prior day close]]&lt;Table13[[#This Row],[PM LO]],(I75-K75)/(I75-Table13[[#This Row],[Prior day close]]),(I75-K75)/(I75-Table13[[#This Row],[PM LO]]))</f>
        <v>0.10932475884244369</v>
      </c>
      <c r="AL75" s="18">
        <f>Table13[[#This Row],[Spike % on open before drop]]+AM75</f>
        <v>6.5259117082533569E-2</v>
      </c>
      <c r="AM75" s="16">
        <f t="shared" si="7"/>
        <v>6.5259117082533569E-2</v>
      </c>
      <c r="AN75" s="18">
        <f>IF($J75&gt;=$F75,($J75-$K75)/($J75),(IF($H75&lt;=$K75,($F75-$H75)/($F75),(Table13[[#This Row],[PM Hi]]-Table13[[#This Row],[Lowest lo from open to squeeze]])/(Table13[[#This Row],[PM Hi]]))))</f>
        <v>0.16752136752136745</v>
      </c>
      <c r="AO75" s="18">
        <f>IF(Table13[[#This Row],[Prior day close]]&lt;=Table13[[#This Row],[PM LO]],IF($J75&gt;=$F75,($J75-$K75)/($J75-Table13[[#This Row],[Prior day close]]),(IF($H75&lt;=$K75,($F75-$H75)/($F75-Table13[[#This Row],[Prior day close]]),(Table13[[#This Row],[PM Hi]]-Table13[[#This Row],[Lowest lo from open to squeeze]])/(Table13[[#This Row],[PM Hi]]-Table13[[#This Row],[Prior day close]])))),IF($J75&gt;=$F75,($J75-$K75)/($J75-Table13[[#This Row],[PM LO]]),(IF($H75&lt;=$K75,($F75-$H75)/($F75-Table13[[#This Row],[PM LO]]),(Table13[[#This Row],[PM Hi]]-Table13[[#This Row],[Lowest lo from open to squeeze]])/(Table13[[#This Row],[PM Hi]]-Table13[[#This Row],[PM LO]])))))</f>
        <v>0.26133333333333325</v>
      </c>
      <c r="AP75" s="18">
        <f>IF(J75&gt;=F75,(J75-K75)/(J75-D75),(IF(H75&lt;=K75,(F75-H75)/(F75-D75),(Table13[[#This Row],[PM Hi]]-Table13[[#This Row],[Lowest lo from open to squeeze]])/(Table13[[#This Row],[PM Hi]]-Table13[[#This Row],[Prior day close]]))))</f>
        <v>0.26133333333333325</v>
      </c>
      <c r="AQ75" s="17">
        <f>390+Table13[[#This Row],[Time until ideal entry point (mins) from open]]</f>
        <v>395</v>
      </c>
      <c r="AR75" s="51">
        <f>(Table13[[#This Row],[Time until ideal entry + 390 (6:30)]]+Table13[[#This Row],[Duration of frontside (mins)]])/1440</f>
        <v>0.27916666666666667</v>
      </c>
    </row>
    <row r="76" spans="1:44" x14ac:dyDescent="0.25">
      <c r="A76" s="24" t="s">
        <v>116</v>
      </c>
      <c r="B76" s="11">
        <v>44110</v>
      </c>
      <c r="C76" s="47" t="s">
        <v>71</v>
      </c>
      <c r="D76" s="12">
        <v>1.63</v>
      </c>
      <c r="E76" s="13">
        <v>1.63</v>
      </c>
      <c r="F76" s="12">
        <v>3.48</v>
      </c>
      <c r="G76" s="12">
        <v>1.63</v>
      </c>
      <c r="H76" s="12">
        <v>3.07</v>
      </c>
      <c r="I76" s="12">
        <v>3.32</v>
      </c>
      <c r="J76" s="12">
        <v>3.6</v>
      </c>
      <c r="K76" s="12">
        <v>2.9</v>
      </c>
      <c r="L76" s="12">
        <v>9.43</v>
      </c>
      <c r="M76" s="12">
        <v>9.43</v>
      </c>
      <c r="N76" s="13">
        <v>292404017</v>
      </c>
      <c r="O76" s="12">
        <v>19478885</v>
      </c>
      <c r="P76" s="37">
        <v>41.18</v>
      </c>
      <c r="Q76">
        <v>3.2</v>
      </c>
      <c r="R76" s="37" t="s">
        <v>115</v>
      </c>
      <c r="S76" s="37">
        <v>19478885</v>
      </c>
      <c r="T76" s="37" t="s">
        <v>41</v>
      </c>
      <c r="U76" s="37" t="s">
        <v>43</v>
      </c>
      <c r="V76" s="38">
        <v>4</v>
      </c>
      <c r="W76">
        <v>5</v>
      </c>
      <c r="X76" s="39">
        <v>3.02</v>
      </c>
      <c r="Y76">
        <v>87</v>
      </c>
      <c r="Z76" s="40">
        <f>Table13[[#This Row],[Time until ideal entry + 390 (6:30)]]/(1440)</f>
        <v>0.27430555555555558</v>
      </c>
      <c r="AA76" s="18">
        <f t="shared" si="6"/>
        <v>1.1349693251533743</v>
      </c>
      <c r="AB76" s="18">
        <f>IF(Table13[[#This Row],[HOD AFTER PM HI]]&gt;=Table13[[#This Row],[PM Hi]],((Table13[[#This Row],[HOD AFTER PM HI]]-Table13[[#This Row],[Prior day close]])/Table13[[#This Row],[Prior day close]]),Table13[[#This Row],[Prior Close to PM Hi %]])</f>
        <v>4.7852760736196318</v>
      </c>
      <c r="AC76" s="42">
        <f>(Table13[[#This Row],[Price at hi of squeeze]]-Table13[[#This Row],[MKT Open Price]])/Table13[[#This Row],[MKT Open Price]]</f>
        <v>1.8403614457831325</v>
      </c>
      <c r="AD76" s="18">
        <f>(Table13[[#This Row],[Price at hi of squeeze]]-Table13[[#This Row],[PM Hi]])/Table13[[#This Row],[PM Hi]]</f>
        <v>1.7097701149425286</v>
      </c>
      <c r="AE76" s="18">
        <f t="shared" si="8"/>
        <v>2.2517241379310344</v>
      </c>
      <c r="AF76" s="20">
        <f>Table13[[#This Row],[PM VOL]]/1000000/Table13[[#This Row],[FLOAT(M)]]</f>
        <v>6.087151562499999</v>
      </c>
      <c r="AG76" s="23">
        <f>(Table13[[#This Row],[Volume]]/1000000)/Table13[[#This Row],[FLOAT(M)]]</f>
        <v>91.376255312499993</v>
      </c>
      <c r="AI76" s="18">
        <f>(Table13[[#This Row],[PM Hi]]-Table13[[#This Row],[MKT Open Price]])/(Table13[[#This Row],[PM Hi]])</f>
        <v>4.5977011494252915E-2</v>
      </c>
      <c r="AJ76" s="16">
        <f>IF(Table13[[#This Row],[PM LO]]&gt;Table13[[#This Row],[Prior day close]],(Table13[[#This Row],[PM Hi]]-Table13[[#This Row],[MKT Open Price]])/(Table13[[#This Row],[PM Hi]]-Table13[[#This Row],[Prior day close]]),(Table13[[#This Row],[PM Hi]]-Table13[[#This Row],[MKT Open Price]])/(Table13[[#This Row],[PM Hi]]-Table13[[#This Row],[PM LO]]))</f>
        <v>8.6486486486486561E-2</v>
      </c>
      <c r="AK76" s="18">
        <f>IF(Table13[[#This Row],[Prior day close]]&lt;Table13[[#This Row],[PM LO]],(I76-K76)/(I76-Table13[[#This Row],[Prior day close]]),(I76-K76)/(I76-Table13[[#This Row],[PM LO]]))</f>
        <v>0.24852071005917156</v>
      </c>
      <c r="AL76" s="18">
        <f>Table13[[#This Row],[Spike % on open before drop]]+AM76</f>
        <v>0.12650602409638553</v>
      </c>
      <c r="AM76" s="16">
        <f t="shared" si="7"/>
        <v>0.12650602409638553</v>
      </c>
      <c r="AN76" s="18">
        <f>IF($J76&gt;=$F76,($J76-$K76)/($J76),(IF($H76&lt;=$K76,($F76-$H76)/($F76),(Table13[[#This Row],[PM Hi]]-Table13[[#This Row],[Lowest lo from open to squeeze]])/(Table13[[#This Row],[PM Hi]]))))</f>
        <v>0.19444444444444448</v>
      </c>
      <c r="AO76" s="18">
        <f>IF(Table13[[#This Row],[Prior day close]]&lt;=Table13[[#This Row],[PM LO]],IF($J76&gt;=$F76,($J76-$K76)/($J76-Table13[[#This Row],[Prior day close]]),(IF($H76&lt;=$K76,($F76-$H76)/($F76-Table13[[#This Row],[Prior day close]]),(Table13[[#This Row],[PM Hi]]-Table13[[#This Row],[Lowest lo from open to squeeze]])/(Table13[[#This Row],[PM Hi]]-Table13[[#This Row],[Prior day close]])))),IF($J76&gt;=$F76,($J76-$K76)/($J76-Table13[[#This Row],[PM LO]]),(IF($H76&lt;=$K76,($F76-$H76)/($F76-Table13[[#This Row],[PM LO]]),(Table13[[#This Row],[PM Hi]]-Table13[[#This Row],[Lowest lo from open to squeeze]])/(Table13[[#This Row],[PM Hi]]-Table13[[#This Row],[PM LO]])))))</f>
        <v>0.35532994923857875</v>
      </c>
      <c r="AP76" s="18">
        <f>IF(J76&gt;=F76,(J76-K76)/(J76-D76),(IF(H76&lt;=K76,(F76-H76)/(F76-D76),(Table13[[#This Row],[PM Hi]]-Table13[[#This Row],[Lowest lo from open to squeeze]])/(Table13[[#This Row],[PM Hi]]-Table13[[#This Row],[Prior day close]]))))</f>
        <v>0.35532994923857875</v>
      </c>
      <c r="AQ76" s="17">
        <f>390+Table13[[#This Row],[Time until ideal entry point (mins) from open]]</f>
        <v>395</v>
      </c>
      <c r="AR76" s="51">
        <f>(Table13[[#This Row],[Time until ideal entry + 390 (6:30)]]+Table13[[#This Row],[Duration of frontside (mins)]])/1440</f>
        <v>0.3347222222222222</v>
      </c>
    </row>
    <row r="77" spans="1:44" x14ac:dyDescent="0.25">
      <c r="A77" s="24" t="s">
        <v>118</v>
      </c>
      <c r="B77" s="11">
        <v>44111</v>
      </c>
      <c r="C77" s="47" t="s">
        <v>71</v>
      </c>
      <c r="D77" s="12">
        <v>7.3</v>
      </c>
      <c r="E77" s="13">
        <v>7.3</v>
      </c>
      <c r="F77" s="12">
        <v>14.48</v>
      </c>
      <c r="G77" s="12">
        <v>7.3</v>
      </c>
      <c r="H77" s="12">
        <v>12.53</v>
      </c>
      <c r="I77" s="12">
        <v>12.97</v>
      </c>
      <c r="J77" s="12">
        <v>13.8</v>
      </c>
      <c r="K77" s="12">
        <v>11.75</v>
      </c>
      <c r="L77" s="12">
        <v>14.42</v>
      </c>
      <c r="M77" s="12">
        <v>14.42</v>
      </c>
      <c r="N77" s="13">
        <v>24844118</v>
      </c>
      <c r="O77" s="12">
        <v>255149901</v>
      </c>
      <c r="P77" s="37">
        <v>40.22</v>
      </c>
      <c r="Q77">
        <v>2.5</v>
      </c>
      <c r="R77" s="37" t="s">
        <v>53</v>
      </c>
      <c r="S77" s="37">
        <v>3156033</v>
      </c>
      <c r="T77" s="37" t="s">
        <v>43</v>
      </c>
      <c r="U77" s="37" t="s">
        <v>43</v>
      </c>
      <c r="V77" s="38">
        <v>3</v>
      </c>
      <c r="W77">
        <v>4</v>
      </c>
      <c r="X77" s="39">
        <v>12</v>
      </c>
      <c r="Y77">
        <v>8</v>
      </c>
      <c r="Z77" s="40">
        <f>Table13[[#This Row],[Time until ideal entry + 390 (6:30)]]/(1440)</f>
        <v>0.27361111111111114</v>
      </c>
      <c r="AA77" s="18">
        <f t="shared" si="6"/>
        <v>0.98356164383561651</v>
      </c>
      <c r="AB77" s="18">
        <f>IF(Table13[[#This Row],[HOD AFTER PM HI]]&gt;=Table13[[#This Row],[PM Hi]],((Table13[[#This Row],[HOD AFTER PM HI]]-Table13[[#This Row],[Prior day close]])/Table13[[#This Row],[Prior day close]]),Table13[[#This Row],[Prior Close to PM Hi %]])</f>
        <v>0.98356164383561651</v>
      </c>
      <c r="AC77" s="42">
        <f>(Table13[[#This Row],[Price at hi of squeeze]]-Table13[[#This Row],[MKT Open Price]])/Table13[[#This Row],[MKT Open Price]]</f>
        <v>0.11179645335389354</v>
      </c>
      <c r="AD77" s="18">
        <f>(Table13[[#This Row],[Price at hi of squeeze]]-Table13[[#This Row],[PM Hi]])/Table13[[#This Row],[PM Hi]]</f>
        <v>-4.1436464088398135E-3</v>
      </c>
      <c r="AE77" s="18">
        <f t="shared" si="8"/>
        <v>0.22723404255319149</v>
      </c>
      <c r="AF77" s="20">
        <f>Table13[[#This Row],[PM VOL]]/1000000/Table13[[#This Row],[FLOAT(M)]]</f>
        <v>1.2624131999999999</v>
      </c>
      <c r="AG77" s="23">
        <f>(Table13[[#This Row],[Volume]]/1000000)/Table13[[#This Row],[FLOAT(M)]]</f>
        <v>9.9376472000000007</v>
      </c>
      <c r="AI77" s="18">
        <f>(Table13[[#This Row],[PM Hi]]-Table13[[#This Row],[MKT Open Price]])/(Table13[[#This Row],[PM Hi]])</f>
        <v>0.10428176795580109</v>
      </c>
      <c r="AJ77" s="16">
        <f>IF(Table13[[#This Row],[PM LO]]&gt;Table13[[#This Row],[Prior day close]],(Table13[[#This Row],[PM Hi]]-Table13[[#This Row],[MKT Open Price]])/(Table13[[#This Row],[PM Hi]]-Table13[[#This Row],[Prior day close]]),(Table13[[#This Row],[PM Hi]]-Table13[[#This Row],[MKT Open Price]])/(Table13[[#This Row],[PM Hi]]-Table13[[#This Row],[PM LO]]))</f>
        <v>0.21030640668523673</v>
      </c>
      <c r="AK77" s="18">
        <f>IF(Table13[[#This Row],[Prior day close]]&lt;Table13[[#This Row],[PM LO]],(I77-K77)/(I77-Table13[[#This Row],[Prior day close]]),(I77-K77)/(I77-Table13[[#This Row],[PM LO]]))</f>
        <v>0.21516754850088191</v>
      </c>
      <c r="AL77" s="18">
        <f>Table13[[#This Row],[Spike % on open before drop]]+AM77</f>
        <v>9.4063222821896733E-2</v>
      </c>
      <c r="AM77" s="16">
        <f t="shared" si="7"/>
        <v>9.4063222821896733E-2</v>
      </c>
      <c r="AN77" s="16"/>
      <c r="AO77" s="18">
        <f>IF(Table13[[#This Row],[Prior day close]]&lt;=Table13[[#This Row],[PM LO]],IF($J77&gt;=$F77,($J77-$K77)/($J77-Table13[[#This Row],[Prior day close]]),(IF($H77&lt;=$K77,($F77-$H77)/($F77-Table13[[#This Row],[Prior day close]]),(Table13[[#This Row],[PM Hi]]-Table13[[#This Row],[Lowest lo from open to squeeze]])/(Table13[[#This Row],[PM Hi]]-Table13[[#This Row],[Prior day close]])))),IF($J77&gt;=$F77,($J77-$K77)/($J77-Table13[[#This Row],[PM LO]]),(IF($H77&lt;=$K77,($F77-$H77)/($F77-Table13[[#This Row],[PM LO]]),(Table13[[#This Row],[PM Hi]]-Table13[[#This Row],[Lowest lo from open to squeeze]])/(Table13[[#This Row],[PM Hi]]-Table13[[#This Row],[PM LO]])))))</f>
        <v>0.38022284122562677</v>
      </c>
      <c r="AP77" s="18">
        <f>IF(J77&gt;=F77,(J77-K77)/(J77-D77),(IF(H77&lt;=K77,(F77-H77)/(F77-D77),(Table13[[#This Row],[PM Hi]]-Table13[[#This Row],[Lowest lo from open to squeeze]])/(Table13[[#This Row],[PM Hi]]-Table13[[#This Row],[Prior day close]]))))</f>
        <v>0.38022284122562677</v>
      </c>
      <c r="AQ77" s="17">
        <f>390+Table13[[#This Row],[Time until ideal entry point (mins) from open]]</f>
        <v>394</v>
      </c>
      <c r="AR77" s="51">
        <f>(Table13[[#This Row],[Time until ideal entry + 390 (6:30)]]+Table13[[#This Row],[Duration of frontside (mins)]])/1440</f>
        <v>0.27916666666666667</v>
      </c>
    </row>
    <row r="78" spans="1:44" x14ac:dyDescent="0.25">
      <c r="A78" s="24" t="s">
        <v>117</v>
      </c>
      <c r="B78" s="11">
        <v>44111</v>
      </c>
      <c r="C78" s="47" t="s">
        <v>71</v>
      </c>
      <c r="D78" s="12">
        <v>1.63</v>
      </c>
      <c r="E78" s="13">
        <v>1.79</v>
      </c>
      <c r="F78" s="12">
        <v>3.3</v>
      </c>
      <c r="G78" s="12">
        <v>1.79</v>
      </c>
      <c r="H78" s="12">
        <v>2.94</v>
      </c>
      <c r="I78" s="12">
        <v>3.09</v>
      </c>
      <c r="J78" s="12">
        <v>3.5</v>
      </c>
      <c r="K78" s="12">
        <v>2.75</v>
      </c>
      <c r="L78" s="12">
        <v>4.93</v>
      </c>
      <c r="M78" s="12">
        <v>4.93</v>
      </c>
      <c r="N78" s="13">
        <v>160000090</v>
      </c>
      <c r="O78" s="12">
        <v>400000225</v>
      </c>
      <c r="P78" s="37">
        <v>40</v>
      </c>
      <c r="Q78">
        <v>10</v>
      </c>
      <c r="R78" s="37" t="s">
        <v>115</v>
      </c>
      <c r="S78" s="37">
        <v>5983865</v>
      </c>
      <c r="T78" s="37" t="s">
        <v>41</v>
      </c>
      <c r="U78" s="37" t="s">
        <v>43</v>
      </c>
      <c r="V78" s="38">
        <v>5</v>
      </c>
      <c r="W78">
        <v>6</v>
      </c>
      <c r="X78" s="39">
        <v>2.9</v>
      </c>
      <c r="Y78">
        <v>19</v>
      </c>
      <c r="Z78" s="40">
        <f>Table13[[#This Row],[Time until ideal entry + 390 (6:30)]]/(1440)</f>
        <v>0.27500000000000002</v>
      </c>
      <c r="AA78" s="18">
        <f t="shared" si="6"/>
        <v>1.0245398773006136</v>
      </c>
      <c r="AB78" s="18">
        <f>IF(Table13[[#This Row],[HOD AFTER PM HI]]&gt;=Table13[[#This Row],[PM Hi]],((Table13[[#This Row],[HOD AFTER PM HI]]-Table13[[#This Row],[Prior day close]])/Table13[[#This Row],[Prior day close]]),Table13[[#This Row],[Prior Close to PM Hi %]])</f>
        <v>2.0245398773006134</v>
      </c>
      <c r="AC78" s="42">
        <f>(Table13[[#This Row],[Price at hi of squeeze]]-Table13[[#This Row],[MKT Open Price]])/Table13[[#This Row],[MKT Open Price]]</f>
        <v>0.59546925566343045</v>
      </c>
      <c r="AD78" s="18">
        <f>(Table13[[#This Row],[Price at hi of squeeze]]-Table13[[#This Row],[PM Hi]])/Table13[[#This Row],[PM Hi]]</f>
        <v>0.49393939393939396</v>
      </c>
      <c r="AE78" s="18">
        <f t="shared" si="8"/>
        <v>0.79272727272727261</v>
      </c>
      <c r="AF78" s="20">
        <f>Table13[[#This Row],[PM VOL]]/1000000/Table13[[#This Row],[FLOAT(M)]]</f>
        <v>0.59838649999999993</v>
      </c>
      <c r="AG78" s="23">
        <f>(Table13[[#This Row],[Volume]]/1000000)/Table13[[#This Row],[FLOAT(M)]]</f>
        <v>16.000008999999999</v>
      </c>
      <c r="AI78" s="18">
        <f>(Table13[[#This Row],[PM Hi]]-Table13[[#This Row],[MKT Open Price]])/(Table13[[#This Row],[PM Hi]])</f>
        <v>6.363636363636363E-2</v>
      </c>
      <c r="AJ78" s="16">
        <f>IF(Table13[[#This Row],[PM LO]]&gt;Table13[[#This Row],[Prior day close]],(Table13[[#This Row],[PM Hi]]-Table13[[#This Row],[MKT Open Price]])/(Table13[[#This Row],[PM Hi]]-Table13[[#This Row],[Prior day close]]),(Table13[[#This Row],[PM Hi]]-Table13[[#This Row],[MKT Open Price]])/(Table13[[#This Row],[PM Hi]]-Table13[[#This Row],[PM LO]]))</f>
        <v>0.12574850299401197</v>
      </c>
      <c r="AK78" s="18">
        <f>IF(Table13[[#This Row],[Prior day close]]&lt;Table13[[#This Row],[PM LO]],(I78-K78)/(I78-Table13[[#This Row],[Prior day close]]),(I78-K78)/(I78-Table13[[#This Row],[PM LO]]))</f>
        <v>0.23287671232876703</v>
      </c>
      <c r="AL78" s="18">
        <f>Table13[[#This Row],[Spike % on open before drop]]+AM78</f>
        <v>0.11003236245954688</v>
      </c>
      <c r="AM78" s="16">
        <f t="shared" si="7"/>
        <v>0.11003236245954688</v>
      </c>
      <c r="AN78" s="18">
        <f>IF($J78&gt;=$F78,($J78-$K78)/($J78),(IF($H78&lt;=$K78,($F78-$H78)/($F78),(Table13[[#This Row],[PM Hi]]-Table13[[#This Row],[Lowest lo from open to squeeze]])/(Table13[[#This Row],[PM Hi]]))))</f>
        <v>0.21428571428571427</v>
      </c>
      <c r="AO78" s="18">
        <f>IF(Table13[[#This Row],[Prior day close]]&lt;=Table13[[#This Row],[PM LO]],IF($J78&gt;=$F78,($J78-$K78)/($J78-Table13[[#This Row],[Prior day close]]),(IF($H78&lt;=$K78,($F78-$H78)/($F78-Table13[[#This Row],[Prior day close]]),(Table13[[#This Row],[PM Hi]]-Table13[[#This Row],[Lowest lo from open to squeeze]])/(Table13[[#This Row],[PM Hi]]-Table13[[#This Row],[Prior day close]])))),IF($J78&gt;=$F78,($J78-$K78)/($J78-Table13[[#This Row],[PM LO]]),(IF($H78&lt;=$K78,($F78-$H78)/($F78-Table13[[#This Row],[PM LO]]),(Table13[[#This Row],[PM Hi]]-Table13[[#This Row],[Lowest lo from open to squeeze]])/(Table13[[#This Row],[PM Hi]]-Table13[[#This Row],[PM LO]])))))</f>
        <v>0.40106951871657753</v>
      </c>
      <c r="AP78" s="18">
        <f>IF(J78&gt;=F78,(J78-K78)/(J78-D78),(IF(H78&lt;=K78,(F78-H78)/(F78-D78),(Table13[[#This Row],[PM Hi]]-Table13[[#This Row],[Lowest lo from open to squeeze]])/(Table13[[#This Row],[PM Hi]]-Table13[[#This Row],[Prior day close]]))))</f>
        <v>0.40106951871657753</v>
      </c>
      <c r="AQ78" s="17">
        <f>390+Table13[[#This Row],[Time until ideal entry point (mins) from open]]</f>
        <v>396</v>
      </c>
      <c r="AR78" s="51">
        <f>(Table13[[#This Row],[Time until ideal entry + 390 (6:30)]]+Table13[[#This Row],[Duration of frontside (mins)]])/1440</f>
        <v>0.28819444444444442</v>
      </c>
    </row>
    <row r="79" spans="1:44" x14ac:dyDescent="0.25">
      <c r="A79" s="24" t="s">
        <v>119</v>
      </c>
      <c r="B79" s="11">
        <v>44112</v>
      </c>
      <c r="C79" s="47" t="s">
        <v>71</v>
      </c>
      <c r="D79" s="12">
        <v>1.31</v>
      </c>
      <c r="E79" s="13">
        <v>1.29</v>
      </c>
      <c r="F79" s="12">
        <v>2.2799999999999998</v>
      </c>
      <c r="G79" s="12">
        <v>1.08</v>
      </c>
      <c r="H79" s="12">
        <v>2.19</v>
      </c>
      <c r="I79" s="12">
        <v>2.2400000000000002</v>
      </c>
      <c r="J79" s="12">
        <v>2.4500000000000002</v>
      </c>
      <c r="K79" s="12">
        <v>2.0099999999999998</v>
      </c>
      <c r="L79" s="12">
        <v>3.93</v>
      </c>
      <c r="M79" s="12">
        <v>3.93</v>
      </c>
      <c r="N79" s="13">
        <v>331000000</v>
      </c>
      <c r="O79" s="12">
        <v>22173904</v>
      </c>
      <c r="P79" s="37">
        <v>31.9</v>
      </c>
      <c r="Q79">
        <v>21</v>
      </c>
      <c r="R79" s="37" t="s">
        <v>53</v>
      </c>
      <c r="S79" s="13">
        <v>22456474</v>
      </c>
      <c r="T79" s="37" t="s">
        <v>41</v>
      </c>
      <c r="U79" s="37" t="s">
        <v>43</v>
      </c>
      <c r="V79" s="38">
        <v>4</v>
      </c>
      <c r="W79">
        <v>4</v>
      </c>
      <c r="X79" s="39">
        <v>2.08</v>
      </c>
      <c r="Y79">
        <v>43</v>
      </c>
      <c r="Z79" s="40">
        <f>Table13[[#This Row],[Time until ideal entry + 390 (6:30)]]/(1440)</f>
        <v>0.27361111111111114</v>
      </c>
      <c r="AA79" s="18">
        <f t="shared" si="6"/>
        <v>0.74045801526717536</v>
      </c>
      <c r="AB79" s="18">
        <f>IF(Table13[[#This Row],[HOD AFTER PM HI]]&gt;=Table13[[#This Row],[PM Hi]],((Table13[[#This Row],[HOD AFTER PM HI]]-Table13[[#This Row],[Prior day close]])/Table13[[#This Row],[Prior day close]]),Table13[[#This Row],[Prior Close to PM Hi %]])</f>
        <v>2</v>
      </c>
      <c r="AC79" s="42">
        <f>(Table13[[#This Row],[Price at hi of squeeze]]-Table13[[#This Row],[MKT Open Price]])/Table13[[#This Row],[MKT Open Price]]</f>
        <v>0.75446428571428559</v>
      </c>
      <c r="AD79" s="18">
        <f>(Table13[[#This Row],[Price at hi of squeeze]]-Table13[[#This Row],[PM Hi]])/Table13[[#This Row],[PM Hi]]</f>
        <v>0.72368421052631604</v>
      </c>
      <c r="AE79" s="18">
        <f t="shared" si="8"/>
        <v>0.95522388059701524</v>
      </c>
      <c r="AF79" s="20">
        <f>Table13[[#This Row],[PM VOL]]/1000000/Table13[[#This Row],[FLOAT(M)]]</f>
        <v>1.0693559047619048</v>
      </c>
      <c r="AG79" s="23">
        <f>(Table13[[#This Row],[Volume]]/1000000)/Table13[[#This Row],[FLOAT(M)]]</f>
        <v>15.761904761904763</v>
      </c>
      <c r="AI79" s="18">
        <f>(Table13[[#This Row],[PM Hi]]-Table13[[#This Row],[MKT Open Price]])/(Table13[[#This Row],[PM Hi]])</f>
        <v>1.7543859649122629E-2</v>
      </c>
      <c r="AJ79" s="16">
        <f>IF(Table13[[#This Row],[PM LO]]&gt;Table13[[#This Row],[Prior day close]],(Table13[[#This Row],[PM Hi]]-Table13[[#This Row],[MKT Open Price]])/(Table13[[#This Row],[PM Hi]]-Table13[[#This Row],[Prior day close]]),(Table13[[#This Row],[PM Hi]]-Table13[[#This Row],[MKT Open Price]])/(Table13[[#This Row],[PM Hi]]-Table13[[#This Row],[PM LO]]))</f>
        <v>3.3333333333333E-2</v>
      </c>
      <c r="AK79" s="18">
        <f>IF(Table13[[#This Row],[Prior day close]]&lt;Table13[[#This Row],[PM LO]],(I79-K79)/(I79-Table13[[#This Row],[Prior day close]]),(I79-K79)/(I79-Table13[[#This Row],[PM LO]]))</f>
        <v>0.19827586206896586</v>
      </c>
      <c r="AL79" s="18">
        <f>Table13[[#This Row],[Spike % on open before drop]]+AM79</f>
        <v>0.10267857142857161</v>
      </c>
      <c r="AM79" s="16">
        <f t="shared" si="7"/>
        <v>0.10267857142857161</v>
      </c>
      <c r="AN79" s="18">
        <f>IF($J79&gt;=$F79,($J79-$K79)/($J79),(IF($H79&lt;=$K79,($F79-$H79)/($F79),(Table13[[#This Row],[PM Hi]]-Table13[[#This Row],[Lowest lo from open to squeeze]])/(Table13[[#This Row],[PM Hi]]))))</f>
        <v>0.17959183673469403</v>
      </c>
      <c r="AO79" s="18">
        <f>IF(Table13[[#This Row],[Prior day close]]&lt;=Table13[[#This Row],[PM LO]],IF($J79&gt;=$F79,($J79-$K79)/($J79-Table13[[#This Row],[Prior day close]]),(IF($H79&lt;=$K79,($F79-$H79)/($F79-Table13[[#This Row],[Prior day close]]),(Table13[[#This Row],[PM Hi]]-Table13[[#This Row],[Lowest lo from open to squeeze]])/(Table13[[#This Row],[PM Hi]]-Table13[[#This Row],[Prior day close]])))),IF($J79&gt;=$F79,($J79-$K79)/($J79-Table13[[#This Row],[PM LO]]),(IF($H79&lt;=$K79,($F79-$H79)/($F79-Table13[[#This Row],[PM LO]]),(Table13[[#This Row],[PM Hi]]-Table13[[#This Row],[Lowest lo from open to squeeze]])/(Table13[[#This Row],[PM Hi]]-Table13[[#This Row],[PM LO]])))))</f>
        <v>0.32116788321167911</v>
      </c>
      <c r="AP79" s="18">
        <f>IF(J79&gt;=F79,(J79-K79)/(J79-D79),(IF(H79&lt;=K79,(F79-H79)/(F79-D79),(Table13[[#This Row],[PM Hi]]-Table13[[#This Row],[Lowest lo from open to squeeze]])/(Table13[[#This Row],[PM Hi]]-Table13[[#This Row],[Prior day close]]))))</f>
        <v>0.38596491228070207</v>
      </c>
      <c r="AQ79" s="17">
        <f>390+Table13[[#This Row],[Time until ideal entry point (mins) from open]]</f>
        <v>394</v>
      </c>
      <c r="AR79" s="51">
        <f>(Table13[[#This Row],[Time until ideal entry + 390 (6:30)]]+Table13[[#This Row],[Duration of frontside (mins)]])/1440</f>
        <v>0.3034722222222222</v>
      </c>
    </row>
    <row r="80" spans="1:44" x14ac:dyDescent="0.25">
      <c r="A80" s="24" t="s">
        <v>120</v>
      </c>
      <c r="B80" s="11">
        <v>44113</v>
      </c>
      <c r="C80" s="47" t="s">
        <v>71</v>
      </c>
      <c r="D80" s="12">
        <v>10.15</v>
      </c>
      <c r="E80" s="13">
        <v>10.15</v>
      </c>
      <c r="F80" s="12">
        <v>17.3</v>
      </c>
      <c r="G80" s="12">
        <v>10</v>
      </c>
      <c r="H80" s="12">
        <v>15.41</v>
      </c>
      <c r="I80" s="12">
        <v>15.83</v>
      </c>
      <c r="J80" s="12">
        <v>17.25</v>
      </c>
      <c r="K80" s="12">
        <v>15.05</v>
      </c>
      <c r="L80" s="12">
        <v>24.33</v>
      </c>
      <c r="M80" s="12">
        <v>19.39</v>
      </c>
      <c r="N80" s="13">
        <v>109428663</v>
      </c>
      <c r="O80" s="12">
        <v>1791330799</v>
      </c>
      <c r="P80" s="37">
        <v>118.46</v>
      </c>
      <c r="Q80">
        <v>2.87</v>
      </c>
      <c r="R80" s="37"/>
      <c r="S80" s="37">
        <v>6328630</v>
      </c>
      <c r="T80" s="37" t="s">
        <v>41</v>
      </c>
      <c r="U80" s="37" t="s">
        <v>43</v>
      </c>
      <c r="V80" s="38">
        <v>6</v>
      </c>
      <c r="W80">
        <v>6</v>
      </c>
      <c r="X80" s="39">
        <v>15.37</v>
      </c>
      <c r="Y80">
        <v>10</v>
      </c>
      <c r="Z80" s="40">
        <f>Table13[[#This Row],[Time until ideal entry + 390 (6:30)]]/(1440)</f>
        <v>0.27500000000000002</v>
      </c>
      <c r="AA80" s="18">
        <f t="shared" si="6"/>
        <v>0.70443349753694584</v>
      </c>
      <c r="AB80" s="18">
        <f>IF(Table13[[#This Row],[HOD AFTER PM HI]]&gt;=Table13[[#This Row],[PM Hi]],((Table13[[#This Row],[HOD AFTER PM HI]]-Table13[[#This Row],[Prior day close]])/Table13[[#This Row],[Prior day close]]),Table13[[#This Row],[Prior Close to PM Hi %]])</f>
        <v>1.3970443349753692</v>
      </c>
      <c r="AC80" s="42">
        <f>(Table13[[#This Row],[Price at hi of squeeze]]-Table13[[#This Row],[MKT Open Price]])/Table13[[#This Row],[MKT Open Price]]</f>
        <v>0.22488945041061278</v>
      </c>
      <c r="AD80" s="18">
        <f>(Table13[[#This Row],[Price at hi of squeeze]]-Table13[[#This Row],[PM Hi]])/Table13[[#This Row],[PM Hi]]</f>
        <v>0.12080924855491328</v>
      </c>
      <c r="AE80" s="18">
        <f t="shared" si="8"/>
        <v>0.28837209302325578</v>
      </c>
      <c r="AF80" s="20">
        <f>Table13[[#This Row],[PM VOL]]/1000000/Table13[[#This Row],[FLOAT(M)]]</f>
        <v>2.2050975609756098</v>
      </c>
      <c r="AG80" s="23">
        <f>(Table13[[#This Row],[Volume]]/1000000)/Table13[[#This Row],[FLOAT(M)]]</f>
        <v>38.128454006968639</v>
      </c>
      <c r="AI80" s="18">
        <f>(Table13[[#This Row],[PM Hi]]-Table13[[#This Row],[MKT Open Price]])/(Table13[[#This Row],[PM Hi]])</f>
        <v>8.4971098265895981E-2</v>
      </c>
      <c r="AJ80" s="16">
        <f>IF(Table13[[#This Row],[PM LO]]&gt;Table13[[#This Row],[Prior day close]],(Table13[[#This Row],[PM Hi]]-Table13[[#This Row],[MKT Open Price]])/(Table13[[#This Row],[PM Hi]]-Table13[[#This Row],[Prior day close]]),(Table13[[#This Row],[PM Hi]]-Table13[[#This Row],[MKT Open Price]])/(Table13[[#This Row],[PM Hi]]-Table13[[#This Row],[PM LO]]))</f>
        <v>0.20136986301369869</v>
      </c>
      <c r="AK80" s="18">
        <f>IF(Table13[[#This Row],[Prior day close]]&lt;Table13[[#This Row],[PM LO]],(I80-K80)/(I80-Table13[[#This Row],[Prior day close]]),(I80-K80)/(I80-Table13[[#This Row],[PM LO]]))</f>
        <v>0.13379073756432236</v>
      </c>
      <c r="AL80" s="18">
        <f>Table13[[#This Row],[Spike % on open before drop]]+AM80</f>
        <v>4.9273531269740954E-2</v>
      </c>
      <c r="AM80" s="16">
        <f t="shared" si="7"/>
        <v>4.9273531269740954E-2</v>
      </c>
      <c r="AN80" s="18">
        <f>IF($J80&gt;=$F80,($J80-$K80)/($J80),(IF($H80&lt;=$K80,($F80-$H80)/($F80),(Table13[[#This Row],[PM Hi]]-Table13[[#This Row],[Lowest lo from open to squeeze]])/(Table13[[#This Row],[PM Hi]]))))</f>
        <v>0.13005780346820808</v>
      </c>
      <c r="AO80" s="18">
        <f>IF(Table13[[#This Row],[Prior day close]]&lt;=Table13[[#This Row],[PM LO]],IF($J80&gt;=$F80,($J80-$K80)/($J80-Table13[[#This Row],[Prior day close]]),(IF($H80&lt;=$K80,($F80-$H80)/($F80-Table13[[#This Row],[Prior day close]]),(Table13[[#This Row],[PM Hi]]-Table13[[#This Row],[Lowest lo from open to squeeze]])/(Table13[[#This Row],[PM Hi]]-Table13[[#This Row],[Prior day close]])))),IF($J80&gt;=$F80,($J80-$K80)/($J80-Table13[[#This Row],[PM LO]]),(IF($H80&lt;=$K80,($F80-$H80)/($F80-Table13[[#This Row],[PM LO]]),(Table13[[#This Row],[PM Hi]]-Table13[[#This Row],[Lowest lo from open to squeeze]])/(Table13[[#This Row],[PM Hi]]-Table13[[#This Row],[PM LO]])))))</f>
        <v>0.30821917808219174</v>
      </c>
      <c r="AP80" s="18">
        <f>IF(J80&gt;=F80,(J80-K80)/(J80-D80),(IF(H80&lt;=K80,(F80-H80)/(F80-D80),(Table13[[#This Row],[PM Hi]]-Table13[[#This Row],[Lowest lo from open to squeeze]])/(Table13[[#This Row],[PM Hi]]-Table13[[#This Row],[Prior day close]]))))</f>
        <v>0.31468531468531469</v>
      </c>
      <c r="AQ80" s="17">
        <f>390+Table13[[#This Row],[Time until ideal entry point (mins) from open]]</f>
        <v>396</v>
      </c>
      <c r="AR80" s="51">
        <f>(Table13[[#This Row],[Time until ideal entry + 390 (6:30)]]+Table13[[#This Row],[Duration of frontside (mins)]])/1440</f>
        <v>0.28194444444444444</v>
      </c>
    </row>
    <row r="81" spans="1:44" x14ac:dyDescent="0.25">
      <c r="A81" s="24" t="s">
        <v>121</v>
      </c>
      <c r="B81" s="11">
        <v>44116</v>
      </c>
      <c r="C81" s="47" t="s">
        <v>71</v>
      </c>
      <c r="D81" s="12">
        <v>2.48</v>
      </c>
      <c r="E81" s="13">
        <v>2.65</v>
      </c>
      <c r="F81" s="12">
        <v>4.88</v>
      </c>
      <c r="G81" s="12">
        <v>2.65</v>
      </c>
      <c r="H81" s="12">
        <v>3.82</v>
      </c>
      <c r="I81" s="12">
        <v>3.93</v>
      </c>
      <c r="J81" s="12">
        <v>3.96</v>
      </c>
      <c r="K81" s="12">
        <v>3.73</v>
      </c>
      <c r="L81" s="12">
        <v>4.75</v>
      </c>
      <c r="M81" s="12">
        <v>4.75</v>
      </c>
      <c r="N81" s="13">
        <v>111050287</v>
      </c>
      <c r="O81" s="12">
        <v>352029409</v>
      </c>
      <c r="P81" s="37">
        <v>104.99</v>
      </c>
      <c r="Q81">
        <v>22.61</v>
      </c>
      <c r="R81" s="37" t="s">
        <v>115</v>
      </c>
      <c r="S81" s="37">
        <v>9684755</v>
      </c>
      <c r="T81" s="37" t="s">
        <v>41</v>
      </c>
      <c r="U81" s="37" t="s">
        <v>43</v>
      </c>
      <c r="V81" s="38">
        <v>2</v>
      </c>
      <c r="W81">
        <v>3</v>
      </c>
      <c r="X81" s="39">
        <v>3.82</v>
      </c>
      <c r="Y81">
        <v>38</v>
      </c>
      <c r="Z81" s="40">
        <f>Table13[[#This Row],[Time until ideal entry + 390 (6:30)]]/(1440)</f>
        <v>0.27291666666666664</v>
      </c>
      <c r="AA81" s="18">
        <f t="shared" si="6"/>
        <v>0.96774193548387089</v>
      </c>
      <c r="AB81" s="18">
        <f>IF(Table13[[#This Row],[HOD AFTER PM HI]]&gt;=Table13[[#This Row],[PM Hi]],((Table13[[#This Row],[HOD AFTER PM HI]]-Table13[[#This Row],[Prior day close]])/Table13[[#This Row],[Prior day close]]),Table13[[#This Row],[Prior Close to PM Hi %]])</f>
        <v>0.96774193548387089</v>
      </c>
      <c r="AC81" s="42">
        <f>(Table13[[#This Row],[Price at hi of squeeze]]-Table13[[#This Row],[MKT Open Price]])/Table13[[#This Row],[MKT Open Price]]</f>
        <v>0.2086513994910941</v>
      </c>
      <c r="AD81" s="18">
        <f>(Table13[[#This Row],[Price at hi of squeeze]]-Table13[[#This Row],[PM Hi]])/Table13[[#This Row],[PM Hi]]</f>
        <v>-2.663934426229506E-2</v>
      </c>
      <c r="AE81" s="18">
        <f t="shared" si="8"/>
        <v>0.27345844504021449</v>
      </c>
      <c r="AF81" s="20">
        <f>Table13[[#This Row],[PM VOL]]/1000000/Table13[[#This Row],[FLOAT(M)]]</f>
        <v>0.42833945157010167</v>
      </c>
      <c r="AG81" s="23">
        <f>(Table13[[#This Row],[Volume]]/1000000)/Table13[[#This Row],[FLOAT(M)]]</f>
        <v>4.9115562582927907</v>
      </c>
      <c r="AI81" s="18">
        <f>(Table13[[#This Row],[PM Hi]]-Table13[[#This Row],[MKT Open Price]])/(Table13[[#This Row],[PM Hi]])</f>
        <v>0.19467213114754092</v>
      </c>
      <c r="AJ81" s="16">
        <f>IF(Table13[[#This Row],[PM LO]]&gt;Table13[[#This Row],[Prior day close]],(Table13[[#This Row],[PM Hi]]-Table13[[#This Row],[MKT Open Price]])/(Table13[[#This Row],[PM Hi]]-Table13[[#This Row],[Prior day close]]),(Table13[[#This Row],[PM Hi]]-Table13[[#This Row],[MKT Open Price]])/(Table13[[#This Row],[PM Hi]]-Table13[[#This Row],[PM LO]]))</f>
        <v>0.39583333333333326</v>
      </c>
      <c r="AK81" s="18">
        <f>IF(Table13[[#This Row],[Prior day close]]&lt;Table13[[#This Row],[PM LO]],(I81-K81)/(I81-Table13[[#This Row],[Prior day close]]),(I81-K81)/(I81-Table13[[#This Row],[PM LO]]))</f>
        <v>0.13793103448275873</v>
      </c>
      <c r="AL81" s="18">
        <f>Table13[[#This Row],[Spike % on open before drop]]+AM81</f>
        <v>5.0890585241730325E-2</v>
      </c>
      <c r="AM81" s="16">
        <f t="shared" si="7"/>
        <v>5.0890585241730325E-2</v>
      </c>
      <c r="AN81" s="18">
        <f>IF($J81&gt;=$F81,($J81-$K81)/($J81),(IF($H81&lt;=$K81,($F81-$H81)/($F81),(Table13[[#This Row],[PM Hi]]-Table13[[#This Row],[Lowest lo from open to squeeze]])/(Table13[[#This Row],[PM Hi]]))))</f>
        <v>0.23565573770491802</v>
      </c>
      <c r="AO81" s="18">
        <f>IF(Table13[[#This Row],[Prior day close]]&lt;=Table13[[#This Row],[PM LO]],IF($J81&gt;=$F81,($J81-$K81)/($J81-Table13[[#This Row],[Prior day close]]),(IF($H81&lt;=$K81,($F81-$H81)/($F81-Table13[[#This Row],[Prior day close]]),(Table13[[#This Row],[PM Hi]]-Table13[[#This Row],[Lowest lo from open to squeeze]])/(Table13[[#This Row],[PM Hi]]-Table13[[#This Row],[Prior day close]])))),IF($J81&gt;=$F81,($J81-$K81)/($J81-Table13[[#This Row],[PM LO]]),(IF($H81&lt;=$K81,($F81-$H81)/($F81-Table13[[#This Row],[PM LO]]),(Table13[[#This Row],[PM Hi]]-Table13[[#This Row],[Lowest lo from open to squeeze]])/(Table13[[#This Row],[PM Hi]]-Table13[[#This Row],[PM LO]])))))</f>
        <v>0.47916666666666663</v>
      </c>
      <c r="AP81" s="18">
        <f>IF(J81&gt;=F81,(J81-K81)/(J81-D81),(IF(H81&lt;=K81,(F81-H81)/(F81-D81),(Table13[[#This Row],[PM Hi]]-Table13[[#This Row],[Lowest lo from open to squeeze]])/(Table13[[#This Row],[PM Hi]]-Table13[[#This Row],[Prior day close]]))))</f>
        <v>0.47916666666666663</v>
      </c>
      <c r="AQ81" s="17">
        <f>390+Table13[[#This Row],[Time until ideal entry point (mins) from open]]</f>
        <v>393</v>
      </c>
      <c r="AR81" s="51">
        <f>(Table13[[#This Row],[Time until ideal entry + 390 (6:30)]]+Table13[[#This Row],[Duration of frontside (mins)]])/1440</f>
        <v>0.29930555555555555</v>
      </c>
    </row>
    <row r="82" spans="1:44" x14ac:dyDescent="0.25">
      <c r="A82" s="24" t="s">
        <v>67</v>
      </c>
      <c r="B82" s="11">
        <v>44117</v>
      </c>
      <c r="C82" s="47" t="s">
        <v>71</v>
      </c>
      <c r="D82" s="12">
        <v>1.79</v>
      </c>
      <c r="E82" s="13">
        <v>1.81</v>
      </c>
      <c r="F82" s="12">
        <v>3.67</v>
      </c>
      <c r="G82" s="12">
        <v>1.81</v>
      </c>
      <c r="H82" s="12">
        <v>2.83</v>
      </c>
      <c r="I82" s="12">
        <v>3</v>
      </c>
      <c r="J82" s="12">
        <v>3.08</v>
      </c>
      <c r="K82" s="12">
        <v>2.86</v>
      </c>
      <c r="L82" s="12">
        <v>3.99</v>
      </c>
      <c r="M82" s="12">
        <v>3.99</v>
      </c>
      <c r="N82" s="13">
        <v>192813070</v>
      </c>
      <c r="O82" s="12">
        <v>563014164</v>
      </c>
      <c r="P82" s="37">
        <v>11.64</v>
      </c>
      <c r="Q82">
        <v>3.75</v>
      </c>
      <c r="R82" s="37" t="s">
        <v>115</v>
      </c>
      <c r="S82" s="37">
        <v>16207970</v>
      </c>
      <c r="T82" s="37" t="s">
        <v>43</v>
      </c>
      <c r="U82" s="37" t="s">
        <v>43</v>
      </c>
      <c r="V82" s="38">
        <v>1</v>
      </c>
      <c r="W82">
        <v>2</v>
      </c>
      <c r="X82" s="39">
        <v>3</v>
      </c>
      <c r="Y82">
        <v>151</v>
      </c>
      <c r="Z82" s="40">
        <f>Table13[[#This Row],[Time until ideal entry + 390 (6:30)]]/(1440)</f>
        <v>0.2722222222222222</v>
      </c>
      <c r="AA82" s="18">
        <f t="shared" si="6"/>
        <v>1.0502793296089385</v>
      </c>
      <c r="AB82" s="18">
        <f>IF(Table13[[#This Row],[HOD AFTER PM HI]]&gt;=Table13[[#This Row],[PM Hi]],((Table13[[#This Row],[HOD AFTER PM HI]]-Table13[[#This Row],[Prior day close]])/Table13[[#This Row],[Prior day close]]),Table13[[#This Row],[Prior Close to PM Hi %]])</f>
        <v>1.229050279329609</v>
      </c>
      <c r="AC82" s="42">
        <f>(Table13[[#This Row],[Price at hi of squeeze]]-Table13[[#This Row],[MKT Open Price]])/Table13[[#This Row],[MKT Open Price]]</f>
        <v>0.33000000000000007</v>
      </c>
      <c r="AD82" s="18">
        <f>(Table13[[#This Row],[Price at hi of squeeze]]-Table13[[#This Row],[PM Hi]])/Table13[[#This Row],[PM Hi]]</f>
        <v>8.7193460490463295E-2</v>
      </c>
      <c r="AE82" s="18">
        <f t="shared" si="8"/>
        <v>0.39510489510489522</v>
      </c>
      <c r="AF82" s="20">
        <f>Table13[[#This Row],[PM VOL]]/1000000/Table13[[#This Row],[FLOAT(M)]]</f>
        <v>4.3221253333333332</v>
      </c>
      <c r="AG82" s="23">
        <f>(Table13[[#This Row],[Volume]]/1000000)/Table13[[#This Row],[FLOAT(M)]]</f>
        <v>51.416818666666671</v>
      </c>
      <c r="AI82" s="18">
        <f>(Table13[[#This Row],[PM Hi]]-Table13[[#This Row],[MKT Open Price]])/(Table13[[#This Row],[PM Hi]])</f>
        <v>0.18256130790190733</v>
      </c>
      <c r="AJ82" s="16">
        <f>IF(Table13[[#This Row],[PM LO]]&gt;Table13[[#This Row],[Prior day close]],(Table13[[#This Row],[PM Hi]]-Table13[[#This Row],[MKT Open Price]])/(Table13[[#This Row],[PM Hi]]-Table13[[#This Row],[Prior day close]]),(Table13[[#This Row],[PM Hi]]-Table13[[#This Row],[MKT Open Price]])/(Table13[[#This Row],[PM Hi]]-Table13[[#This Row],[PM LO]]))</f>
        <v>0.35638297872340424</v>
      </c>
      <c r="AK82" s="18">
        <f>IF(Table13[[#This Row],[Prior day close]]&lt;Table13[[#This Row],[PM LO]],(I82-K82)/(I82-Table13[[#This Row],[Prior day close]]),(I82-K82)/(I82-Table13[[#This Row],[PM LO]]))</f>
        <v>0.11570247933884308</v>
      </c>
      <c r="AL82" s="18">
        <f>Table13[[#This Row],[Spike % on open before drop]]+AM82</f>
        <v>4.666666666666671E-2</v>
      </c>
      <c r="AM82" s="16">
        <f t="shared" si="7"/>
        <v>4.666666666666671E-2</v>
      </c>
      <c r="AN82" s="18">
        <f>IF($J82&gt;=$F82,($J82-$K82)/($J82),(IF($H82&lt;=$K82,($F82-$H82)/($F82),(Table13[[#This Row],[PM Hi]]-Table13[[#This Row],[Lowest lo from open to squeeze]])/(Table13[[#This Row],[PM Hi]]))))</f>
        <v>0.22888283378746591</v>
      </c>
      <c r="AO82" s="18">
        <f>IF(Table13[[#This Row],[Prior day close]]&lt;=Table13[[#This Row],[PM LO]],IF($J82&gt;=$F82,($J82-$K82)/($J82-Table13[[#This Row],[Prior day close]]),(IF($H82&lt;=$K82,($F82-$H82)/($F82-Table13[[#This Row],[Prior day close]]),(Table13[[#This Row],[PM Hi]]-Table13[[#This Row],[Lowest lo from open to squeeze]])/(Table13[[#This Row],[PM Hi]]-Table13[[#This Row],[Prior day close]])))),IF($J82&gt;=$F82,($J82-$K82)/($J82-Table13[[#This Row],[PM LO]]),(IF($H82&lt;=$K82,($F82-$H82)/($F82-Table13[[#This Row],[PM LO]]),(Table13[[#This Row],[PM Hi]]-Table13[[#This Row],[Lowest lo from open to squeeze]])/(Table13[[#This Row],[PM Hi]]-Table13[[#This Row],[PM LO]])))))</f>
        <v>0.4468085106382978</v>
      </c>
      <c r="AP82" s="18">
        <f>IF(J82&gt;=F82,(J82-K82)/(J82-D82),(IF(H82&lt;=K82,(F82-H82)/(F82-D82),(Table13[[#This Row],[PM Hi]]-Table13[[#This Row],[Lowest lo from open to squeeze]])/(Table13[[#This Row],[PM Hi]]-Table13[[#This Row],[Prior day close]]))))</f>
        <v>0.4468085106382978</v>
      </c>
      <c r="AQ82" s="17">
        <f>390+Table13[[#This Row],[Time until ideal entry point (mins) from open]]</f>
        <v>392</v>
      </c>
      <c r="AR82" s="51">
        <f>(Table13[[#This Row],[Time until ideal entry + 390 (6:30)]]+Table13[[#This Row],[Duration of frontside (mins)]])/1440</f>
        <v>0.37708333333333333</v>
      </c>
    </row>
    <row r="83" spans="1:44" x14ac:dyDescent="0.25">
      <c r="A83" s="24" t="s">
        <v>122</v>
      </c>
      <c r="B83" s="11">
        <v>44118</v>
      </c>
      <c r="C83" s="47" t="s">
        <v>71</v>
      </c>
      <c r="D83" s="12">
        <v>3.02</v>
      </c>
      <c r="E83" s="13">
        <v>3.45</v>
      </c>
      <c r="F83" s="12">
        <v>5.37</v>
      </c>
      <c r="G83" s="12">
        <v>3.45</v>
      </c>
      <c r="H83" s="12">
        <v>4</v>
      </c>
      <c r="I83" s="12">
        <v>4.09</v>
      </c>
      <c r="J83" s="12">
        <v>4.28</v>
      </c>
      <c r="K83" s="12">
        <v>3.89</v>
      </c>
      <c r="L83" s="12">
        <v>5.72</v>
      </c>
      <c r="M83" s="12">
        <v>5.72</v>
      </c>
      <c r="N83" s="13">
        <v>49129081</v>
      </c>
      <c r="O83" s="12">
        <v>194059869</v>
      </c>
      <c r="P83" s="37">
        <v>11.95</v>
      </c>
      <c r="Q83">
        <v>3.96</v>
      </c>
      <c r="R83" s="37" t="s">
        <v>123</v>
      </c>
      <c r="S83" s="37">
        <v>4983668</v>
      </c>
      <c r="T83" s="37" t="s">
        <v>41</v>
      </c>
      <c r="U83" s="37" t="s">
        <v>43</v>
      </c>
      <c r="V83" s="38">
        <v>3</v>
      </c>
      <c r="W83">
        <v>4</v>
      </c>
      <c r="X83" s="39">
        <v>4.0999999999999996</v>
      </c>
      <c r="Y83">
        <v>49</v>
      </c>
      <c r="Z83" s="40">
        <f>Table13[[#This Row],[Time until ideal entry + 390 (6:30)]]/(1440)</f>
        <v>0.27361111111111114</v>
      </c>
      <c r="AA83" s="18">
        <f t="shared" si="6"/>
        <v>0.77814569536423839</v>
      </c>
      <c r="AB83" s="18">
        <f>IF(Table13[[#This Row],[HOD AFTER PM HI]]&gt;=Table13[[#This Row],[PM Hi]],((Table13[[#This Row],[HOD AFTER PM HI]]-Table13[[#This Row],[Prior day close]])/Table13[[#This Row],[Prior day close]]),Table13[[#This Row],[Prior Close to PM Hi %]])</f>
        <v>0.89403973509933765</v>
      </c>
      <c r="AC83" s="42">
        <f>(Table13[[#This Row],[Price at hi of squeeze]]-Table13[[#This Row],[MKT Open Price]])/Table13[[#This Row],[MKT Open Price]]</f>
        <v>0.39853300733496333</v>
      </c>
      <c r="AD83" s="18">
        <f>(Table13[[#This Row],[Price at hi of squeeze]]-Table13[[#This Row],[PM Hi]])/Table13[[#This Row],[PM Hi]]</f>
        <v>6.5176908752327678E-2</v>
      </c>
      <c r="AE83" s="18">
        <f t="shared" si="8"/>
        <v>0.47043701799485849</v>
      </c>
      <c r="AF83" s="20">
        <f>Table13[[#This Row],[PM VOL]]/1000000/Table13[[#This Row],[FLOAT(M)]]</f>
        <v>1.2585020202020201</v>
      </c>
      <c r="AG83" s="23">
        <f>(Table13[[#This Row],[Volume]]/1000000)/Table13[[#This Row],[FLOAT(M)]]</f>
        <v>12.406333585858587</v>
      </c>
      <c r="AI83" s="18">
        <f>(Table13[[#This Row],[PM Hi]]-Table13[[#This Row],[MKT Open Price]])/(Table13[[#This Row],[PM Hi]])</f>
        <v>0.23836126629422724</v>
      </c>
      <c r="AJ83" s="16">
        <f>IF(Table13[[#This Row],[PM LO]]&gt;Table13[[#This Row],[Prior day close]],(Table13[[#This Row],[PM Hi]]-Table13[[#This Row],[MKT Open Price]])/(Table13[[#This Row],[PM Hi]]-Table13[[#This Row],[Prior day close]]),(Table13[[#This Row],[PM Hi]]-Table13[[#This Row],[MKT Open Price]])/(Table13[[#This Row],[PM Hi]]-Table13[[#This Row],[PM LO]]))</f>
        <v>0.54468085106382991</v>
      </c>
      <c r="AK83" s="18">
        <f>IF(Table13[[#This Row],[Prior day close]]&lt;Table13[[#This Row],[PM LO]],(I83-K83)/(I83-Table13[[#This Row],[Prior day close]]),(I83-K83)/(I83-Table13[[#This Row],[PM LO]]))</f>
        <v>0.18691588785046706</v>
      </c>
      <c r="AL83" s="18">
        <f>Table13[[#This Row],[Spike % on open before drop]]+AM83</f>
        <v>4.8899755501222428E-2</v>
      </c>
      <c r="AM83" s="16">
        <f t="shared" si="7"/>
        <v>4.8899755501222428E-2</v>
      </c>
      <c r="AN83" s="18">
        <f>IF($J83&gt;=$F83,($J83-$K83)/($J83),(IF($H83&lt;=$K83,($F83-$H83)/($F83),(Table13[[#This Row],[PM Hi]]-Table13[[#This Row],[Lowest lo from open to squeeze]])/(Table13[[#This Row],[PM Hi]]))))</f>
        <v>0.27560521415270017</v>
      </c>
      <c r="AO83" s="18">
        <f>IF(Table13[[#This Row],[Prior day close]]&lt;=Table13[[#This Row],[PM LO]],IF($J83&gt;=$F83,($J83-$K83)/($J83-Table13[[#This Row],[Prior day close]]),(IF($H83&lt;=$K83,($F83-$H83)/($F83-Table13[[#This Row],[Prior day close]]),(Table13[[#This Row],[PM Hi]]-Table13[[#This Row],[Lowest lo from open to squeeze]])/(Table13[[#This Row],[PM Hi]]-Table13[[#This Row],[Prior day close]])))),IF($J83&gt;=$F83,($J83-$K83)/($J83-Table13[[#This Row],[PM LO]]),(IF($H83&lt;=$K83,($F83-$H83)/($F83-Table13[[#This Row],[PM LO]]),(Table13[[#This Row],[PM Hi]]-Table13[[#This Row],[Lowest lo from open to squeeze]])/(Table13[[#This Row],[PM Hi]]-Table13[[#This Row],[PM LO]])))))</f>
        <v>0.62978723404255321</v>
      </c>
      <c r="AP83" s="18">
        <f>IF(J83&gt;=F83,(J83-K83)/(J83-D83),(IF(H83&lt;=K83,(F83-H83)/(F83-D83),(Table13[[#This Row],[PM Hi]]-Table13[[#This Row],[Lowest lo from open to squeeze]])/(Table13[[#This Row],[PM Hi]]-Table13[[#This Row],[Prior day close]]))))</f>
        <v>0.62978723404255321</v>
      </c>
      <c r="AQ83" s="17">
        <f>390+Table13[[#This Row],[Time until ideal entry point (mins) from open]]</f>
        <v>394</v>
      </c>
      <c r="AR83" s="51">
        <f>(Table13[[#This Row],[Time until ideal entry + 390 (6:30)]]+Table13[[#This Row],[Duration of frontside (mins)]])/1440</f>
        <v>0.30763888888888891</v>
      </c>
    </row>
    <row r="84" spans="1:44" x14ac:dyDescent="0.25">
      <c r="A84" s="24" t="s">
        <v>124</v>
      </c>
      <c r="B84" s="11">
        <v>44123</v>
      </c>
      <c r="C84" s="47" t="s">
        <v>71</v>
      </c>
      <c r="D84" s="12">
        <v>2.14</v>
      </c>
      <c r="E84" s="13">
        <v>2.0499999999999998</v>
      </c>
      <c r="F84" s="12">
        <v>4.09</v>
      </c>
      <c r="G84" s="12">
        <v>1.75</v>
      </c>
      <c r="H84" s="12">
        <v>2.9</v>
      </c>
      <c r="I84" s="12">
        <v>3.3</v>
      </c>
      <c r="J84" s="12">
        <v>3.44</v>
      </c>
      <c r="K84" s="12">
        <v>2.75</v>
      </c>
      <c r="L84" s="12">
        <v>13.4</v>
      </c>
      <c r="M84" s="12">
        <v>13.4</v>
      </c>
      <c r="N84" s="13">
        <v>235290470</v>
      </c>
      <c r="O84" s="12">
        <v>1672915</v>
      </c>
      <c r="P84" s="37">
        <v>80.400000000000006</v>
      </c>
      <c r="Q84">
        <v>1.0900000000000001</v>
      </c>
      <c r="R84" s="37" t="s">
        <v>115</v>
      </c>
      <c r="S84" s="37">
        <v>6828373</v>
      </c>
      <c r="T84" s="37" t="s">
        <v>41</v>
      </c>
      <c r="U84" s="37" t="s">
        <v>41</v>
      </c>
      <c r="V84" s="38">
        <v>6</v>
      </c>
      <c r="W84">
        <v>7</v>
      </c>
      <c r="X84" s="39">
        <v>3</v>
      </c>
      <c r="Y84">
        <v>107</v>
      </c>
      <c r="Z84" s="40">
        <f>Table13[[#This Row],[Time until ideal entry + 390 (6:30)]]/(1440)</f>
        <v>0.27569444444444446</v>
      </c>
      <c r="AA84" s="18">
        <f t="shared" si="6"/>
        <v>0.91121495327102786</v>
      </c>
      <c r="AB84" s="18">
        <f>IF(Table13[[#This Row],[HOD AFTER PM HI]]&gt;=Table13[[#This Row],[PM Hi]],((Table13[[#This Row],[HOD AFTER PM HI]]-Table13[[#This Row],[Prior day close]])/Table13[[#This Row],[Prior day close]]),Table13[[#This Row],[Prior Close to PM Hi %]])</f>
        <v>5.2616822429906538</v>
      </c>
      <c r="AC84" s="42">
        <f>(Table13[[#This Row],[Price at hi of squeeze]]-Table13[[#This Row],[MKT Open Price]])/Table13[[#This Row],[MKT Open Price]]</f>
        <v>3.060606060606061</v>
      </c>
      <c r="AD84" s="18">
        <f>(Table13[[#This Row],[Price at hi of squeeze]]-Table13[[#This Row],[PM Hi]])/Table13[[#This Row],[PM Hi]]</f>
        <v>2.2762836185819073</v>
      </c>
      <c r="AE84" s="18">
        <f t="shared" si="8"/>
        <v>3.872727272727273</v>
      </c>
      <c r="AF84" s="20">
        <f>Table13[[#This Row],[PM VOL]]/1000000/Table13[[#This Row],[FLOAT(M)]]</f>
        <v>6.2645623853211001</v>
      </c>
      <c r="AG84" s="23">
        <f>(Table13[[#This Row],[Volume]]/1000000)/Table13[[#This Row],[FLOAT(M)]]</f>
        <v>215.86281651376146</v>
      </c>
      <c r="AI84" s="18">
        <f>(Table13[[#This Row],[PM Hi]]-Table13[[#This Row],[MKT Open Price]])/(Table13[[#This Row],[PM Hi]])</f>
        <v>0.19315403422982885</v>
      </c>
      <c r="AJ84" s="16">
        <f>IF(Table13[[#This Row],[PM LO]]&gt;Table13[[#This Row],[Prior day close]],(Table13[[#This Row],[PM Hi]]-Table13[[#This Row],[MKT Open Price]])/(Table13[[#This Row],[PM Hi]]-Table13[[#This Row],[Prior day close]]),(Table13[[#This Row],[PM Hi]]-Table13[[#This Row],[MKT Open Price]])/(Table13[[#This Row],[PM Hi]]-Table13[[#This Row],[PM LO]]))</f>
        <v>0.33760683760683763</v>
      </c>
      <c r="AK84" s="18">
        <f>IF(Table13[[#This Row],[Prior day close]]&lt;Table13[[#This Row],[PM LO]],(I84-K84)/(I84-Table13[[#This Row],[Prior day close]]),(I84-K84)/(I84-Table13[[#This Row],[PM LO]]))</f>
        <v>0.35483870967741926</v>
      </c>
      <c r="AL84" s="18">
        <f>Table13[[#This Row],[Spike % on open before drop]]+AM84</f>
        <v>0.16666666666666663</v>
      </c>
      <c r="AM84" s="16">
        <f t="shared" si="7"/>
        <v>0.16666666666666663</v>
      </c>
      <c r="AN84" s="18">
        <f>IF($J84&gt;=$F84,($J84-$K84)/($J84),(IF($H84&lt;=$K84,($F84-$H84)/($F84),(Table13[[#This Row],[PM Hi]]-Table13[[#This Row],[Lowest lo from open to squeeze]])/(Table13[[#This Row],[PM Hi]]))))</f>
        <v>0.32762836185819066</v>
      </c>
      <c r="AO84" s="18">
        <f>IF(Table13[[#This Row],[Prior day close]]&lt;=Table13[[#This Row],[PM LO]],IF($J84&gt;=$F84,($J84-$K84)/($J84-Table13[[#This Row],[Prior day close]]),(IF($H84&lt;=$K84,($F84-$H84)/($F84-Table13[[#This Row],[Prior day close]]),(Table13[[#This Row],[PM Hi]]-Table13[[#This Row],[Lowest lo from open to squeeze]])/(Table13[[#This Row],[PM Hi]]-Table13[[#This Row],[Prior day close]])))),IF($J84&gt;=$F84,($J84-$K84)/($J84-Table13[[#This Row],[PM LO]]),(IF($H84&lt;=$K84,($F84-$H84)/($F84-Table13[[#This Row],[PM LO]]),(Table13[[#This Row],[PM Hi]]-Table13[[#This Row],[Lowest lo from open to squeeze]])/(Table13[[#This Row],[PM Hi]]-Table13[[#This Row],[PM LO]])))))</f>
        <v>0.57264957264957261</v>
      </c>
      <c r="AP84" s="18">
        <f>IF(J84&gt;=F84,(J84-K84)/(J84-D84),(IF(H84&lt;=K84,(F84-H84)/(F84-D84),(Table13[[#This Row],[PM Hi]]-Table13[[#This Row],[Lowest lo from open to squeeze]])/(Table13[[#This Row],[PM Hi]]-Table13[[#This Row],[Prior day close]]))))</f>
        <v>0.68717948717948718</v>
      </c>
      <c r="AQ84" s="17">
        <f>390+Table13[[#This Row],[Time until ideal entry point (mins) from open]]</f>
        <v>397</v>
      </c>
      <c r="AR84" s="51">
        <f>(Table13[[#This Row],[Time until ideal entry + 390 (6:30)]]+Table13[[#This Row],[Duration of frontside (mins)]])/1440</f>
        <v>0.35</v>
      </c>
    </row>
    <row r="85" spans="1:44" x14ac:dyDescent="0.25">
      <c r="A85" s="24" t="s">
        <v>125</v>
      </c>
      <c r="B85" s="11">
        <v>44124</v>
      </c>
      <c r="C85" s="47" t="s">
        <v>71</v>
      </c>
      <c r="D85" s="12">
        <v>3.13</v>
      </c>
      <c r="E85" s="13">
        <v>2.9</v>
      </c>
      <c r="F85" s="12">
        <v>4.54</v>
      </c>
      <c r="G85" s="12">
        <v>2.48</v>
      </c>
      <c r="H85" s="12">
        <v>4.32</v>
      </c>
      <c r="I85" s="12">
        <v>4.5</v>
      </c>
      <c r="J85" s="12">
        <v>4.88</v>
      </c>
      <c r="K85" s="12">
        <v>3.62</v>
      </c>
      <c r="L85" s="12">
        <v>5.43</v>
      </c>
      <c r="M85" s="12">
        <v>5.43</v>
      </c>
      <c r="N85" s="13">
        <v>133110285</v>
      </c>
      <c r="O85" s="12">
        <v>407983023</v>
      </c>
      <c r="P85" s="37">
        <v>27.04</v>
      </c>
      <c r="Q85">
        <v>5.67</v>
      </c>
      <c r="R85" s="37" t="s">
        <v>115</v>
      </c>
      <c r="S85" s="37">
        <v>16477484</v>
      </c>
      <c r="T85" s="37" t="s">
        <v>74</v>
      </c>
      <c r="U85" s="37" t="s">
        <v>43</v>
      </c>
      <c r="V85" s="38">
        <v>13</v>
      </c>
      <c r="W85">
        <v>14</v>
      </c>
      <c r="X85" s="39">
        <v>3.71</v>
      </c>
      <c r="Y85">
        <v>27</v>
      </c>
      <c r="Z85" s="40">
        <f>Table13[[#This Row],[Time until ideal entry + 390 (6:30)]]/(1440)</f>
        <v>0.28055555555555556</v>
      </c>
      <c r="AA85" s="18">
        <f t="shared" si="6"/>
        <v>0.45047923322683714</v>
      </c>
      <c r="AB85" s="18">
        <f>IF(Table13[[#This Row],[HOD AFTER PM HI]]&gt;=Table13[[#This Row],[PM Hi]],((Table13[[#This Row],[HOD AFTER PM HI]]-Table13[[#This Row],[Prior day close]])/Table13[[#This Row],[Prior day close]]),Table13[[#This Row],[Prior Close to PM Hi %]])</f>
        <v>0.73482428115015974</v>
      </c>
      <c r="AC85" s="42">
        <f>(Table13[[#This Row],[Price at hi of squeeze]]-Table13[[#This Row],[MKT Open Price]])/Table13[[#This Row],[MKT Open Price]]</f>
        <v>0.20666666666666661</v>
      </c>
      <c r="AD85" s="18">
        <f>(Table13[[#This Row],[Price at hi of squeeze]]-Table13[[#This Row],[PM Hi]])/Table13[[#This Row],[PM Hi]]</f>
        <v>0.19603524229074884</v>
      </c>
      <c r="AE85" s="18">
        <f t="shared" si="8"/>
        <v>0.49999999999999989</v>
      </c>
      <c r="AF85" s="20">
        <f>Table13[[#This Row],[PM VOL]]/1000000/Table13[[#This Row],[FLOAT(M)]]</f>
        <v>2.9060818342151675</v>
      </c>
      <c r="AG85" s="23">
        <f>(Table13[[#This Row],[Volume]]/1000000)/Table13[[#This Row],[FLOAT(M)]]</f>
        <v>23.476240740740742</v>
      </c>
      <c r="AI85" s="18">
        <f>(Table13[[#This Row],[PM Hi]]-Table13[[#This Row],[MKT Open Price]])/(Table13[[#This Row],[PM Hi]])</f>
        <v>8.8105726872246774E-3</v>
      </c>
      <c r="AJ85" s="16">
        <f>IF(Table13[[#This Row],[PM LO]]&gt;Table13[[#This Row],[Prior day close]],(Table13[[#This Row],[PM Hi]]-Table13[[#This Row],[MKT Open Price]])/(Table13[[#This Row],[PM Hi]]-Table13[[#This Row],[Prior day close]]),(Table13[[#This Row],[PM Hi]]-Table13[[#This Row],[MKT Open Price]])/(Table13[[#This Row],[PM Hi]]-Table13[[#This Row],[PM LO]]))</f>
        <v>1.9417475728155355E-2</v>
      </c>
      <c r="AK85" s="18">
        <f>IF(Table13[[#This Row],[Prior day close]]&lt;Table13[[#This Row],[PM LO]],(I85-K85)/(I85-Table13[[#This Row],[Prior day close]]),(I85-K85)/(I85-Table13[[#This Row],[PM LO]]))</f>
        <v>0.43564356435643559</v>
      </c>
      <c r="AL85" s="18">
        <f>Table13[[#This Row],[Spike % on open before drop]]+AM85</f>
        <v>0.19555555555555554</v>
      </c>
      <c r="AM85" s="16">
        <f t="shared" si="7"/>
        <v>0.19555555555555554</v>
      </c>
      <c r="AN85" s="18">
        <f>IF($J85&gt;=$F85,($J85-$K85)/($J85),(IF($H85&lt;=$K85,($F85-$H85)/($F85),(Table13[[#This Row],[PM Hi]]-Table13[[#This Row],[Lowest lo from open to squeeze]])/(Table13[[#This Row],[PM Hi]]))))</f>
        <v>0.25819672131147536</v>
      </c>
      <c r="AO85" s="18">
        <f>IF(Table13[[#This Row],[Prior day close]]&lt;=Table13[[#This Row],[PM LO]],IF($J85&gt;=$F85,($J85-$K85)/($J85-Table13[[#This Row],[Prior day close]]),(IF($H85&lt;=$K85,($F85-$H85)/($F85-Table13[[#This Row],[Prior day close]]),(Table13[[#This Row],[PM Hi]]-Table13[[#This Row],[Lowest lo from open to squeeze]])/(Table13[[#This Row],[PM Hi]]-Table13[[#This Row],[Prior day close]])))),IF($J85&gt;=$F85,($J85-$K85)/($J85-Table13[[#This Row],[PM LO]]),(IF($H85&lt;=$K85,($F85-$H85)/($F85-Table13[[#This Row],[PM LO]]),(Table13[[#This Row],[PM Hi]]-Table13[[#This Row],[Lowest lo from open to squeeze]])/(Table13[[#This Row],[PM Hi]]-Table13[[#This Row],[PM LO]])))))</f>
        <v>0.52499999999999991</v>
      </c>
      <c r="AP85" s="18">
        <f>IF(J85&gt;=F85,(J85-K85)/(J85-D85),(IF(H85&lt;=K85,(F85-H85)/(F85-D85),(Table13[[#This Row],[PM Hi]]-Table13[[#This Row],[Lowest lo from open to squeeze]])/(Table13[[#This Row],[PM Hi]]-Table13[[#This Row],[Prior day close]]))))</f>
        <v>0.71999999999999986</v>
      </c>
      <c r="AQ85" s="17">
        <f>390+Table13[[#This Row],[Time until ideal entry point (mins) from open]]</f>
        <v>404</v>
      </c>
      <c r="AR85" s="51">
        <f>(Table13[[#This Row],[Time until ideal entry + 390 (6:30)]]+Table13[[#This Row],[Duration of frontside (mins)]])/1440</f>
        <v>0.29930555555555555</v>
      </c>
    </row>
    <row r="86" spans="1:44" x14ac:dyDescent="0.25">
      <c r="A86" s="24" t="s">
        <v>126</v>
      </c>
      <c r="B86" s="11">
        <v>44125</v>
      </c>
      <c r="C86" s="47" t="s">
        <v>71</v>
      </c>
      <c r="D86" s="12">
        <v>0.97</v>
      </c>
      <c r="E86" s="13">
        <v>1.05</v>
      </c>
      <c r="F86" s="12">
        <v>4</v>
      </c>
      <c r="G86" s="12">
        <v>1.05</v>
      </c>
      <c r="H86" s="12">
        <v>2.69</v>
      </c>
      <c r="I86" s="12">
        <v>2.94</v>
      </c>
      <c r="J86" s="12">
        <v>3.79</v>
      </c>
      <c r="K86" s="12">
        <v>2.52</v>
      </c>
      <c r="L86" s="12">
        <v>4.3600000000000003</v>
      </c>
      <c r="M86" s="12">
        <v>4.3600000000000003</v>
      </c>
      <c r="N86" s="13">
        <v>68920093</v>
      </c>
      <c r="O86" s="12">
        <v>97177331</v>
      </c>
      <c r="P86" s="37">
        <v>9.8000000000000007</v>
      </c>
      <c r="Q86">
        <v>10.47</v>
      </c>
      <c r="R86" s="37" t="s">
        <v>115</v>
      </c>
      <c r="S86" s="37">
        <v>8870117</v>
      </c>
      <c r="T86" s="37" t="s">
        <v>41</v>
      </c>
      <c r="U86" s="37" t="s">
        <v>43</v>
      </c>
      <c r="V86" s="38">
        <v>6</v>
      </c>
      <c r="W86">
        <v>7</v>
      </c>
      <c r="X86" s="39">
        <v>2.63</v>
      </c>
      <c r="Y86">
        <v>19</v>
      </c>
      <c r="Z86" s="40">
        <f>Table13[[#This Row],[Time until ideal entry + 390 (6:30)]]/(1440)</f>
        <v>0.27569444444444446</v>
      </c>
      <c r="AA86" s="18">
        <f t="shared" si="6"/>
        <v>3.123711340206186</v>
      </c>
      <c r="AB86" s="18">
        <f>IF(Table13[[#This Row],[HOD AFTER PM HI]]&gt;=Table13[[#This Row],[PM Hi]],((Table13[[#This Row],[HOD AFTER PM HI]]-Table13[[#This Row],[Prior day close]])/Table13[[#This Row],[Prior day close]]),Table13[[#This Row],[Prior Close to PM Hi %]])</f>
        <v>3.4948453608247427</v>
      </c>
      <c r="AC86" s="42">
        <f>(Table13[[#This Row],[Price at hi of squeeze]]-Table13[[#This Row],[MKT Open Price]])/Table13[[#This Row],[MKT Open Price]]</f>
        <v>0.48299319727891171</v>
      </c>
      <c r="AD86" s="18">
        <f>(Table13[[#This Row],[Price at hi of squeeze]]-Table13[[#This Row],[PM Hi]])/Table13[[#This Row],[PM Hi]]</f>
        <v>9.000000000000008E-2</v>
      </c>
      <c r="AE86" s="18">
        <f t="shared" si="8"/>
        <v>0.73015873015873023</v>
      </c>
      <c r="AF86" s="20">
        <f>Table13[[#This Row],[PM VOL]]/1000000/Table13[[#This Row],[FLOAT(M)]]</f>
        <v>0.8471936007640879</v>
      </c>
      <c r="AG86" s="23">
        <f>(Table13[[#This Row],[Volume]]/1000000)/Table13[[#This Row],[FLOAT(M)]]</f>
        <v>6.5826258834765987</v>
      </c>
      <c r="AI86" s="18">
        <f>(Table13[[#This Row],[PM Hi]]-Table13[[#This Row],[MKT Open Price]])/(Table13[[#This Row],[PM Hi]])</f>
        <v>0.26500000000000001</v>
      </c>
      <c r="AJ86" s="16">
        <f>IF(Table13[[#This Row],[PM LO]]&gt;Table13[[#This Row],[Prior day close]],(Table13[[#This Row],[PM Hi]]-Table13[[#This Row],[MKT Open Price]])/(Table13[[#This Row],[PM Hi]]-Table13[[#This Row],[Prior day close]]),(Table13[[#This Row],[PM Hi]]-Table13[[#This Row],[MKT Open Price]])/(Table13[[#This Row],[PM Hi]]-Table13[[#This Row],[PM LO]]))</f>
        <v>0.34983498349834985</v>
      </c>
      <c r="AK86" s="18">
        <f>IF(Table13[[#This Row],[Prior day close]]&lt;Table13[[#This Row],[PM LO]],(I86-K86)/(I86-Table13[[#This Row],[Prior day close]]),(I86-K86)/(I86-Table13[[#This Row],[PM LO]]))</f>
        <v>0.21319796954314718</v>
      </c>
      <c r="AL86" s="18">
        <f>Table13[[#This Row],[Spike % on open before drop]]+AM86</f>
        <v>0.14285714285714285</v>
      </c>
      <c r="AM86" s="16">
        <f t="shared" si="7"/>
        <v>0.14285714285714285</v>
      </c>
      <c r="AN86" s="18">
        <f>IF($J86&gt;=$F86,($J86-$K86)/($J86),(IF($H86&lt;=$K86,($F86-$H86)/($F86),(Table13[[#This Row],[PM Hi]]-Table13[[#This Row],[Lowest lo from open to squeeze]])/(Table13[[#This Row],[PM Hi]]))))</f>
        <v>0.37</v>
      </c>
      <c r="AO86" s="18">
        <f>IF(Table13[[#This Row],[Prior day close]]&lt;=Table13[[#This Row],[PM LO]],IF($J86&gt;=$F86,($J86-$K86)/($J86-Table13[[#This Row],[Prior day close]]),(IF($H86&lt;=$K86,($F86-$H86)/($F86-Table13[[#This Row],[Prior day close]]),(Table13[[#This Row],[PM Hi]]-Table13[[#This Row],[Lowest lo from open to squeeze]])/(Table13[[#This Row],[PM Hi]]-Table13[[#This Row],[Prior day close]])))),IF($J86&gt;=$F86,($J86-$K86)/($J86-Table13[[#This Row],[PM LO]]),(IF($H86&lt;=$K86,($F86-$H86)/($F86-Table13[[#This Row],[PM LO]]),(Table13[[#This Row],[PM Hi]]-Table13[[#This Row],[Lowest lo from open to squeeze]])/(Table13[[#This Row],[PM Hi]]-Table13[[#This Row],[PM LO]])))))</f>
        <v>0.48844884488448842</v>
      </c>
      <c r="AP86" s="18">
        <f>IF(J86&gt;=F86,(J86-K86)/(J86-D86),(IF(H86&lt;=K86,(F86-H86)/(F86-D86),(Table13[[#This Row],[PM Hi]]-Table13[[#This Row],[Lowest lo from open to squeeze]])/(Table13[[#This Row],[PM Hi]]-Table13[[#This Row],[Prior day close]]))))</f>
        <v>0.48844884488448842</v>
      </c>
      <c r="AQ86" s="17">
        <f>390+Table13[[#This Row],[Time until ideal entry point (mins) from open]]</f>
        <v>397</v>
      </c>
      <c r="AR86" s="51">
        <f>(Table13[[#This Row],[Time until ideal entry + 390 (6:30)]]+Table13[[#This Row],[Duration of frontside (mins)]])/1440</f>
        <v>0.28888888888888886</v>
      </c>
    </row>
    <row r="87" spans="1:44" x14ac:dyDescent="0.25">
      <c r="A87" s="24" t="s">
        <v>128</v>
      </c>
      <c r="B87" s="11">
        <v>44133</v>
      </c>
      <c r="C87" s="47" t="s">
        <v>71</v>
      </c>
      <c r="D87" s="12">
        <v>2.0299999999999998</v>
      </c>
      <c r="E87" s="13">
        <v>2.1</v>
      </c>
      <c r="F87" s="12">
        <v>4.92</v>
      </c>
      <c r="G87" s="12">
        <v>2.1</v>
      </c>
      <c r="H87" s="12">
        <v>4.42</v>
      </c>
      <c r="I87" s="12">
        <v>4.74</v>
      </c>
      <c r="J87" s="12">
        <v>5.1100000000000003</v>
      </c>
      <c r="K87" s="12">
        <v>4.2300000000000004</v>
      </c>
      <c r="L87" s="12">
        <v>5.08</v>
      </c>
      <c r="M87" s="12">
        <v>5.08</v>
      </c>
      <c r="N87" s="13">
        <v>72335666</v>
      </c>
      <c r="O87" s="12">
        <v>223878886</v>
      </c>
      <c r="P87" s="37">
        <v>3.5</v>
      </c>
      <c r="Q87">
        <v>1.72</v>
      </c>
      <c r="R87" s="37" t="s">
        <v>115</v>
      </c>
      <c r="S87" s="37">
        <v>10984149</v>
      </c>
      <c r="T87" s="37" t="s">
        <v>41</v>
      </c>
      <c r="U87" s="37" t="s">
        <v>43</v>
      </c>
      <c r="V87" s="38">
        <v>7</v>
      </c>
      <c r="W87">
        <v>8</v>
      </c>
      <c r="X87" s="39">
        <v>4.32</v>
      </c>
      <c r="Y87">
        <v>34</v>
      </c>
      <c r="Z87" s="40">
        <f>Table13[[#This Row],[Time until ideal entry + 390 (6:30)]]/(1440)</f>
        <v>0.27638888888888891</v>
      </c>
      <c r="AA87" s="18">
        <f t="shared" si="6"/>
        <v>1.4236453201970445</v>
      </c>
      <c r="AB87" s="18">
        <f>IF(Table13[[#This Row],[HOD AFTER PM HI]]&gt;=Table13[[#This Row],[PM Hi]],((Table13[[#This Row],[HOD AFTER PM HI]]-Table13[[#This Row],[Prior day close]])/Table13[[#This Row],[Prior day close]]),Table13[[#This Row],[Prior Close to PM Hi %]])</f>
        <v>1.5024630541871924</v>
      </c>
      <c r="AC87" s="42">
        <f>(Table13[[#This Row],[Price at hi of squeeze]]-Table13[[#This Row],[MKT Open Price]])/Table13[[#This Row],[MKT Open Price]]</f>
        <v>7.1729957805907144E-2</v>
      </c>
      <c r="AD87" s="18">
        <f>(Table13[[#This Row],[Price at hi of squeeze]]-Table13[[#This Row],[PM Hi]])/Table13[[#This Row],[PM Hi]]</f>
        <v>3.2520325203252064E-2</v>
      </c>
      <c r="AE87" s="18">
        <f t="shared" si="8"/>
        <v>0.20094562647754127</v>
      </c>
      <c r="AF87" s="20">
        <f>Table13[[#This Row],[PM VOL]]/1000000/Table13[[#This Row],[FLOAT(M)]]</f>
        <v>6.3861331395348842</v>
      </c>
      <c r="AG87" s="23">
        <f>(Table13[[#This Row],[Volume]]/1000000)/Table13[[#This Row],[FLOAT(M)]]</f>
        <v>42.055619767441861</v>
      </c>
      <c r="AI87" s="18">
        <f>(Table13[[#This Row],[PM Hi]]-Table13[[#This Row],[MKT Open Price]])/(Table13[[#This Row],[PM Hi]])</f>
        <v>3.6585365853658479E-2</v>
      </c>
      <c r="AJ87" s="16">
        <f>IF(Table13[[#This Row],[PM LO]]&gt;Table13[[#This Row],[Prior day close]],(Table13[[#This Row],[PM Hi]]-Table13[[#This Row],[MKT Open Price]])/(Table13[[#This Row],[PM Hi]]-Table13[[#This Row],[Prior day close]]),(Table13[[#This Row],[PM Hi]]-Table13[[#This Row],[MKT Open Price]])/(Table13[[#This Row],[PM Hi]]-Table13[[#This Row],[PM LO]]))</f>
        <v>6.2283737024221353E-2</v>
      </c>
      <c r="AK87" s="18">
        <f>IF(Table13[[#This Row],[Prior day close]]&lt;Table13[[#This Row],[PM LO]],(I87-K87)/(I87-Table13[[#This Row],[Prior day close]]),(I87-K87)/(I87-Table13[[#This Row],[PM LO]]))</f>
        <v>0.18819188191881908</v>
      </c>
      <c r="AL87" s="18">
        <f>Table13[[#This Row],[Spike % on open before drop]]+AM87</f>
        <v>0.10759493670886071</v>
      </c>
      <c r="AM87" s="16">
        <f t="shared" si="7"/>
        <v>0.10759493670886071</v>
      </c>
      <c r="AN87" s="18">
        <f>IF($J87&gt;=$F87,($J87-$K87)/($J87),(IF($H87&lt;=$K87,($F87-$H87)/($F87),(Table13[[#This Row],[PM Hi]]-Table13[[#This Row],[Lowest lo from open to squeeze]])/(Table13[[#This Row],[PM Hi]]))))</f>
        <v>0.17221135029354204</v>
      </c>
      <c r="AO87" s="18">
        <f>IF(Table13[[#This Row],[Prior day close]]&lt;=Table13[[#This Row],[PM LO]],IF($J87&gt;=$F87,($J87-$K87)/($J87-Table13[[#This Row],[Prior day close]]),(IF($H87&lt;=$K87,($F87-$H87)/($F87-Table13[[#This Row],[Prior day close]]),(Table13[[#This Row],[PM Hi]]-Table13[[#This Row],[Lowest lo from open to squeeze]])/(Table13[[#This Row],[PM Hi]]-Table13[[#This Row],[Prior day close]])))),IF($J87&gt;=$F87,($J87-$K87)/($J87-Table13[[#This Row],[PM LO]]),(IF($H87&lt;=$K87,($F87-$H87)/($F87-Table13[[#This Row],[PM LO]]),(Table13[[#This Row],[PM Hi]]-Table13[[#This Row],[Lowest lo from open to squeeze]])/(Table13[[#This Row],[PM Hi]]-Table13[[#This Row],[PM LO]])))))</f>
        <v>0.28571428571428564</v>
      </c>
      <c r="AP87" s="18">
        <f>IF(J87&gt;=F87,(J87-K87)/(J87-D87),(IF(H87&lt;=K87,(F87-H87)/(F87-D87),(Table13[[#This Row],[PM Hi]]-Table13[[#This Row],[Lowest lo from open to squeeze]])/(Table13[[#This Row],[PM Hi]]-Table13[[#This Row],[Prior day close]]))))</f>
        <v>0.28571428571428564</v>
      </c>
      <c r="AQ87" s="17">
        <f>390+Table13[[#This Row],[Time until ideal entry point (mins) from open]]</f>
        <v>398</v>
      </c>
      <c r="AR87" s="51">
        <f>(Table13[[#This Row],[Time until ideal entry + 390 (6:30)]]+Table13[[#This Row],[Duration of frontside (mins)]])/1440</f>
        <v>0.3</v>
      </c>
    </row>
    <row r="88" spans="1:44" x14ac:dyDescent="0.25">
      <c r="A88" s="24" t="s">
        <v>129</v>
      </c>
      <c r="B88" s="11">
        <v>44134</v>
      </c>
      <c r="C88" s="47" t="s">
        <v>71</v>
      </c>
      <c r="D88" s="12">
        <v>1.48</v>
      </c>
      <c r="E88" s="13">
        <v>1.66</v>
      </c>
      <c r="F88" s="12">
        <v>2.6</v>
      </c>
      <c r="G88" s="12">
        <v>1.66</v>
      </c>
      <c r="H88" s="12">
        <v>1.94</v>
      </c>
      <c r="I88" s="12">
        <v>2.2799999999999998</v>
      </c>
      <c r="J88" s="12">
        <v>2.39</v>
      </c>
      <c r="K88" s="12">
        <v>2.06</v>
      </c>
      <c r="L88" s="12">
        <v>3.1</v>
      </c>
      <c r="M88" s="12">
        <v>3.1</v>
      </c>
      <c r="N88" s="13">
        <v>194522812</v>
      </c>
      <c r="O88" s="12">
        <v>384182553</v>
      </c>
      <c r="P88" s="37">
        <v>29.55</v>
      </c>
      <c r="Q88">
        <v>18.079999999999998</v>
      </c>
      <c r="R88" s="37" t="s">
        <v>130</v>
      </c>
      <c r="S88" s="13">
        <v>16462879</v>
      </c>
      <c r="T88" s="37" t="s">
        <v>41</v>
      </c>
      <c r="U88" s="37" t="s">
        <v>43</v>
      </c>
      <c r="V88" s="38">
        <v>7</v>
      </c>
      <c r="W88">
        <v>8</v>
      </c>
      <c r="X88" s="39">
        <v>2.1</v>
      </c>
      <c r="Y88">
        <v>124</v>
      </c>
      <c r="Z88" s="40">
        <f>Table13[[#This Row],[Time until ideal entry + 390 (6:30)]]/(1440)</f>
        <v>0.27638888888888891</v>
      </c>
      <c r="AA88" s="18">
        <f t="shared" ref="AA88:AA110" si="9">(F88-D88)/D88</f>
        <v>0.7567567567567568</v>
      </c>
      <c r="AB88" s="18">
        <f>IF(Table13[[#This Row],[HOD AFTER PM HI]]&gt;=Table13[[#This Row],[PM Hi]],((Table13[[#This Row],[HOD AFTER PM HI]]-Table13[[#This Row],[Prior day close]])/Table13[[#This Row],[Prior day close]]),Table13[[#This Row],[Prior Close to PM Hi %]])</f>
        <v>1.0945945945945947</v>
      </c>
      <c r="AC88" s="42">
        <f>(Table13[[#This Row],[Price at hi of squeeze]]-Table13[[#This Row],[MKT Open Price]])/Table13[[#This Row],[MKT Open Price]]</f>
        <v>0.35964912280701772</v>
      </c>
      <c r="AD88" s="18">
        <f>(Table13[[#This Row],[Price at hi of squeeze]]-Table13[[#This Row],[PM Hi]])/Table13[[#This Row],[PM Hi]]</f>
        <v>0.19230769230769229</v>
      </c>
      <c r="AE88" s="18">
        <f t="shared" si="8"/>
        <v>0.50485436893203883</v>
      </c>
      <c r="AF88" s="20">
        <f>Table13[[#This Row],[PM VOL]]/1000000/Table13[[#This Row],[FLOAT(M)]]</f>
        <v>0.91055746681415939</v>
      </c>
      <c r="AG88" s="23">
        <f>(Table13[[#This Row],[Volume]]/1000000)/Table13[[#This Row],[FLOAT(M)]]</f>
        <v>10.759005088495575</v>
      </c>
      <c r="AI88" s="18">
        <f>(Table13[[#This Row],[PM Hi]]-Table13[[#This Row],[MKT Open Price]])/(Table13[[#This Row],[PM Hi]])</f>
        <v>0.12307692307692318</v>
      </c>
      <c r="AJ88" s="16">
        <f>IF(Table13[[#This Row],[PM LO]]&gt;Table13[[#This Row],[Prior day close]],(Table13[[#This Row],[PM Hi]]-Table13[[#This Row],[MKT Open Price]])/(Table13[[#This Row],[PM Hi]]-Table13[[#This Row],[Prior day close]]),(Table13[[#This Row],[PM Hi]]-Table13[[#This Row],[MKT Open Price]])/(Table13[[#This Row],[PM Hi]]-Table13[[#This Row],[PM LO]]))</f>
        <v>0.28571428571428592</v>
      </c>
      <c r="AK88" s="18">
        <f>IF(Table13[[#This Row],[Prior day close]]&lt;Table13[[#This Row],[PM LO]],(I88-K88)/(I88-Table13[[#This Row],[Prior day close]]),(I88-K88)/(I88-Table13[[#This Row],[PM LO]]))</f>
        <v>0.27499999999999974</v>
      </c>
      <c r="AL88" s="18">
        <f>Table13[[#This Row],[Spike % on open before drop]]+AM88</f>
        <v>9.6491228070175336E-2</v>
      </c>
      <c r="AM88" s="16">
        <f t="shared" si="7"/>
        <v>9.6491228070175336E-2</v>
      </c>
      <c r="AN88" s="18">
        <f>IF($J88&gt;=$F88,($J88-$K88)/($J88),(IF($H88&lt;=$K88,($F88-$H88)/($F88),(Table13[[#This Row],[PM Hi]]-Table13[[#This Row],[Lowest lo from open to squeeze]])/(Table13[[#This Row],[PM Hi]]))))</f>
        <v>0.25384615384615389</v>
      </c>
      <c r="AO88" s="18">
        <f>IF(Table13[[#This Row],[Prior day close]]&lt;=Table13[[#This Row],[PM LO]],IF($J88&gt;=$F88,($J88-$K88)/($J88-Table13[[#This Row],[Prior day close]]),(IF($H88&lt;=$K88,($F88-$H88)/($F88-Table13[[#This Row],[Prior day close]]),(Table13[[#This Row],[PM Hi]]-Table13[[#This Row],[Lowest lo from open to squeeze]])/(Table13[[#This Row],[PM Hi]]-Table13[[#This Row],[Prior day close]])))),IF($J88&gt;=$F88,($J88-$K88)/($J88-Table13[[#This Row],[PM LO]]),(IF($H88&lt;=$K88,($F88-$H88)/($F88-Table13[[#This Row],[PM LO]]),(Table13[[#This Row],[PM Hi]]-Table13[[#This Row],[Lowest lo from open to squeeze]])/(Table13[[#This Row],[PM Hi]]-Table13[[#This Row],[PM LO]])))))</f>
        <v>0.5892857142857143</v>
      </c>
      <c r="AP88" s="18">
        <f>IF(J88&gt;=F88,(J88-K88)/(J88-D88),(IF(H88&lt;=K88,(F88-H88)/(F88-D88),(Table13[[#This Row],[PM Hi]]-Table13[[#This Row],[Lowest lo from open to squeeze]])/(Table13[[#This Row],[PM Hi]]-Table13[[#This Row],[Prior day close]]))))</f>
        <v>0.5892857142857143</v>
      </c>
      <c r="AQ88" s="17">
        <f>390+Table13[[#This Row],[Time until ideal entry point (mins) from open]]</f>
        <v>398</v>
      </c>
      <c r="AR88" s="51">
        <f>(Table13[[#This Row],[Time until ideal entry + 390 (6:30)]]+Table13[[#This Row],[Duration of frontside (mins)]])/1440</f>
        <v>0.36249999999999999</v>
      </c>
    </row>
    <row r="89" spans="1:44" x14ac:dyDescent="0.25">
      <c r="A89" s="24" t="s">
        <v>131</v>
      </c>
      <c r="B89" s="11">
        <v>44145</v>
      </c>
      <c r="C89" s="47" t="s">
        <v>71</v>
      </c>
      <c r="D89" s="12">
        <v>2.2000000000000002</v>
      </c>
      <c r="E89" s="13">
        <v>2.21</v>
      </c>
      <c r="F89" s="12">
        <v>3.68</v>
      </c>
      <c r="G89" s="12">
        <v>2.21</v>
      </c>
      <c r="H89" s="12">
        <v>2.81</v>
      </c>
      <c r="I89" s="12">
        <v>3.01</v>
      </c>
      <c r="J89" s="12">
        <v>3.15</v>
      </c>
      <c r="K89" s="12">
        <v>2.72</v>
      </c>
      <c r="L89" s="12">
        <v>3.9</v>
      </c>
      <c r="M89" s="12">
        <v>3.88</v>
      </c>
      <c r="N89" s="13">
        <v>131163994</v>
      </c>
      <c r="O89" s="12">
        <v>44792722</v>
      </c>
      <c r="P89" s="37">
        <v>16.739999999999998</v>
      </c>
      <c r="Q89">
        <v>6.67</v>
      </c>
      <c r="R89" s="37" t="s">
        <v>115</v>
      </c>
      <c r="S89" s="37">
        <v>9040302</v>
      </c>
      <c r="T89" s="37" t="s">
        <v>43</v>
      </c>
      <c r="U89" s="37" t="s">
        <v>43</v>
      </c>
      <c r="V89" s="38">
        <v>9</v>
      </c>
      <c r="W89">
        <v>10</v>
      </c>
      <c r="X89" s="39">
        <v>2.76</v>
      </c>
      <c r="Y89">
        <v>131</v>
      </c>
      <c r="Z89" s="40">
        <f>Table13[[#This Row],[Time until ideal entry + 390 (6:30)]]/(1440)</f>
        <v>0.27777777777777779</v>
      </c>
      <c r="AA89" s="18">
        <f t="shared" si="9"/>
        <v>0.67272727272727262</v>
      </c>
      <c r="AB89" s="18">
        <f>IF(Table13[[#This Row],[HOD AFTER PM HI]]&gt;=Table13[[#This Row],[PM Hi]],((Table13[[#This Row],[HOD AFTER PM HI]]-Table13[[#This Row],[Prior day close]])/Table13[[#This Row],[Prior day close]]),Table13[[#This Row],[Prior Close to PM Hi %]])</f>
        <v>0.7727272727272726</v>
      </c>
      <c r="AC89" s="42">
        <f>(Table13[[#This Row],[Price at hi of squeeze]]-Table13[[#This Row],[MKT Open Price]])/Table13[[#This Row],[MKT Open Price]]</f>
        <v>0.2890365448504984</v>
      </c>
      <c r="AD89" s="18">
        <f>(Table13[[#This Row],[Price at hi of squeeze]]-Table13[[#This Row],[PM Hi]])/Table13[[#This Row],[PM Hi]]</f>
        <v>5.4347826086956444E-2</v>
      </c>
      <c r="AE89" s="18">
        <f t="shared" si="8"/>
        <v>0.42647058823529399</v>
      </c>
      <c r="AF89" s="20">
        <f>Table13[[#This Row],[PM VOL]]/1000000/Table13[[#This Row],[FLOAT(M)]]</f>
        <v>1.3553676161919042</v>
      </c>
      <c r="AG89" s="23">
        <f>(Table13[[#This Row],[Volume]]/1000000)/Table13[[#This Row],[FLOAT(M)]]</f>
        <v>19.66476671664168</v>
      </c>
      <c r="AI89" s="18">
        <f>(Table13[[#This Row],[PM Hi]]-Table13[[#This Row],[MKT Open Price]])/(Table13[[#This Row],[PM Hi]])</f>
        <v>0.18206521739130443</v>
      </c>
      <c r="AJ89" s="16">
        <f>IF(Table13[[#This Row],[PM LO]]&gt;Table13[[#This Row],[Prior day close]],(Table13[[#This Row],[PM Hi]]-Table13[[#This Row],[MKT Open Price]])/(Table13[[#This Row],[PM Hi]]-Table13[[#This Row],[Prior day close]]),(Table13[[#This Row],[PM Hi]]-Table13[[#This Row],[MKT Open Price]])/(Table13[[#This Row],[PM Hi]]-Table13[[#This Row],[PM LO]]))</f>
        <v>0.45270270270270296</v>
      </c>
      <c r="AK89" s="18">
        <f>IF(Table13[[#This Row],[Prior day close]]&lt;Table13[[#This Row],[PM LO]],(I89-K89)/(I89-Table13[[#This Row],[Prior day close]]),(I89-K89)/(I89-Table13[[#This Row],[PM LO]]))</f>
        <v>0.35802469135802434</v>
      </c>
      <c r="AL89" s="18">
        <f>Table13[[#This Row],[Spike % on open before drop]]+AM89</f>
        <v>9.6345514950165981E-2</v>
      </c>
      <c r="AM89" s="16">
        <f t="shared" si="7"/>
        <v>9.6345514950165981E-2</v>
      </c>
      <c r="AN89" s="18">
        <f>IF($J89&gt;=$F89,($J89-$K89)/($J89),(IF($H89&lt;=$K89,($F89-$H89)/($F89),(Table13[[#This Row],[PM Hi]]-Table13[[#This Row],[Lowest lo from open to squeeze]])/(Table13[[#This Row],[PM Hi]]))))</f>
        <v>0.2608695652173913</v>
      </c>
      <c r="AO89" s="18">
        <f>IF(Table13[[#This Row],[Prior day close]]&lt;=Table13[[#This Row],[PM LO]],IF($J89&gt;=$F89,($J89-$K89)/($J89-Table13[[#This Row],[Prior day close]]),(IF($H89&lt;=$K89,($F89-$H89)/($F89-Table13[[#This Row],[Prior day close]]),(Table13[[#This Row],[PM Hi]]-Table13[[#This Row],[Lowest lo from open to squeeze]])/(Table13[[#This Row],[PM Hi]]-Table13[[#This Row],[Prior day close]])))),IF($J89&gt;=$F89,($J89-$K89)/($J89-Table13[[#This Row],[PM LO]]),(IF($H89&lt;=$K89,($F89-$H89)/($F89-Table13[[#This Row],[PM LO]]),(Table13[[#This Row],[PM Hi]]-Table13[[#This Row],[Lowest lo from open to squeeze]])/(Table13[[#This Row],[PM Hi]]-Table13[[#This Row],[PM LO]])))))</f>
        <v>0.64864864864864868</v>
      </c>
      <c r="AP89" s="18">
        <f>IF(J89&gt;=F89,(J89-K89)/(J89-D89),(IF(H89&lt;=K89,(F89-H89)/(F89-D89),(Table13[[#This Row],[PM Hi]]-Table13[[#This Row],[Lowest lo from open to squeeze]])/(Table13[[#This Row],[PM Hi]]-Table13[[#This Row],[Prior day close]]))))</f>
        <v>0.64864864864864868</v>
      </c>
      <c r="AQ89" s="17">
        <f>390+Table13[[#This Row],[Time until ideal entry point (mins) from open]]</f>
        <v>400</v>
      </c>
      <c r="AR89" s="51">
        <f>(Table13[[#This Row],[Time until ideal entry + 390 (6:30)]]+Table13[[#This Row],[Duration of frontside (mins)]])/1440</f>
        <v>0.36875000000000002</v>
      </c>
    </row>
    <row r="90" spans="1:44" x14ac:dyDescent="0.25">
      <c r="A90" s="24" t="s">
        <v>133</v>
      </c>
      <c r="B90" s="11">
        <v>44148</v>
      </c>
      <c r="C90" s="47" t="s">
        <v>71</v>
      </c>
      <c r="D90" s="12">
        <v>4.47</v>
      </c>
      <c r="E90" s="13">
        <v>4.45</v>
      </c>
      <c r="F90" s="12">
        <v>6.2</v>
      </c>
      <c r="G90" s="12">
        <v>4.3</v>
      </c>
      <c r="H90" s="12">
        <v>4.66</v>
      </c>
      <c r="I90" s="12">
        <v>5.28</v>
      </c>
      <c r="J90" s="12">
        <v>5.85</v>
      </c>
      <c r="K90" s="12">
        <v>5.17</v>
      </c>
      <c r="L90" s="12">
        <v>7.02</v>
      </c>
      <c r="M90" s="12">
        <v>6.83</v>
      </c>
      <c r="N90" s="13">
        <v>92887702</v>
      </c>
      <c r="O90" s="12">
        <v>577761506</v>
      </c>
      <c r="P90" s="37">
        <v>277.38</v>
      </c>
      <c r="Q90">
        <v>20.75</v>
      </c>
      <c r="R90" s="37" t="s">
        <v>115</v>
      </c>
      <c r="S90" s="37">
        <v>3990032</v>
      </c>
      <c r="T90" s="37" t="s">
        <v>41</v>
      </c>
      <c r="U90" s="37" t="s">
        <v>43</v>
      </c>
      <c r="V90" s="38">
        <v>15</v>
      </c>
      <c r="W90">
        <v>15</v>
      </c>
      <c r="X90" s="39">
        <v>5.27</v>
      </c>
      <c r="Y90">
        <v>64</v>
      </c>
      <c r="Z90" s="40">
        <f>Table13[[#This Row],[Time until ideal entry + 390 (6:30)]]/(1440)</f>
        <v>0.28125</v>
      </c>
      <c r="AA90" s="18">
        <f t="shared" si="9"/>
        <v>0.38702460850111869</v>
      </c>
      <c r="AB90" s="18">
        <f>IF(Table13[[#This Row],[HOD AFTER PM HI]]&gt;=Table13[[#This Row],[PM Hi]],((Table13[[#This Row],[HOD AFTER PM HI]]-Table13[[#This Row],[Prior day close]])/Table13[[#This Row],[Prior day close]]),Table13[[#This Row],[Prior Close to PM Hi %]])</f>
        <v>0.57046979865771807</v>
      </c>
      <c r="AC90" s="42">
        <f>(Table13[[#This Row],[Price at hi of squeeze]]-Table13[[#This Row],[MKT Open Price]])/Table13[[#This Row],[MKT Open Price]]</f>
        <v>0.29356060606060602</v>
      </c>
      <c r="AD90" s="18">
        <f>(Table13[[#This Row],[Price at hi of squeeze]]-Table13[[#This Row],[PM Hi]])/Table13[[#This Row],[PM Hi]]</f>
        <v>0.10161290322580643</v>
      </c>
      <c r="AE90" s="18">
        <f t="shared" si="8"/>
        <v>0.32108317214700194</v>
      </c>
      <c r="AF90" s="20">
        <f>Table13[[#This Row],[PM VOL]]/1000000/Table13[[#This Row],[FLOAT(M)]]</f>
        <v>0.19229069879518071</v>
      </c>
      <c r="AG90" s="23">
        <f>(Table13[[#This Row],[Volume]]/1000000)/Table13[[#This Row],[FLOAT(M)]]</f>
        <v>4.4765157590361451</v>
      </c>
      <c r="AI90" s="18">
        <f>(Table13[[#This Row],[PM Hi]]-Table13[[#This Row],[MKT Open Price]])/(Table13[[#This Row],[PM Hi]])</f>
        <v>0.14838709677419354</v>
      </c>
      <c r="AJ90" s="16">
        <f>IF(Table13[[#This Row],[PM LO]]&gt;Table13[[#This Row],[Prior day close]],(Table13[[#This Row],[PM Hi]]-Table13[[#This Row],[MKT Open Price]])/(Table13[[#This Row],[PM Hi]]-Table13[[#This Row],[Prior day close]]),(Table13[[#This Row],[PM Hi]]-Table13[[#This Row],[MKT Open Price]])/(Table13[[#This Row],[PM Hi]]-Table13[[#This Row],[PM LO]]))</f>
        <v>0.48421052631578937</v>
      </c>
      <c r="AK90" s="18">
        <f>IF(Table13[[#This Row],[Prior day close]]&lt;Table13[[#This Row],[PM LO]],(I90-K90)/(I90-Table13[[#This Row],[Prior day close]]),(I90-K90)/(I90-Table13[[#This Row],[PM LO]]))</f>
        <v>0.11224489795918395</v>
      </c>
      <c r="AL90" s="18">
        <f>Table13[[#This Row],[Spike % on open before drop]]+AM90</f>
        <v>2.0833333333333395E-2</v>
      </c>
      <c r="AM90" s="16">
        <f t="shared" ref="AM90:AM110" si="10">(I90-K90)/I90</f>
        <v>2.0833333333333395E-2</v>
      </c>
      <c r="AN90" s="18">
        <f>IF($J90&gt;=$F90,($J90-$K90)/($J90),(IF($H90&lt;=$K90,($F90-$H90)/($F90),(Table13[[#This Row],[PM Hi]]-Table13[[#This Row],[Lowest lo from open to squeeze]])/(Table13[[#This Row],[PM Hi]]))))</f>
        <v>0.24838709677419354</v>
      </c>
      <c r="AO90" s="18">
        <f>IF(Table13[[#This Row],[Prior day close]]&lt;=Table13[[#This Row],[PM LO]],IF($J90&gt;=$F90,($J90-$K90)/($J90-Table13[[#This Row],[Prior day close]]),(IF($H90&lt;=$K90,($F90-$H90)/($F90-Table13[[#This Row],[Prior day close]]),(Table13[[#This Row],[PM Hi]]-Table13[[#This Row],[Lowest lo from open to squeeze]])/(Table13[[#This Row],[PM Hi]]-Table13[[#This Row],[Prior day close]])))),IF($J90&gt;=$F90,($J90-$K90)/($J90-Table13[[#This Row],[PM LO]]),(IF($H90&lt;=$K90,($F90-$H90)/($F90-Table13[[#This Row],[PM LO]]),(Table13[[#This Row],[PM Hi]]-Table13[[#This Row],[Lowest lo from open to squeeze]])/(Table13[[#This Row],[PM Hi]]-Table13[[#This Row],[PM LO]])))))</f>
        <v>0.81052631578947354</v>
      </c>
      <c r="AP90" s="18">
        <f>IF(J90&gt;=F90,(J90-K90)/(J90-D90),(IF(H90&lt;=K90,(F90-H90)/(F90-D90),(Table13[[#This Row],[PM Hi]]-Table13[[#This Row],[Lowest lo from open to squeeze]])/(Table13[[#This Row],[PM Hi]]-Table13[[#This Row],[Prior day close]]))))</f>
        <v>0.89017341040462405</v>
      </c>
      <c r="AQ90" s="17">
        <f>390+Table13[[#This Row],[Time until ideal entry point (mins) from open]]</f>
        <v>405</v>
      </c>
      <c r="AR90" s="51">
        <f>(Table13[[#This Row],[Time until ideal entry + 390 (6:30)]]+Table13[[#This Row],[Duration of frontside (mins)]])/1440</f>
        <v>0.32569444444444445</v>
      </c>
    </row>
    <row r="91" spans="1:44" x14ac:dyDescent="0.25">
      <c r="A91" s="24" t="s">
        <v>134</v>
      </c>
      <c r="B91" s="11">
        <v>44153</v>
      </c>
      <c r="C91" s="47" t="s">
        <v>71</v>
      </c>
      <c r="D91" s="12">
        <v>2.37</v>
      </c>
      <c r="E91" s="13">
        <v>2.38</v>
      </c>
      <c r="F91" s="12">
        <v>3.45</v>
      </c>
      <c r="G91" s="12">
        <v>2.38</v>
      </c>
      <c r="H91" s="12">
        <v>3.33</v>
      </c>
      <c r="I91" s="12">
        <v>3.45</v>
      </c>
      <c r="J91" s="12">
        <v>3.48</v>
      </c>
      <c r="K91" s="12">
        <v>3.21</v>
      </c>
      <c r="L91" s="12">
        <v>4.99</v>
      </c>
      <c r="M91" s="12">
        <v>4.99</v>
      </c>
      <c r="N91" s="13">
        <v>156520328</v>
      </c>
      <c r="O91" s="12">
        <v>712167492</v>
      </c>
      <c r="P91" s="37">
        <v>417.86</v>
      </c>
      <c r="Q91">
        <v>154.43</v>
      </c>
      <c r="R91" s="37" t="s">
        <v>115</v>
      </c>
      <c r="S91" s="37">
        <v>5425259</v>
      </c>
      <c r="T91" s="37" t="s">
        <v>41</v>
      </c>
      <c r="U91" s="37" t="s">
        <v>41</v>
      </c>
      <c r="V91" s="38">
        <v>3</v>
      </c>
      <c r="W91">
        <v>2</v>
      </c>
      <c r="X91" s="39">
        <v>3.28</v>
      </c>
      <c r="Y91">
        <v>14</v>
      </c>
      <c r="Z91" s="40">
        <f>Table13[[#This Row],[Time until ideal entry + 390 (6:30)]]/(1440)</f>
        <v>0.2722222222222222</v>
      </c>
      <c r="AA91" s="18">
        <f t="shared" si="9"/>
        <v>0.45569620253164556</v>
      </c>
      <c r="AB91" s="18">
        <f>IF(Table13[[#This Row],[HOD AFTER PM HI]]&gt;=Table13[[#This Row],[PM Hi]],((Table13[[#This Row],[HOD AFTER PM HI]]-Table13[[#This Row],[Prior day close]])/Table13[[#This Row],[Prior day close]]),Table13[[#This Row],[Prior Close to PM Hi %]])</f>
        <v>1.1054852320675106</v>
      </c>
      <c r="AC91" s="42">
        <f>(Table13[[#This Row],[Price at hi of squeeze]]-Table13[[#This Row],[MKT Open Price]])/Table13[[#This Row],[MKT Open Price]]</f>
        <v>0.44637681159420289</v>
      </c>
      <c r="AD91" s="18">
        <f>(Table13[[#This Row],[Price at hi of squeeze]]-Table13[[#This Row],[PM Hi]])/Table13[[#This Row],[PM Hi]]</f>
        <v>0.44637681159420289</v>
      </c>
      <c r="AE91" s="18">
        <f t="shared" si="8"/>
        <v>0.55451713395638635</v>
      </c>
      <c r="AF91" s="20">
        <f>Table13[[#This Row],[PM VOL]]/1000000/Table13[[#This Row],[FLOAT(M)]]</f>
        <v>3.513086187916855E-2</v>
      </c>
      <c r="AG91" s="23">
        <f>(Table13[[#This Row],[Volume]]/1000000)/Table13[[#This Row],[FLOAT(M)]]</f>
        <v>1.0135357637764684</v>
      </c>
      <c r="AI91" s="18">
        <f>(Table13[[#This Row],[PM Hi]]-Table13[[#This Row],[MKT Open Price]])/(Table13[[#This Row],[PM Hi]])</f>
        <v>0</v>
      </c>
      <c r="AJ91" s="16">
        <f>IF(Table13[[#This Row],[PM LO]]&gt;Table13[[#This Row],[Prior day close]],(Table13[[#This Row],[PM Hi]]-Table13[[#This Row],[MKT Open Price]])/(Table13[[#This Row],[PM Hi]]-Table13[[#This Row],[Prior day close]]),(Table13[[#This Row],[PM Hi]]-Table13[[#This Row],[MKT Open Price]])/(Table13[[#This Row],[PM Hi]]-Table13[[#This Row],[PM LO]]))</f>
        <v>0</v>
      </c>
      <c r="AK91" s="18">
        <f>IF(Table13[[#This Row],[Prior day close]]&lt;Table13[[#This Row],[PM LO]],(I91-K91)/(I91-Table13[[#This Row],[Prior day close]]),(I91-K91)/(I91-Table13[[#This Row],[PM LO]]))</f>
        <v>0.2222222222222224</v>
      </c>
      <c r="AL91" s="18">
        <f>Table13[[#This Row],[Spike % on open before drop]]+AM91</f>
        <v>6.9565217391304404E-2</v>
      </c>
      <c r="AM91" s="16">
        <f t="shared" si="10"/>
        <v>6.9565217391304404E-2</v>
      </c>
      <c r="AN91" s="18">
        <f>IF($J91&gt;=$F91,($J91-$K91)/($J91),(IF($H91&lt;=$K91,($F91-$H91)/($F91),(Table13[[#This Row],[PM Hi]]-Table13[[#This Row],[Lowest lo from open to squeeze]])/(Table13[[#This Row],[PM Hi]]))))</f>
        <v>7.7586206896551727E-2</v>
      </c>
      <c r="AO91" s="18">
        <f>IF(Table13[[#This Row],[Prior day close]]&lt;=Table13[[#This Row],[PM LO]],IF($J91&gt;=$F91,($J91-$K91)/($J91-Table13[[#This Row],[Prior day close]]),(IF($H91&lt;=$K91,($F91-$H91)/($F91-Table13[[#This Row],[Prior day close]]),(Table13[[#This Row],[PM Hi]]-Table13[[#This Row],[Lowest lo from open to squeeze]])/(Table13[[#This Row],[PM Hi]]-Table13[[#This Row],[Prior day close]])))),IF($J91&gt;=$F91,($J91-$K91)/($J91-Table13[[#This Row],[PM LO]]),(IF($H91&lt;=$K91,($F91-$H91)/($F91-Table13[[#This Row],[PM LO]]),(Table13[[#This Row],[PM Hi]]-Table13[[#This Row],[Lowest lo from open to squeeze]])/(Table13[[#This Row],[PM Hi]]-Table13[[#This Row],[PM LO]])))))</f>
        <v>0.24324324324324328</v>
      </c>
      <c r="AP91" s="18">
        <f>IF(J91&gt;=F91,(J91-K91)/(J91-D91),(IF(H91&lt;=K91,(F91-H91)/(F91-D91),(Table13[[#This Row],[PM Hi]]-Table13[[#This Row],[Lowest lo from open to squeeze]])/(Table13[[#This Row],[PM Hi]]-Table13[[#This Row],[Prior day close]]))))</f>
        <v>0.24324324324324328</v>
      </c>
      <c r="AQ91" s="17">
        <f>390+Table13[[#This Row],[Time until ideal entry point (mins) from open]]</f>
        <v>392</v>
      </c>
      <c r="AR91" s="51">
        <f>(Table13[[#This Row],[Time until ideal entry + 390 (6:30)]]+Table13[[#This Row],[Duration of frontside (mins)]])/1440</f>
        <v>0.28194444444444444</v>
      </c>
    </row>
    <row r="92" spans="1:44" x14ac:dyDescent="0.25">
      <c r="A92" s="24" t="s">
        <v>93</v>
      </c>
      <c r="B92" s="11">
        <v>44155</v>
      </c>
      <c r="C92" s="47" t="s">
        <v>71</v>
      </c>
      <c r="D92" s="12">
        <v>6.08</v>
      </c>
      <c r="E92" s="13">
        <v>6.15</v>
      </c>
      <c r="F92" s="12">
        <v>8.48</v>
      </c>
      <c r="G92" s="12">
        <v>5.6</v>
      </c>
      <c r="H92" s="12">
        <v>7.26</v>
      </c>
      <c r="I92" s="12">
        <v>7.52</v>
      </c>
      <c r="J92" s="12">
        <v>7.67</v>
      </c>
      <c r="K92" s="12">
        <v>7.12</v>
      </c>
      <c r="L92" s="12">
        <v>9.8699999999999992</v>
      </c>
      <c r="M92" s="12">
        <v>9.8699999999999992</v>
      </c>
      <c r="N92" s="13">
        <v>135149950</v>
      </c>
      <c r="O92" s="12">
        <v>1092673830</v>
      </c>
      <c r="P92" s="37">
        <v>150</v>
      </c>
      <c r="Q92">
        <v>21</v>
      </c>
      <c r="R92" s="37" t="s">
        <v>103</v>
      </c>
      <c r="S92" s="37">
        <v>16134396</v>
      </c>
      <c r="T92" s="37" t="s">
        <v>43</v>
      </c>
      <c r="U92" s="37" t="s">
        <v>41</v>
      </c>
      <c r="V92" s="38">
        <v>2</v>
      </c>
      <c r="W92">
        <v>2</v>
      </c>
      <c r="X92" s="39">
        <v>7.23</v>
      </c>
      <c r="Y92">
        <v>80</v>
      </c>
      <c r="Z92" s="40">
        <f>Table13[[#This Row],[Time until ideal entry + 390 (6:30)]]/(1440)</f>
        <v>0.2722222222222222</v>
      </c>
      <c r="AA92" s="18">
        <f t="shared" si="9"/>
        <v>0.39473684210526322</v>
      </c>
      <c r="AB92" s="18">
        <f>IF(Table13[[#This Row],[HOD AFTER PM HI]]&gt;=Table13[[#This Row],[PM Hi]],((Table13[[#This Row],[HOD AFTER PM HI]]-Table13[[#This Row],[Prior day close]])/Table13[[#This Row],[Prior day close]]),Table13[[#This Row],[Prior Close to PM Hi %]])</f>
        <v>0.62335526315789458</v>
      </c>
      <c r="AC92" s="42">
        <f>(Table13[[#This Row],[Price at hi of squeeze]]-Table13[[#This Row],[MKT Open Price]])/Table13[[#This Row],[MKT Open Price]]</f>
        <v>0.31249999999999994</v>
      </c>
      <c r="AD92" s="18">
        <f>(Table13[[#This Row],[Price at hi of squeeze]]-Table13[[#This Row],[PM Hi]])/Table13[[#This Row],[PM Hi]]</f>
        <v>0.16391509433962248</v>
      </c>
      <c r="AE92" s="18">
        <f t="shared" si="8"/>
        <v>0.38623595505617964</v>
      </c>
      <c r="AF92" s="20">
        <f>Table13[[#This Row],[PM VOL]]/1000000/Table13[[#This Row],[FLOAT(M)]]</f>
        <v>0.76830457142857134</v>
      </c>
      <c r="AG92" s="23">
        <f>(Table13[[#This Row],[Volume]]/1000000)/Table13[[#This Row],[FLOAT(M)]]</f>
        <v>6.435711904761904</v>
      </c>
      <c r="AI92" s="18">
        <f>(Table13[[#This Row],[PM Hi]]-Table13[[#This Row],[MKT Open Price]])/(Table13[[#This Row],[PM Hi]])</f>
        <v>0.11320754716981142</v>
      </c>
      <c r="AJ92" s="16">
        <f>IF(Table13[[#This Row],[PM LO]]&gt;Table13[[#This Row],[Prior day close]],(Table13[[#This Row],[PM Hi]]-Table13[[#This Row],[MKT Open Price]])/(Table13[[#This Row],[PM Hi]]-Table13[[#This Row],[Prior day close]]),(Table13[[#This Row],[PM Hi]]-Table13[[#This Row],[MKT Open Price]])/(Table13[[#This Row],[PM Hi]]-Table13[[#This Row],[PM LO]]))</f>
        <v>0.33333333333333354</v>
      </c>
      <c r="AK92" s="18">
        <f>IF(Table13[[#This Row],[Prior day close]]&lt;Table13[[#This Row],[PM LO]],(I92-K92)/(I92-Table13[[#This Row],[Prior day close]]),(I92-K92)/(I92-Table13[[#This Row],[PM LO]]))</f>
        <v>0.20833333333333307</v>
      </c>
      <c r="AL92" s="18">
        <f>Table13[[#This Row],[Spike % on open before drop]]+AM92</f>
        <v>5.3191489361702059E-2</v>
      </c>
      <c r="AM92" s="16">
        <f t="shared" si="10"/>
        <v>5.3191489361702059E-2</v>
      </c>
      <c r="AN92" s="18">
        <f>IF($J92&gt;=$F92,($J92-$K92)/($J92),(IF($H92&lt;=$K92,($F92-$H92)/($F92),(Table13[[#This Row],[PM Hi]]-Table13[[#This Row],[Lowest lo from open to squeeze]])/(Table13[[#This Row],[PM Hi]]))))</f>
        <v>0.16037735849056606</v>
      </c>
      <c r="AO92" s="18">
        <f>IF(Table13[[#This Row],[Prior day close]]&lt;=Table13[[#This Row],[PM LO]],IF($J92&gt;=$F92,($J92-$K92)/($J92-Table13[[#This Row],[Prior day close]]),(IF($H92&lt;=$K92,($F92-$H92)/($F92-Table13[[#This Row],[Prior day close]]),(Table13[[#This Row],[PM Hi]]-Table13[[#This Row],[Lowest lo from open to squeeze]])/(Table13[[#This Row],[PM Hi]]-Table13[[#This Row],[Prior day close]])))),IF($J92&gt;=$F92,($J92-$K92)/($J92-Table13[[#This Row],[PM LO]]),(IF($H92&lt;=$K92,($F92-$H92)/($F92-Table13[[#This Row],[PM LO]]),(Table13[[#This Row],[PM Hi]]-Table13[[#This Row],[Lowest lo from open to squeeze]])/(Table13[[#This Row],[PM Hi]]-Table13[[#This Row],[PM LO]])))))</f>
        <v>0.47222222222222221</v>
      </c>
      <c r="AP92" s="18">
        <f>IF(J92&gt;=F92,(J92-K92)/(J92-D92),(IF(H92&lt;=K92,(F92-H92)/(F92-D92),(Table13[[#This Row],[PM Hi]]-Table13[[#This Row],[Lowest lo from open to squeeze]])/(Table13[[#This Row],[PM Hi]]-Table13[[#This Row],[Prior day close]]))))</f>
        <v>0.56666666666666676</v>
      </c>
      <c r="AQ92" s="17">
        <f>390+Table13[[#This Row],[Time until ideal entry point (mins) from open]]</f>
        <v>392</v>
      </c>
      <c r="AR92" s="51">
        <f>(Table13[[#This Row],[Time until ideal entry + 390 (6:30)]]+Table13[[#This Row],[Duration of frontside (mins)]])/1440</f>
        <v>0.32777777777777778</v>
      </c>
    </row>
    <row r="93" spans="1:44" x14ac:dyDescent="0.25">
      <c r="A93" s="24" t="s">
        <v>64</v>
      </c>
      <c r="B93" s="11">
        <v>44158</v>
      </c>
      <c r="C93" s="47" t="s">
        <v>71</v>
      </c>
      <c r="D93" s="12">
        <v>2.08</v>
      </c>
      <c r="E93" s="13">
        <v>2.13</v>
      </c>
      <c r="F93" s="12">
        <v>3.14</v>
      </c>
      <c r="G93" s="12">
        <v>2.13</v>
      </c>
      <c r="H93" s="12">
        <v>2.94</v>
      </c>
      <c r="I93" s="12">
        <v>3.05</v>
      </c>
      <c r="J93" s="12">
        <v>3.23</v>
      </c>
      <c r="K93" s="12">
        <v>2.75</v>
      </c>
      <c r="L93" s="12">
        <v>9.02</v>
      </c>
      <c r="M93" s="12">
        <v>4.17</v>
      </c>
      <c r="N93" s="13">
        <v>300228380</v>
      </c>
      <c r="O93" s="12">
        <v>2590970919</v>
      </c>
      <c r="P93" s="37">
        <v>30</v>
      </c>
      <c r="Q93">
        <v>8.8800000000000008</v>
      </c>
      <c r="R93" s="37" t="s">
        <v>127</v>
      </c>
      <c r="S93" s="37">
        <v>12828489</v>
      </c>
      <c r="T93" s="37" t="s">
        <v>43</v>
      </c>
      <c r="U93" s="37" t="s">
        <v>43</v>
      </c>
      <c r="V93" s="38">
        <v>10</v>
      </c>
      <c r="W93">
        <v>10</v>
      </c>
      <c r="X93" s="39"/>
      <c r="Y93"/>
      <c r="Z93" s="40">
        <f>Table13[[#This Row],[Time until ideal entry + 390 (6:30)]]/(1440)</f>
        <v>0.27777777777777779</v>
      </c>
      <c r="AA93" s="18">
        <f t="shared" si="9"/>
        <v>0.50961538461538458</v>
      </c>
      <c r="AB93" s="18">
        <f>IF(Table13[[#This Row],[HOD AFTER PM HI]]&gt;=Table13[[#This Row],[PM Hi]],((Table13[[#This Row],[HOD AFTER PM HI]]-Table13[[#This Row],[Prior day close]])/Table13[[#This Row],[Prior day close]]),Table13[[#This Row],[Prior Close to PM Hi %]])</f>
        <v>3.3365384615384612</v>
      </c>
      <c r="AC93" s="42">
        <f>(Table13[[#This Row],[Price at hi of squeeze]]-Table13[[#This Row],[MKT Open Price]])/Table13[[#This Row],[MKT Open Price]]</f>
        <v>0.3672131147540984</v>
      </c>
      <c r="AD93" s="18">
        <f>(Table13[[#This Row],[Price at hi of squeeze]]-Table13[[#This Row],[PM Hi]])/Table13[[#This Row],[PM Hi]]</f>
        <v>0.3280254777070063</v>
      </c>
      <c r="AE93" s="18">
        <f t="shared" si="8"/>
        <v>0.51636363636363636</v>
      </c>
      <c r="AF93" s="20">
        <f>Table13[[#This Row],[PM VOL]]/1000000/Table13[[#This Row],[FLOAT(M)]]</f>
        <v>1.4446496621621621</v>
      </c>
      <c r="AG93" s="23">
        <f>(Table13[[#This Row],[Volume]]/1000000)/Table13[[#This Row],[FLOAT(M)]]</f>
        <v>33.809502252252251</v>
      </c>
      <c r="AI93" s="18">
        <f>(Table13[[#This Row],[PM Hi]]-Table13[[#This Row],[MKT Open Price]])/(Table13[[#This Row],[PM Hi]])</f>
        <v>2.8662420382165699E-2</v>
      </c>
      <c r="AJ93" s="16">
        <f>IF(Table13[[#This Row],[PM LO]]&gt;Table13[[#This Row],[Prior day close]],(Table13[[#This Row],[PM Hi]]-Table13[[#This Row],[MKT Open Price]])/(Table13[[#This Row],[PM Hi]]-Table13[[#This Row],[Prior day close]]),(Table13[[#This Row],[PM Hi]]-Table13[[#This Row],[MKT Open Price]])/(Table13[[#This Row],[PM Hi]]-Table13[[#This Row],[PM LO]]))</f>
        <v>8.4905660377358777E-2</v>
      </c>
      <c r="AK93" s="18">
        <f>IF(Table13[[#This Row],[Prior day close]]&lt;Table13[[#This Row],[PM LO]],(I93-K93)/(I93-Table13[[#This Row],[Prior day close]]),(I93-K93)/(I93-Table13[[#This Row],[PM LO]]))</f>
        <v>0.30927835051546382</v>
      </c>
      <c r="AL93" s="18">
        <f>Table13[[#This Row],[Spike % on open before drop]]+AM93</f>
        <v>9.8360655737704861E-2</v>
      </c>
      <c r="AM93" s="16">
        <f t="shared" si="10"/>
        <v>9.8360655737704861E-2</v>
      </c>
      <c r="AN93" s="18">
        <f>IF($J93&gt;=$F93,($J93-$K93)/($J93),(IF($H93&lt;=$K93,($F93-$H93)/($F93),(Table13[[#This Row],[PM Hi]]-Table13[[#This Row],[Lowest lo from open to squeeze]])/(Table13[[#This Row],[PM Hi]]))))</f>
        <v>0.14860681114551083</v>
      </c>
      <c r="AO93" s="18">
        <f>IF(Table13[[#This Row],[Prior day close]]&lt;=Table13[[#This Row],[PM LO]],IF($J93&gt;=$F93,($J93-$K93)/($J93-Table13[[#This Row],[Prior day close]]),(IF($H93&lt;=$K93,($F93-$H93)/($F93-Table13[[#This Row],[Prior day close]]),(Table13[[#This Row],[PM Hi]]-Table13[[#This Row],[Lowest lo from open to squeeze]])/(Table13[[#This Row],[PM Hi]]-Table13[[#This Row],[Prior day close]])))),IF($J93&gt;=$F93,($J93-$K93)/($J93-Table13[[#This Row],[PM LO]]),(IF($H93&lt;=$K93,($F93-$H93)/($F93-Table13[[#This Row],[PM LO]]),(Table13[[#This Row],[PM Hi]]-Table13[[#This Row],[Lowest lo from open to squeeze]])/(Table13[[#This Row],[PM Hi]]-Table13[[#This Row],[PM LO]])))))</f>
        <v>0.41739130434782612</v>
      </c>
      <c r="AP93" s="18">
        <f>IF(J93&gt;=F93,(J93-K93)/(J93-D93),(IF(H93&lt;=K93,(F93-H93)/(F93-D93),(Table13[[#This Row],[PM Hi]]-Table13[[#This Row],[Lowest lo from open to squeeze]])/(Table13[[#This Row],[PM Hi]]-Table13[[#This Row],[Prior day close]]))))</f>
        <v>0.41739130434782612</v>
      </c>
      <c r="AQ93" s="17">
        <f>390+Table13[[#This Row],[Time until ideal entry point (mins) from open]]</f>
        <v>400</v>
      </c>
      <c r="AR93" s="51">
        <f>(Table13[[#This Row],[Time until ideal entry + 390 (6:30)]]+Table13[[#This Row],[Duration of frontside (mins)]])/1440</f>
        <v>0.27777777777777779</v>
      </c>
    </row>
    <row r="94" spans="1:44" x14ac:dyDescent="0.25">
      <c r="A94" s="24" t="s">
        <v>121</v>
      </c>
      <c r="B94" s="45">
        <v>44168</v>
      </c>
      <c r="C94" s="47" t="s">
        <v>71</v>
      </c>
      <c r="D94" s="12">
        <v>2.42</v>
      </c>
      <c r="E94" s="13">
        <v>2.4</v>
      </c>
      <c r="F94" s="12">
        <v>5.2</v>
      </c>
      <c r="G94" s="12">
        <v>2.4</v>
      </c>
      <c r="H94" s="12">
        <v>4.12</v>
      </c>
      <c r="I94" s="12">
        <v>4.3899999999999997</v>
      </c>
      <c r="J94" s="12">
        <v>4.78</v>
      </c>
      <c r="K94" s="12">
        <v>3.83</v>
      </c>
      <c r="L94" s="12">
        <v>5.91</v>
      </c>
      <c r="M94" s="12">
        <v>5.13</v>
      </c>
      <c r="N94" s="13">
        <v>198937626</v>
      </c>
      <c r="O94" s="12">
        <v>924065272</v>
      </c>
      <c r="P94" s="37">
        <v>107.52</v>
      </c>
      <c r="Q94">
        <v>22.74</v>
      </c>
      <c r="R94" s="37" t="s">
        <v>115</v>
      </c>
      <c r="S94" s="37">
        <v>23403663</v>
      </c>
      <c r="T94" s="37" t="s">
        <v>41</v>
      </c>
      <c r="U94" s="37" t="s">
        <v>43</v>
      </c>
      <c r="V94" s="38">
        <v>14</v>
      </c>
      <c r="W94">
        <v>14</v>
      </c>
      <c r="X94" s="39">
        <v>3.9</v>
      </c>
      <c r="Y94"/>
      <c r="Z94" s="40">
        <f>Table13[[#This Row],[Time until ideal entry + 390 (6:30)]]/(1440)</f>
        <v>0.28055555555555556</v>
      </c>
      <c r="AA94" s="18">
        <f t="shared" si="9"/>
        <v>1.1487603305785126</v>
      </c>
      <c r="AB94" s="18">
        <f>IF(Table13[[#This Row],[HOD AFTER PM HI]]&gt;=Table13[[#This Row],[PM Hi]],((Table13[[#This Row],[HOD AFTER PM HI]]-Table13[[#This Row],[Prior day close]])/Table13[[#This Row],[Prior day close]]),Table13[[#This Row],[Prior Close to PM Hi %]])</f>
        <v>1.4421487603305787</v>
      </c>
      <c r="AC94" s="42">
        <f>(Table13[[#This Row],[Price at hi of squeeze]]-Table13[[#This Row],[MKT Open Price]])/Table13[[#This Row],[MKT Open Price]]</f>
        <v>0.16856492027334857</v>
      </c>
      <c r="AD94" s="18">
        <f>(Table13[[#This Row],[Price at hi of squeeze]]-Table13[[#This Row],[PM Hi]])/Table13[[#This Row],[PM Hi]]</f>
        <v>-1.3461538461538516E-2</v>
      </c>
      <c r="AE94" s="18">
        <f t="shared" si="8"/>
        <v>0.3394255874673629</v>
      </c>
      <c r="AF94" s="20">
        <f>Table13[[#This Row],[PM VOL]]/1000000/Table13[[#This Row],[FLOAT(M)]]</f>
        <v>1.0291848284960423</v>
      </c>
      <c r="AG94" s="23">
        <f>(Table13[[#This Row],[Volume]]/1000000)/Table13[[#This Row],[FLOAT(M)]]</f>
        <v>8.7483564643799472</v>
      </c>
      <c r="AI94" s="18">
        <f>(Table13[[#This Row],[PM Hi]]-Table13[[#This Row],[MKT Open Price]])/(Table13[[#This Row],[PM Hi]])</f>
        <v>0.15576923076923085</v>
      </c>
      <c r="AJ94" s="16">
        <f>IF(Table13[[#This Row],[PM LO]]&gt;Table13[[#This Row],[Prior day close]],(Table13[[#This Row],[PM Hi]]-Table13[[#This Row],[MKT Open Price]])/(Table13[[#This Row],[PM Hi]]-Table13[[#This Row],[Prior day close]]),(Table13[[#This Row],[PM Hi]]-Table13[[#This Row],[MKT Open Price]])/(Table13[[#This Row],[PM Hi]]-Table13[[#This Row],[PM LO]]))</f>
        <v>0.28928571428571442</v>
      </c>
      <c r="AK94" s="18">
        <f>IF(Table13[[#This Row],[Prior day close]]&lt;Table13[[#This Row],[PM LO]],(I94-K94)/(I94-Table13[[#This Row],[Prior day close]]),(I94-K94)/(I94-Table13[[#This Row],[PM LO]]))</f>
        <v>0.28140703517587923</v>
      </c>
      <c r="AL94" s="18">
        <f>Table13[[#This Row],[Spike % on open before drop]]+AM94</f>
        <v>0.12756264236902043</v>
      </c>
      <c r="AM94" s="16">
        <f t="shared" si="10"/>
        <v>0.12756264236902043</v>
      </c>
      <c r="AN94" s="18">
        <f>IF($J94&gt;=$F94,($J94-$K94)/($J94),(IF($H94&lt;=$K94,($F94-$H94)/($F94),(Table13[[#This Row],[PM Hi]]-Table13[[#This Row],[Lowest lo from open to squeeze]])/(Table13[[#This Row],[PM Hi]]))))</f>
        <v>0.26346153846153847</v>
      </c>
      <c r="AO94" s="18">
        <f>IF(Table13[[#This Row],[Prior day close]]&lt;=Table13[[#This Row],[PM LO]],IF($J94&gt;=$F94,($J94-$K94)/($J94-Table13[[#This Row],[Prior day close]]),(IF($H94&lt;=$K94,($F94-$H94)/($F94-Table13[[#This Row],[Prior day close]]),(Table13[[#This Row],[PM Hi]]-Table13[[#This Row],[Lowest lo from open to squeeze]])/(Table13[[#This Row],[PM Hi]]-Table13[[#This Row],[Prior day close]])))),IF($J94&gt;=$F94,($J94-$K94)/($J94-Table13[[#This Row],[PM LO]]),(IF($H94&lt;=$K94,($F94-$H94)/($F94-Table13[[#This Row],[PM LO]]),(Table13[[#This Row],[PM Hi]]-Table13[[#This Row],[Lowest lo from open to squeeze]])/(Table13[[#This Row],[PM Hi]]-Table13[[#This Row],[PM LO]])))))</f>
        <v>0.48928571428571427</v>
      </c>
      <c r="AP94" s="18">
        <f>IF(J94&gt;=F94,(J94-K94)/(J94-D94),(IF(H94&lt;=K94,(F94-H94)/(F94-D94),(Table13[[#This Row],[PM Hi]]-Table13[[#This Row],[Lowest lo from open to squeeze]])/(Table13[[#This Row],[PM Hi]]-Table13[[#This Row],[Prior day close]]))))</f>
        <v>0.49280575539568344</v>
      </c>
      <c r="AQ94" s="17">
        <f>390+Table13[[#This Row],[Time until ideal entry point (mins) from open]]</f>
        <v>404</v>
      </c>
      <c r="AR94" s="51">
        <f>(Table13[[#This Row],[Time until ideal entry + 390 (6:30)]]+Table13[[#This Row],[Duration of frontside (mins)]])/1440</f>
        <v>0.28055555555555556</v>
      </c>
    </row>
    <row r="95" spans="1:44" x14ac:dyDescent="0.25">
      <c r="A95" s="24" t="s">
        <v>116</v>
      </c>
      <c r="B95" s="45">
        <v>44169</v>
      </c>
      <c r="C95" s="47" t="s">
        <v>71</v>
      </c>
      <c r="D95" s="12">
        <v>3.59</v>
      </c>
      <c r="E95" s="13">
        <v>3.54</v>
      </c>
      <c r="F95" s="12">
        <v>5.27</v>
      </c>
      <c r="G95" s="12">
        <v>3.54</v>
      </c>
      <c r="H95" s="12">
        <v>4.91</v>
      </c>
      <c r="I95" s="12">
        <v>5.04</v>
      </c>
      <c r="J95" s="12">
        <v>5.4</v>
      </c>
      <c r="K95" s="12">
        <v>4.8099999999999996</v>
      </c>
      <c r="L95" s="12">
        <v>6.16</v>
      </c>
      <c r="M95" s="12">
        <v>6.06</v>
      </c>
      <c r="N95" s="13">
        <v>118051116</v>
      </c>
      <c r="O95" s="12">
        <v>492863409</v>
      </c>
      <c r="P95" s="37">
        <v>31.59</v>
      </c>
      <c r="Q95">
        <v>3</v>
      </c>
      <c r="R95" s="37" t="s">
        <v>127</v>
      </c>
      <c r="S95" s="37">
        <v>7417196</v>
      </c>
      <c r="T95" s="37" t="s">
        <v>43</v>
      </c>
      <c r="U95" s="37" t="s">
        <v>43</v>
      </c>
      <c r="V95" s="38">
        <v>8</v>
      </c>
      <c r="W95">
        <v>8</v>
      </c>
      <c r="X95" s="39">
        <v>4.8</v>
      </c>
      <c r="Y95">
        <v>20</v>
      </c>
      <c r="Z95" s="40">
        <f>Table13[[#This Row],[Time until ideal entry + 390 (6:30)]]/(1440)</f>
        <v>0.27638888888888891</v>
      </c>
      <c r="AA95" s="18">
        <f t="shared" si="9"/>
        <v>0.46796657381615592</v>
      </c>
      <c r="AB95" s="18">
        <f>IF(Table13[[#This Row],[HOD AFTER PM HI]]&gt;=Table13[[#This Row],[PM Hi]],((Table13[[#This Row],[HOD AFTER PM HI]]-Table13[[#This Row],[Prior day close]])/Table13[[#This Row],[Prior day close]]),Table13[[#This Row],[Prior Close to PM Hi %]])</f>
        <v>0.71587743732590536</v>
      </c>
      <c r="AC95" s="42">
        <f>(Table13[[#This Row],[Price at hi of squeeze]]-Table13[[#This Row],[MKT Open Price]])/Table13[[#This Row],[MKT Open Price]]</f>
        <v>0.2023809523809523</v>
      </c>
      <c r="AD95" s="18">
        <f>(Table13[[#This Row],[Price at hi of squeeze]]-Table13[[#This Row],[PM Hi]])/Table13[[#This Row],[PM Hi]]</f>
        <v>0.14990512333965847</v>
      </c>
      <c r="AE95" s="18">
        <f t="shared" si="8"/>
        <v>0.25987525987525989</v>
      </c>
      <c r="AF95" s="20">
        <f>Table13[[#This Row],[PM VOL]]/1000000/Table13[[#This Row],[FLOAT(M)]]</f>
        <v>2.4723986666666664</v>
      </c>
      <c r="AG95" s="23">
        <f>(Table13[[#This Row],[Volume]]/1000000)/Table13[[#This Row],[FLOAT(M)]]</f>
        <v>39.350372</v>
      </c>
      <c r="AI95" s="18">
        <f>(Table13[[#This Row],[PM Hi]]-Table13[[#This Row],[MKT Open Price]])/(Table13[[#This Row],[PM Hi]])</f>
        <v>4.3643263757115663E-2</v>
      </c>
      <c r="AJ95" s="16">
        <f>IF(Table13[[#This Row],[PM LO]]&gt;Table13[[#This Row],[Prior day close]],(Table13[[#This Row],[PM Hi]]-Table13[[#This Row],[MKT Open Price]])/(Table13[[#This Row],[PM Hi]]-Table13[[#This Row],[Prior day close]]),(Table13[[#This Row],[PM Hi]]-Table13[[#This Row],[MKT Open Price]])/(Table13[[#This Row],[PM Hi]]-Table13[[#This Row],[PM LO]]))</f>
        <v>0.13294797687861248</v>
      </c>
      <c r="AK95" s="18">
        <f>IF(Table13[[#This Row],[Prior day close]]&lt;Table13[[#This Row],[PM LO]],(I95-K95)/(I95-Table13[[#This Row],[Prior day close]]),(I95-K95)/(I95-Table13[[#This Row],[PM LO]]))</f>
        <v>0.15333333333333363</v>
      </c>
      <c r="AL95" s="18">
        <f>Table13[[#This Row],[Spike % on open before drop]]+AM95</f>
        <v>4.5634920634920723E-2</v>
      </c>
      <c r="AM95" s="16">
        <f t="shared" si="10"/>
        <v>4.5634920634920723E-2</v>
      </c>
      <c r="AN95" s="18">
        <f>IF($J95&gt;=$F95,($J95-$K95)/($J95),(IF($H95&lt;=$K95,($F95-$H95)/($F95),(Table13[[#This Row],[PM Hi]]-Table13[[#This Row],[Lowest lo from open to squeeze]])/(Table13[[#This Row],[PM Hi]]))))</f>
        <v>0.10925925925925939</v>
      </c>
      <c r="AO95" s="18">
        <f>IF(Table13[[#This Row],[Prior day close]]&lt;=Table13[[#This Row],[PM LO]],IF($J95&gt;=$F95,($J95-$K95)/($J95-Table13[[#This Row],[Prior day close]]),(IF($H95&lt;=$K95,($F95-$H95)/($F95-Table13[[#This Row],[Prior day close]]),(Table13[[#This Row],[PM Hi]]-Table13[[#This Row],[Lowest lo from open to squeeze]])/(Table13[[#This Row],[PM Hi]]-Table13[[#This Row],[Prior day close]])))),IF($J95&gt;=$F95,($J95-$K95)/($J95-Table13[[#This Row],[PM LO]]),(IF($H95&lt;=$K95,($F95-$H95)/($F95-Table13[[#This Row],[PM LO]]),(Table13[[#This Row],[PM Hi]]-Table13[[#This Row],[Lowest lo from open to squeeze]])/(Table13[[#This Row],[PM Hi]]-Table13[[#This Row],[PM LO]])))))</f>
        <v>0.31720430107526915</v>
      </c>
      <c r="AP95" s="18">
        <f>IF(J95&gt;=F95,(J95-K95)/(J95-D95),(IF(H95&lt;=K95,(F95-H95)/(F95-D95),(Table13[[#This Row],[PM Hi]]-Table13[[#This Row],[Lowest lo from open to squeeze]])/(Table13[[#This Row],[PM Hi]]-Table13[[#This Row],[Prior day close]]))))</f>
        <v>0.32596685082872962</v>
      </c>
      <c r="AQ95" s="17">
        <f>390+Table13[[#This Row],[Time until ideal entry point (mins) from open]]</f>
        <v>398</v>
      </c>
      <c r="AR95" s="51">
        <f>(Table13[[#This Row],[Time until ideal entry + 390 (6:30)]]+Table13[[#This Row],[Duration of frontside (mins)]])/1440</f>
        <v>0.2902777777777778</v>
      </c>
    </row>
    <row r="96" spans="1:44" hidden="1" x14ac:dyDescent="0.25">
      <c r="A96" s="24" t="s">
        <v>132</v>
      </c>
      <c r="B96" s="45">
        <v>44172</v>
      </c>
      <c r="C96" s="47" t="s">
        <v>71</v>
      </c>
      <c r="D96" s="12"/>
      <c r="E96" s="13"/>
      <c r="F96" s="12"/>
      <c r="G96" s="12"/>
      <c r="H96" s="12"/>
      <c r="I96" s="12"/>
      <c r="J96" s="12"/>
      <c r="K96" s="12"/>
      <c r="N96" s="13">
        <v>59199252</v>
      </c>
      <c r="O96" s="12">
        <v>474778001</v>
      </c>
      <c r="P96" s="37">
        <v>57</v>
      </c>
      <c r="Q96">
        <v>1.32</v>
      </c>
      <c r="R96" s="37" t="s">
        <v>115</v>
      </c>
      <c r="S96" s="37">
        <v>3799664</v>
      </c>
      <c r="T96" s="37" t="s">
        <v>43</v>
      </c>
      <c r="U96" s="37" t="s">
        <v>43</v>
      </c>
      <c r="V96" s="38"/>
      <c r="W96"/>
      <c r="X96" s="39"/>
      <c r="Y96"/>
      <c r="Z96" s="40">
        <f>Table13[[#This Row],[Time until ideal entry + 390 (6:30)]]/(1440)</f>
        <v>0.27083333333333331</v>
      </c>
      <c r="AA96" s="18" t="e">
        <f t="shared" si="9"/>
        <v>#DIV/0!</v>
      </c>
      <c r="AB96" s="18" t="e">
        <f>IF(Table13[[#This Row],[HOD AFTER PM HI]]&gt;=Table13[[#This Row],[PM Hi]],((Table13[[#This Row],[HOD AFTER PM HI]]-Table13[[#This Row],[Prior day close]])/Table13[[#This Row],[Prior day close]]),Table13[[#This Row],[Prior Close to PM Hi %]])</f>
        <v>#DIV/0!</v>
      </c>
      <c r="AC96" s="42" t="e">
        <f>(Table13[[#This Row],[Price at hi of squeeze]]-Table13[[#This Row],[MKT Open Price]])/Table13[[#This Row],[MKT Open Price]]</f>
        <v>#DIV/0!</v>
      </c>
      <c r="AD96" s="18" t="e">
        <f>(Table13[[#This Row],[Price at hi of squeeze]]-Table13[[#This Row],[PM Hi]])/Table13[[#This Row],[PM Hi]]</f>
        <v>#DIV/0!</v>
      </c>
      <c r="AE96" s="18" t="e">
        <f t="shared" si="8"/>
        <v>#DIV/0!</v>
      </c>
      <c r="AF96" s="20">
        <f>Table13[[#This Row],[PM VOL]]/1000000/Table13[[#This Row],[FLOAT(M)]]</f>
        <v>2.8785333333333329</v>
      </c>
      <c r="AG96" s="23">
        <f>(Table13[[#This Row],[Volume]]/1000000)/Table13[[#This Row],[FLOAT(M)]]</f>
        <v>44.84791818181818</v>
      </c>
      <c r="AI96" s="18" t="e">
        <f>(Table13[[#This Row],[PM Hi]]-Table13[[#This Row],[MKT Open Price]])/(Table13[[#This Row],[PM Hi]])</f>
        <v>#DIV/0!</v>
      </c>
      <c r="AJ96" s="16" t="e">
        <f>IF(Table13[[#This Row],[PM LO]]&gt;Table13[[#This Row],[Prior day close]],(Table13[[#This Row],[PM Hi]]-Table13[[#This Row],[MKT Open Price]])/(Table13[[#This Row],[PM Hi]]-Table13[[#This Row],[Prior day close]]),(Table13[[#This Row],[PM Hi]]-Table13[[#This Row],[MKT Open Price]])/(Table13[[#This Row],[PM Hi]]-Table13[[#This Row],[PM LO]]))</f>
        <v>#DIV/0!</v>
      </c>
      <c r="AK96" s="18" t="e">
        <f>IF(Table13[[#This Row],[Prior day close]]&lt;Table13[[#This Row],[PM LO]],(I96-K96)/(I96-Table13[[#This Row],[Prior day close]]),(I96-K96)/(I96-Table13[[#This Row],[PM LO]]))</f>
        <v>#DIV/0!</v>
      </c>
      <c r="AL96" s="18" t="e">
        <f>Table13[[#This Row],[Spike % on open before drop]]+AM96</f>
        <v>#DIV/0!</v>
      </c>
      <c r="AM96" s="16" t="e">
        <f t="shared" si="10"/>
        <v>#DIV/0!</v>
      </c>
      <c r="AN96" s="18" t="e">
        <f>IF($J96&gt;=$F96,($J96-$K96)/($J96),(IF($H96&lt;=$K96,($F96-$H96)/($F96),(Table13[[#This Row],[PM Hi]]-Table13[[#This Row],[Lowest lo from open to squeeze]])/(Table13[[#This Row],[PM Hi]]))))</f>
        <v>#DIV/0!</v>
      </c>
      <c r="AO96" s="18" t="e">
        <f>IF(Table13[[#This Row],[Prior day close]]&lt;=Table13[[#This Row],[PM LO]],IF($J96&gt;=$F96,($J96-$K96)/($J96-Table13[[#This Row],[Prior day close]]),(IF($H96&lt;=$K96,($F96-$H96)/($F96-Table13[[#This Row],[Prior day close]]),(Table13[[#This Row],[PM Hi]]-Table13[[#This Row],[Lowest lo from open to squeeze]])/(Table13[[#This Row],[PM Hi]]-Table13[[#This Row],[Prior day close]])))),IF($J96&gt;=$F96,($J96-$K96)/($J96-Table13[[#This Row],[PM LO]]),(IF($H96&lt;=$K96,($F96-$H96)/($F96-Table13[[#This Row],[PM LO]]),(Table13[[#This Row],[PM Hi]]-Table13[[#This Row],[Lowest lo from open to squeeze]])/(Table13[[#This Row],[PM Hi]]-Table13[[#This Row],[PM LO]])))))</f>
        <v>#DIV/0!</v>
      </c>
      <c r="AP96" s="18" t="e">
        <f>IF(J96&gt;=F96,(J96-K96)/(J96-D96),(IF(H96&lt;=K96,(F96-H96)/(F96-D96),(Table13[[#This Row],[PM Hi]]-Table13[[#This Row],[Lowest lo from open to squeeze]])/(Table13[[#This Row],[PM Hi]]-Table13[[#This Row],[Prior day close]]))))</f>
        <v>#DIV/0!</v>
      </c>
      <c r="AQ96" s="17">
        <f>390+Table13[[#This Row],[Time until ideal entry point (mins) from open]]</f>
        <v>390</v>
      </c>
      <c r="AR96" s="51">
        <f>(Table13[[#This Row],[Time until ideal entry + 390 (6:30)]]+Table13[[#This Row],[Duration of frontside (mins)]])/1440</f>
        <v>0.27083333333333331</v>
      </c>
    </row>
    <row r="97" spans="1:44" x14ac:dyDescent="0.25">
      <c r="A97" s="24" t="s">
        <v>83</v>
      </c>
      <c r="B97" s="45">
        <v>44173</v>
      </c>
      <c r="C97" s="47" t="s">
        <v>71</v>
      </c>
      <c r="D97" s="12">
        <v>1.44</v>
      </c>
      <c r="E97" s="13">
        <v>1.41</v>
      </c>
      <c r="F97" s="12">
        <v>5.64</v>
      </c>
      <c r="G97" s="12">
        <v>1.41</v>
      </c>
      <c r="H97" s="12">
        <v>5.31</v>
      </c>
      <c r="I97" s="12">
        <v>5.47</v>
      </c>
      <c r="J97" s="12">
        <v>5.91</v>
      </c>
      <c r="K97" s="12">
        <v>5.2</v>
      </c>
      <c r="L97" s="12">
        <v>7.86</v>
      </c>
      <c r="M97" s="12">
        <v>7.86</v>
      </c>
      <c r="N97" s="13">
        <v>267725520</v>
      </c>
      <c r="O97" s="12">
        <v>1829903929</v>
      </c>
      <c r="P97" s="37">
        <v>90</v>
      </c>
      <c r="Q97">
        <v>53.14</v>
      </c>
      <c r="R97" s="37" t="s">
        <v>127</v>
      </c>
      <c r="S97" s="37">
        <v>46152390</v>
      </c>
      <c r="T97" s="37" t="s">
        <v>41</v>
      </c>
      <c r="U97" s="37" t="s">
        <v>43</v>
      </c>
      <c r="V97" s="38">
        <v>3</v>
      </c>
      <c r="W97">
        <v>3</v>
      </c>
      <c r="X97" s="39">
        <v>5.34</v>
      </c>
      <c r="Y97">
        <v>25</v>
      </c>
      <c r="Z97" s="40">
        <f>Table13[[#This Row],[Time until ideal entry + 390 (6:30)]]/(1440)</f>
        <v>0.27291666666666664</v>
      </c>
      <c r="AA97" s="18">
        <f t="shared" si="9"/>
        <v>2.9166666666666661</v>
      </c>
      <c r="AB97" s="18">
        <f>IF(Table13[[#This Row],[HOD AFTER PM HI]]&gt;=Table13[[#This Row],[PM Hi]],((Table13[[#This Row],[HOD AFTER PM HI]]-Table13[[#This Row],[Prior day close]])/Table13[[#This Row],[Prior day close]]),Table13[[#This Row],[Prior Close to PM Hi %]])</f>
        <v>4.458333333333333</v>
      </c>
      <c r="AC97" s="42">
        <f>(Table13[[#This Row],[Price at hi of squeeze]]-Table13[[#This Row],[MKT Open Price]])/Table13[[#This Row],[MKT Open Price]]</f>
        <v>0.43692870201096906</v>
      </c>
      <c r="AD97" s="18">
        <f>(Table13[[#This Row],[Price at hi of squeeze]]-Table13[[#This Row],[PM Hi]])/Table13[[#This Row],[PM Hi]]</f>
        <v>0.39361702127659587</v>
      </c>
      <c r="AE97" s="18">
        <f t="shared" si="8"/>
        <v>0.5115384615384615</v>
      </c>
      <c r="AF97" s="20">
        <f>Table13[[#This Row],[PM VOL]]/1000000/Table13[[#This Row],[FLOAT(M)]]</f>
        <v>0.86850564546480991</v>
      </c>
      <c r="AG97" s="23">
        <f>(Table13[[#This Row],[Volume]]/1000000)/Table13[[#This Row],[FLOAT(M)]]</f>
        <v>5.038116672939406</v>
      </c>
      <c r="AI97" s="18">
        <f>(Table13[[#This Row],[PM Hi]]-Table13[[#This Row],[MKT Open Price]])/(Table13[[#This Row],[PM Hi]])</f>
        <v>3.0141843971631194E-2</v>
      </c>
      <c r="AJ97" s="16">
        <f>IF(Table13[[#This Row],[PM LO]]&gt;Table13[[#This Row],[Prior day close]],(Table13[[#This Row],[PM Hi]]-Table13[[#This Row],[MKT Open Price]])/(Table13[[#This Row],[PM Hi]]-Table13[[#This Row],[Prior day close]]),(Table13[[#This Row],[PM Hi]]-Table13[[#This Row],[MKT Open Price]])/(Table13[[#This Row],[PM Hi]]-Table13[[#This Row],[PM LO]]))</f>
        <v>4.0189125295508263E-2</v>
      </c>
      <c r="AK97" s="18">
        <f>IF(Table13[[#This Row],[Prior day close]]&lt;Table13[[#This Row],[PM LO]],(I97-K97)/(I97-Table13[[#This Row],[Prior day close]]),(I97-K97)/(I97-Table13[[#This Row],[PM LO]]))</f>
        <v>6.6502463054187097E-2</v>
      </c>
      <c r="AL97" s="18">
        <f>Table13[[#This Row],[Spike % on open before drop]]+AM97</f>
        <v>4.9360146252285117E-2</v>
      </c>
      <c r="AM97" s="16">
        <f t="shared" si="10"/>
        <v>4.9360146252285117E-2</v>
      </c>
      <c r="AN97" s="18">
        <f>IF($J97&gt;=$F97,($J97-$K97)/($J97),(IF($H97&lt;=$K97,($F97-$H97)/($F97),(Table13[[#This Row],[PM Hi]]-Table13[[#This Row],[Lowest lo from open to squeeze]])/(Table13[[#This Row],[PM Hi]]))))</f>
        <v>0.12013536379018612</v>
      </c>
      <c r="AO97" s="18">
        <f>IF(Table13[[#This Row],[Prior day close]]&lt;=Table13[[#This Row],[PM LO]],IF($J97&gt;=$F97,($J97-$K97)/($J97-Table13[[#This Row],[Prior day close]]),(IF($H97&lt;=$K97,($F97-$H97)/($F97-Table13[[#This Row],[Prior day close]]),(Table13[[#This Row],[PM Hi]]-Table13[[#This Row],[Lowest lo from open to squeeze]])/(Table13[[#This Row],[PM Hi]]-Table13[[#This Row],[Prior day close]])))),IF($J97&gt;=$F97,($J97-$K97)/($J97-Table13[[#This Row],[PM LO]]),(IF($H97&lt;=$K97,($F97-$H97)/($F97-Table13[[#This Row],[PM LO]]),(Table13[[#This Row],[PM Hi]]-Table13[[#This Row],[Lowest lo from open to squeeze]])/(Table13[[#This Row],[PM Hi]]-Table13[[#This Row],[PM LO]])))))</f>
        <v>0.15777777777777777</v>
      </c>
      <c r="AP97" s="18">
        <f>IF(J97&gt;=F97,(J97-K97)/(J97-D97),(IF(H97&lt;=K97,(F97-H97)/(F97-D97),(Table13[[#This Row],[PM Hi]]-Table13[[#This Row],[Lowest lo from open to squeeze]])/(Table13[[#This Row],[PM Hi]]-Table13[[#This Row],[Prior day close]]))))</f>
        <v>0.15883668903803128</v>
      </c>
      <c r="AQ97" s="17">
        <f>390+Table13[[#This Row],[Time until ideal entry point (mins) from open]]</f>
        <v>393</v>
      </c>
      <c r="AR97" s="51">
        <f>(Table13[[#This Row],[Time until ideal entry + 390 (6:30)]]+Table13[[#This Row],[Duration of frontside (mins)]])/1440</f>
        <v>0.2902777777777778</v>
      </c>
    </row>
    <row r="98" spans="1:44" x14ac:dyDescent="0.25">
      <c r="A98" s="24" t="s">
        <v>135</v>
      </c>
      <c r="B98" s="45">
        <v>44173</v>
      </c>
      <c r="C98" s="47" t="s">
        <v>71</v>
      </c>
      <c r="D98" s="12">
        <v>1.8</v>
      </c>
      <c r="E98" s="13">
        <v>1.78</v>
      </c>
      <c r="F98" s="12">
        <v>2.84</v>
      </c>
      <c r="G98" s="12">
        <v>1.78</v>
      </c>
      <c r="H98" s="12">
        <v>2.33</v>
      </c>
      <c r="I98" s="12">
        <v>2.35</v>
      </c>
      <c r="J98" s="12">
        <v>2.37</v>
      </c>
      <c r="K98" s="12">
        <v>2.21</v>
      </c>
      <c r="L98" s="12">
        <v>4.04</v>
      </c>
      <c r="M98" s="12">
        <v>4.04</v>
      </c>
      <c r="N98" s="13">
        <v>204106920</v>
      </c>
      <c r="O98" s="12">
        <v>600074344</v>
      </c>
      <c r="P98" s="37">
        <v>146.78</v>
      </c>
      <c r="Q98">
        <v>51.47</v>
      </c>
      <c r="R98" s="37" t="s">
        <v>147</v>
      </c>
      <c r="S98" s="37">
        <v>7035998</v>
      </c>
      <c r="T98" s="37" t="s">
        <v>74</v>
      </c>
      <c r="U98" s="37" t="s">
        <v>43</v>
      </c>
      <c r="V98" s="38">
        <v>2</v>
      </c>
      <c r="W98">
        <v>2</v>
      </c>
      <c r="X98" s="39">
        <v>2.27</v>
      </c>
      <c r="Y98">
        <v>141</v>
      </c>
      <c r="Z98" s="40">
        <f>Table13[[#This Row],[Time until ideal entry + 390 (6:30)]]/(1440)</f>
        <v>0.2722222222222222</v>
      </c>
      <c r="AA98" s="18">
        <f t="shared" si="9"/>
        <v>0.57777777777777761</v>
      </c>
      <c r="AB98" s="18">
        <f>IF(Table13[[#This Row],[HOD AFTER PM HI]]&gt;=Table13[[#This Row],[PM Hi]],((Table13[[#This Row],[HOD AFTER PM HI]]-Table13[[#This Row],[Prior day close]])/Table13[[#This Row],[Prior day close]]),Table13[[#This Row],[Prior Close to PM Hi %]])</f>
        <v>1.2444444444444445</v>
      </c>
      <c r="AC98" s="42">
        <f>(Table13[[#This Row],[Price at hi of squeeze]]-Table13[[#This Row],[MKT Open Price]])/Table13[[#This Row],[MKT Open Price]]</f>
        <v>0.71914893617021269</v>
      </c>
      <c r="AD98" s="18">
        <f>(Table13[[#This Row],[Price at hi of squeeze]]-Table13[[#This Row],[PM Hi]])/Table13[[#This Row],[PM Hi]]</f>
        <v>0.42253521126760574</v>
      </c>
      <c r="AE98" s="18">
        <f t="shared" si="8"/>
        <v>0.82805429864253399</v>
      </c>
      <c r="AF98" s="20">
        <f>Table13[[#This Row],[PM VOL]]/1000000/Table13[[#This Row],[FLOAT(M)]]</f>
        <v>0.13670095201088014</v>
      </c>
      <c r="AG98" s="23">
        <f>(Table13[[#This Row],[Volume]]/1000000)/Table13[[#This Row],[FLOAT(M)]]</f>
        <v>3.9655511948707987</v>
      </c>
      <c r="AI98" s="18">
        <f>(Table13[[#This Row],[PM Hi]]-Table13[[#This Row],[MKT Open Price]])/(Table13[[#This Row],[PM Hi]])</f>
        <v>0.17253521126760557</v>
      </c>
      <c r="AJ98" s="16">
        <f>IF(Table13[[#This Row],[PM LO]]&gt;Table13[[#This Row],[Prior day close]],(Table13[[#This Row],[PM Hi]]-Table13[[#This Row],[MKT Open Price]])/(Table13[[#This Row],[PM Hi]]-Table13[[#This Row],[Prior day close]]),(Table13[[#This Row],[PM Hi]]-Table13[[#This Row],[MKT Open Price]])/(Table13[[#This Row],[PM Hi]]-Table13[[#This Row],[PM LO]]))</f>
        <v>0.46226415094339607</v>
      </c>
      <c r="AK98" s="18">
        <f>IF(Table13[[#This Row],[Prior day close]]&lt;Table13[[#This Row],[PM LO]],(I98-K98)/(I98-Table13[[#This Row],[Prior day close]]),(I98-K98)/(I98-Table13[[#This Row],[PM LO]]))</f>
        <v>0.24561403508771948</v>
      </c>
      <c r="AL98" s="18">
        <f>Table13[[#This Row],[Spike % on open before drop]]+AM98</f>
        <v>5.9574468085106434E-2</v>
      </c>
      <c r="AM98" s="16">
        <f t="shared" si="10"/>
        <v>5.9574468085106434E-2</v>
      </c>
      <c r="AN98" s="18">
        <f>IF($J98&gt;=$F98,($J98-$K98)/($J98),(IF($H98&lt;=$K98,($F98-$H98)/($F98),(Table13[[#This Row],[PM Hi]]-Table13[[#This Row],[Lowest lo from open to squeeze]])/(Table13[[#This Row],[PM Hi]]))))</f>
        <v>0.22183098591549294</v>
      </c>
      <c r="AO98" s="18">
        <f>IF(Table13[[#This Row],[Prior day close]]&lt;=Table13[[#This Row],[PM LO]],IF($J98&gt;=$F98,($J98-$K98)/($J98-Table13[[#This Row],[Prior day close]]),(IF($H98&lt;=$K98,($F98-$H98)/($F98-Table13[[#This Row],[Prior day close]]),(Table13[[#This Row],[PM Hi]]-Table13[[#This Row],[Lowest lo from open to squeeze]])/(Table13[[#This Row],[PM Hi]]-Table13[[#This Row],[Prior day close]])))),IF($J98&gt;=$F98,($J98-$K98)/($J98-Table13[[#This Row],[PM LO]]),(IF($H98&lt;=$K98,($F98-$H98)/($F98-Table13[[#This Row],[PM LO]]),(Table13[[#This Row],[PM Hi]]-Table13[[#This Row],[Lowest lo from open to squeeze]])/(Table13[[#This Row],[PM Hi]]-Table13[[#This Row],[PM LO]])))))</f>
        <v>0.59433962264150941</v>
      </c>
      <c r="AP98" s="18">
        <f>IF(J98&gt;=F98,(J98-K98)/(J98-D98),(IF(H98&lt;=K98,(F98-H98)/(F98-D98),(Table13[[#This Row],[PM Hi]]-Table13[[#This Row],[Lowest lo from open to squeeze]])/(Table13[[#This Row],[PM Hi]]-Table13[[#This Row],[Prior day close]]))))</f>
        <v>0.60576923076923073</v>
      </c>
      <c r="AQ98" s="17">
        <f>390+Table13[[#This Row],[Time until ideal entry point (mins) from open]]</f>
        <v>392</v>
      </c>
      <c r="AR98" s="51">
        <f>(Table13[[#This Row],[Time until ideal entry + 390 (6:30)]]+Table13[[#This Row],[Duration of frontside (mins)]])/1440</f>
        <v>0.37013888888888891</v>
      </c>
    </row>
    <row r="99" spans="1:44" hidden="1" x14ac:dyDescent="0.25">
      <c r="A99" s="24" t="s">
        <v>136</v>
      </c>
      <c r="B99" s="45">
        <v>44174</v>
      </c>
      <c r="C99" s="47" t="s">
        <v>71</v>
      </c>
      <c r="D99" s="12">
        <v>1.06</v>
      </c>
      <c r="E99" s="13">
        <v>1.0900000000000001</v>
      </c>
      <c r="F99" s="12">
        <v>4.57</v>
      </c>
      <c r="G99" s="12">
        <v>1.08</v>
      </c>
      <c r="H99" s="12">
        <v>3.27</v>
      </c>
      <c r="I99" s="12">
        <v>3.87</v>
      </c>
      <c r="J99" s="12">
        <v>4.4000000000000004</v>
      </c>
      <c r="K99" s="12">
        <v>3.86</v>
      </c>
      <c r="L99" s="12">
        <v>5.85</v>
      </c>
      <c r="M99" s="12">
        <v>5.42</v>
      </c>
      <c r="N99" s="13">
        <v>183579580</v>
      </c>
      <c r="O99" s="12">
        <v>524119700</v>
      </c>
      <c r="P99" s="37">
        <v>10</v>
      </c>
      <c r="Q99">
        <v>2</v>
      </c>
      <c r="R99" s="37" t="s">
        <v>148</v>
      </c>
      <c r="S99" s="37">
        <v>15045002</v>
      </c>
      <c r="T99" s="37" t="s">
        <v>41</v>
      </c>
      <c r="U99" s="37" t="s">
        <v>43</v>
      </c>
      <c r="V99" s="38">
        <v>1</v>
      </c>
      <c r="W99">
        <v>2</v>
      </c>
      <c r="X99" s="39">
        <v>4</v>
      </c>
      <c r="Y99">
        <v>22</v>
      </c>
      <c r="Z99" s="40">
        <f>Table13[[#This Row],[Time until ideal entry + 390 (6:30)]]/(1440)</f>
        <v>0.2722222222222222</v>
      </c>
      <c r="AA99" s="18">
        <f t="shared" si="9"/>
        <v>3.3113207547169812</v>
      </c>
      <c r="AB99" s="18">
        <f>IF(Table13[[#This Row],[HOD AFTER PM HI]]&gt;=Table13[[#This Row],[PM Hi]],((Table13[[#This Row],[HOD AFTER PM HI]]-Table13[[#This Row],[Prior day close]])/Table13[[#This Row],[Prior day close]]),Table13[[#This Row],[Prior Close to PM Hi %]])</f>
        <v>4.5188679245283012</v>
      </c>
      <c r="AC99" s="42">
        <f>(Table13[[#This Row],[Price at hi of squeeze]]-Table13[[#This Row],[MKT Open Price]])/Table13[[#This Row],[MKT Open Price]]</f>
        <v>0.40051679586563299</v>
      </c>
      <c r="AD99" s="18">
        <f>(Table13[[#This Row],[Price at hi of squeeze]]-Table13[[#This Row],[PM Hi]])/Table13[[#This Row],[PM Hi]]</f>
        <v>0.18599562363238503</v>
      </c>
      <c r="AE99" s="18">
        <f t="shared" si="8"/>
        <v>0.4041450777202073</v>
      </c>
      <c r="AF99" s="20">
        <f>Table13[[#This Row],[PM VOL]]/1000000/Table13[[#This Row],[FLOAT(M)]]</f>
        <v>7.5225010000000001</v>
      </c>
      <c r="AG99" s="23">
        <f>(Table13[[#This Row],[Volume]]/1000000)/Table13[[#This Row],[FLOAT(M)]]</f>
        <v>91.789789999999996</v>
      </c>
      <c r="AI99" s="18">
        <f>(Table13[[#This Row],[PM Hi]]-Table13[[#This Row],[MKT Open Price]])/(Table13[[#This Row],[PM Hi]])</f>
        <v>0.15317286652078776</v>
      </c>
      <c r="AJ99" s="16">
        <f>IF(Table13[[#This Row],[PM LO]]&gt;Table13[[#This Row],[Prior day close]],(Table13[[#This Row],[PM Hi]]-Table13[[#This Row],[MKT Open Price]])/(Table13[[#This Row],[PM Hi]]-Table13[[#This Row],[Prior day close]]),(Table13[[#This Row],[PM Hi]]-Table13[[#This Row],[MKT Open Price]])/(Table13[[#This Row],[PM Hi]]-Table13[[#This Row],[PM LO]]))</f>
        <v>0.19943019943019946</v>
      </c>
      <c r="AK99" s="18">
        <f>IF(Table13[[#This Row],[Prior day close]]&lt;Table13[[#This Row],[PM LO]],(I99-K99)/(I99-Table13[[#This Row],[Prior day close]]),(I99-K99)/(I99-Table13[[#This Row],[PM LO]]))</f>
        <v>3.5587188612100466E-3</v>
      </c>
      <c r="AL99" s="18">
        <f>Table13[[#This Row],[Spike % on open before drop]]+AM99</f>
        <v>2.5839793281654342E-3</v>
      </c>
      <c r="AM99" s="16">
        <f t="shared" si="10"/>
        <v>2.5839793281654342E-3</v>
      </c>
      <c r="AN99" s="18">
        <f>IF($J99&gt;=$F99,($J99-$K99)/($J99),(IF($H99&lt;=$K99,($F99-$H99)/($F99),(Table13[[#This Row],[PM Hi]]-Table13[[#This Row],[Lowest lo from open to squeeze]])/(Table13[[#This Row],[PM Hi]]))))</f>
        <v>0.28446389496717728</v>
      </c>
      <c r="AO99" s="18">
        <f>IF(Table13[[#This Row],[Prior day close]]&lt;=Table13[[#This Row],[PM LO]],IF($J99&gt;=$F99,($J99-$K99)/($J99-Table13[[#This Row],[Prior day close]]),(IF($H99&lt;=$K99,($F99-$H99)/($F99-Table13[[#This Row],[Prior day close]]),(Table13[[#This Row],[PM Hi]]-Table13[[#This Row],[Lowest lo from open to squeeze]])/(Table13[[#This Row],[PM Hi]]-Table13[[#This Row],[Prior day close]])))),IF($J99&gt;=$F99,($J99-$K99)/($J99-Table13[[#This Row],[PM LO]]),(IF($H99&lt;=$K99,($F99-$H99)/($F99-Table13[[#This Row],[PM LO]]),(Table13[[#This Row],[PM Hi]]-Table13[[#This Row],[Lowest lo from open to squeeze]])/(Table13[[#This Row],[PM Hi]]-Table13[[#This Row],[PM LO]])))))</f>
        <v>0.37037037037037041</v>
      </c>
      <c r="AP99" s="18">
        <f>IF(J99&gt;=F99,(J99-K99)/(J99-D99),(IF(H99&lt;=K99,(F99-H99)/(F99-D99),(Table13[[#This Row],[PM Hi]]-Table13[[#This Row],[Lowest lo from open to squeeze]])/(Table13[[#This Row],[PM Hi]]-Table13[[#This Row],[Prior day close]]))))</f>
        <v>0.37037037037037041</v>
      </c>
      <c r="AQ99" s="17">
        <f>390+Table13[[#This Row],[Time until ideal entry point (mins) from open]]</f>
        <v>392</v>
      </c>
      <c r="AR99" s="51">
        <f>(Table13[[#This Row],[Time until ideal entry + 390 (6:30)]]+Table13[[#This Row],[Duration of frontside (mins)]])/1440</f>
        <v>0.28749999999999998</v>
      </c>
    </row>
    <row r="100" spans="1:44" x14ac:dyDescent="0.25">
      <c r="A100" s="24" t="s">
        <v>137</v>
      </c>
      <c r="B100" s="11">
        <v>44193</v>
      </c>
      <c r="C100" s="47" t="s">
        <v>71</v>
      </c>
      <c r="D100" s="12">
        <v>4</v>
      </c>
      <c r="E100" s="13">
        <v>3.8</v>
      </c>
      <c r="F100" s="12">
        <v>7.89</v>
      </c>
      <c r="G100" s="12">
        <v>3.27</v>
      </c>
      <c r="H100" s="12">
        <v>5.62</v>
      </c>
      <c r="I100" s="12">
        <v>6</v>
      </c>
      <c r="J100" s="12">
        <v>6.37</v>
      </c>
      <c r="K100" s="12">
        <v>5.62</v>
      </c>
      <c r="L100" s="12">
        <v>38</v>
      </c>
      <c r="M100" s="12">
        <v>38</v>
      </c>
      <c r="N100" s="13">
        <v>46701175</v>
      </c>
      <c r="O100" s="12">
        <v>493631419</v>
      </c>
      <c r="P100" s="37">
        <v>21</v>
      </c>
      <c r="Q100">
        <v>5</v>
      </c>
      <c r="R100" s="37" t="s">
        <v>123</v>
      </c>
      <c r="S100" s="37">
        <v>3964156</v>
      </c>
      <c r="T100" s="37" t="s">
        <v>41</v>
      </c>
      <c r="U100" s="37" t="s">
        <v>43</v>
      </c>
      <c r="V100" s="38">
        <v>2</v>
      </c>
      <c r="W100">
        <v>2</v>
      </c>
      <c r="X100" s="39">
        <v>5.71</v>
      </c>
      <c r="Y100">
        <v>240</v>
      </c>
      <c r="Z100" s="40">
        <f>Table13[[#This Row],[Time until ideal entry + 390 (6:30)]]/(1440)</f>
        <v>0.2722222222222222</v>
      </c>
      <c r="AA100" s="18">
        <f t="shared" si="9"/>
        <v>0.97249999999999992</v>
      </c>
      <c r="AB100" s="18">
        <f>IF(Table13[[#This Row],[HOD AFTER PM HI]]&gt;=Table13[[#This Row],[PM Hi]],((Table13[[#This Row],[HOD AFTER PM HI]]-Table13[[#This Row],[Prior day close]])/Table13[[#This Row],[Prior day close]]),Table13[[#This Row],[Prior Close to PM Hi %]])</f>
        <v>8.5</v>
      </c>
      <c r="AC100" s="42">
        <f>(Table13[[#This Row],[Price at hi of squeeze]]-Table13[[#This Row],[MKT Open Price]])/Table13[[#This Row],[MKT Open Price]]</f>
        <v>5.333333333333333</v>
      </c>
      <c r="AD100" s="18">
        <f>(Table13[[#This Row],[Price at hi of squeeze]]-Table13[[#This Row],[PM Hi]])/Table13[[#This Row],[PM Hi]]</f>
        <v>3.8162230671736377</v>
      </c>
      <c r="AE100" s="18">
        <f t="shared" si="8"/>
        <v>5.7615658362989324</v>
      </c>
      <c r="AF100" s="20">
        <f>Table13[[#This Row],[PM VOL]]/1000000/Table13[[#This Row],[FLOAT(M)]]</f>
        <v>0.79283119999999996</v>
      </c>
      <c r="AG100" s="23">
        <f>(Table13[[#This Row],[Volume]]/1000000)/Table13[[#This Row],[FLOAT(M)]]</f>
        <v>9.3402349999999998</v>
      </c>
      <c r="AI100" s="18">
        <f>(Table13[[#This Row],[PM Hi]]-Table13[[#This Row],[MKT Open Price]])/(Table13[[#This Row],[PM Hi]])</f>
        <v>0.23954372623574141</v>
      </c>
      <c r="AJ100" s="16">
        <f>IF(Table13[[#This Row],[PM LO]]&gt;Table13[[#This Row],[Prior day close]],(Table13[[#This Row],[PM Hi]]-Table13[[#This Row],[MKT Open Price]])/(Table13[[#This Row],[PM Hi]]-Table13[[#This Row],[Prior day close]]),(Table13[[#This Row],[PM Hi]]-Table13[[#This Row],[MKT Open Price]])/(Table13[[#This Row],[PM Hi]]-Table13[[#This Row],[PM LO]]))</f>
        <v>0.40909090909090912</v>
      </c>
      <c r="AK100" s="18">
        <f>IF(Table13[[#This Row],[Prior day close]]&lt;Table13[[#This Row],[PM LO]],(I100-K100)/(I100-Table13[[#This Row],[Prior day close]]),(I100-K100)/(I100-Table13[[#This Row],[PM LO]]))</f>
        <v>0.13919413919413914</v>
      </c>
      <c r="AL100" s="18">
        <f>Table13[[#This Row],[Spike % on open before drop]]+AM100</f>
        <v>6.3333333333333311E-2</v>
      </c>
      <c r="AM100" s="16">
        <f t="shared" si="10"/>
        <v>6.3333333333333311E-2</v>
      </c>
      <c r="AN100" s="18">
        <f>IF($J100&gt;=$F100,($J100-$K100)/($J100),(IF($H100&lt;=$K100,($F100-$H100)/($F100),(Table13[[#This Row],[PM Hi]]-Table13[[#This Row],[Lowest lo from open to squeeze]])/(Table13[[#This Row],[PM Hi]]))))</f>
        <v>0.2877059569074778</v>
      </c>
      <c r="AO100" s="18">
        <f>IF(Table13[[#This Row],[Prior day close]]&lt;=Table13[[#This Row],[PM LO]],IF($J100&gt;=$F100,($J100-$K100)/($J100-Table13[[#This Row],[Prior day close]]),(IF($H100&lt;=$K100,($F100-$H100)/($F100-Table13[[#This Row],[Prior day close]]),(Table13[[#This Row],[PM Hi]]-Table13[[#This Row],[Lowest lo from open to squeeze]])/(Table13[[#This Row],[PM Hi]]-Table13[[#This Row],[Prior day close]])))),IF($J100&gt;=$F100,($J100-$K100)/($J100-Table13[[#This Row],[PM LO]]),(IF($H100&lt;=$K100,($F100-$H100)/($F100-Table13[[#This Row],[PM LO]]),(Table13[[#This Row],[PM Hi]]-Table13[[#This Row],[Lowest lo from open to squeeze]])/(Table13[[#This Row],[PM Hi]]-Table13[[#This Row],[PM LO]])))))</f>
        <v>0.49134199134199136</v>
      </c>
      <c r="AP100" s="18">
        <f>IF(J100&gt;=F100,(J100-K100)/(J100-D100),(IF(H100&lt;=K100,(F100-H100)/(F100-D100),(Table13[[#This Row],[PM Hi]]-Table13[[#This Row],[Lowest lo from open to squeeze]])/(Table13[[#This Row],[PM Hi]]-Table13[[#This Row],[Prior day close]]))))</f>
        <v>0.58354755784061696</v>
      </c>
      <c r="AQ100" s="17">
        <f>390+Table13[[#This Row],[Time until ideal entry point (mins) from open]]</f>
        <v>392</v>
      </c>
      <c r="AR100" s="51">
        <f>(Table13[[#This Row],[Time until ideal entry + 390 (6:30)]]+Table13[[#This Row],[Duration of frontside (mins)]])/1440</f>
        <v>0.43888888888888888</v>
      </c>
    </row>
    <row r="101" spans="1:44" x14ac:dyDescent="0.25">
      <c r="A101" s="24" t="s">
        <v>75</v>
      </c>
      <c r="B101" s="11">
        <v>44194</v>
      </c>
      <c r="C101" s="47" t="s">
        <v>71</v>
      </c>
      <c r="D101" s="12">
        <v>1.07</v>
      </c>
      <c r="E101" s="13">
        <v>1.1499999999999999</v>
      </c>
      <c r="F101" s="12">
        <v>2.78</v>
      </c>
      <c r="G101" s="12">
        <v>1.1499999999999999</v>
      </c>
      <c r="H101" s="12">
        <v>1.55</v>
      </c>
      <c r="I101" s="12">
        <v>2.14</v>
      </c>
      <c r="J101" s="12">
        <v>2.2999999999999998</v>
      </c>
      <c r="K101" s="12">
        <v>2.12</v>
      </c>
      <c r="L101" s="12">
        <v>2.84</v>
      </c>
      <c r="M101" s="12">
        <v>2.74</v>
      </c>
      <c r="N101" s="13">
        <v>231331800</v>
      </c>
      <c r="O101" s="12">
        <v>447627033</v>
      </c>
      <c r="P101" s="37">
        <v>25.15</v>
      </c>
      <c r="Q101">
        <v>10.56</v>
      </c>
      <c r="R101" s="37" t="s">
        <v>127</v>
      </c>
      <c r="S101" s="37">
        <v>26680956</v>
      </c>
      <c r="T101" s="37" t="s">
        <v>151</v>
      </c>
      <c r="U101" s="37" t="s">
        <v>43</v>
      </c>
      <c r="V101" s="38">
        <v>1</v>
      </c>
      <c r="W101">
        <v>6</v>
      </c>
      <c r="X101" s="39">
        <v>2.2200000000000002</v>
      </c>
      <c r="Y101">
        <v>14</v>
      </c>
      <c r="Z101" s="40">
        <f>Table13[[#This Row],[Time until ideal entry + 390 (6:30)]]/(1440)</f>
        <v>0.27500000000000002</v>
      </c>
      <c r="AA101" s="18">
        <f t="shared" si="9"/>
        <v>1.5981308411214949</v>
      </c>
      <c r="AB101" s="18">
        <f>IF(Table13[[#This Row],[HOD AFTER PM HI]]&gt;=Table13[[#This Row],[PM Hi]],((Table13[[#This Row],[HOD AFTER PM HI]]-Table13[[#This Row],[Prior day close]])/Table13[[#This Row],[Prior day close]]),Table13[[#This Row],[Prior Close to PM Hi %]])</f>
        <v>1.6542056074766351</v>
      </c>
      <c r="AC101" s="42">
        <f>(Table13[[#This Row],[Price at hi of squeeze]]-Table13[[#This Row],[MKT Open Price]])/Table13[[#This Row],[MKT Open Price]]</f>
        <v>0.28037383177570097</v>
      </c>
      <c r="AD101" s="18">
        <f>(Table13[[#This Row],[Price at hi of squeeze]]-Table13[[#This Row],[PM Hi]])/Table13[[#This Row],[PM Hi]]</f>
        <v>-1.4388489208632947E-2</v>
      </c>
      <c r="AE101" s="18" t="e">
        <f>(#REF!-K101)/K101</f>
        <v>#REF!</v>
      </c>
      <c r="AF101" s="20">
        <f>Table13[[#This Row],[PM VOL]]/1000000/Table13[[#This Row],[FLOAT(M)]]</f>
        <v>2.5266056818181815</v>
      </c>
      <c r="AG101" s="23">
        <f>(Table13[[#This Row],[Volume]]/1000000)/Table13[[#This Row],[FLOAT(M)]]</f>
        <v>21.906420454545451</v>
      </c>
      <c r="AI101" s="18">
        <f>(Table13[[#This Row],[PM Hi]]-Table13[[#This Row],[MKT Open Price]])/(Table13[[#This Row],[PM Hi]])</f>
        <v>0.2302158273381294</v>
      </c>
      <c r="AJ101" s="16">
        <f>IF(Table13[[#This Row],[PM LO]]&gt;Table13[[#This Row],[Prior day close]],(Table13[[#This Row],[PM Hi]]-Table13[[#This Row],[MKT Open Price]])/(Table13[[#This Row],[PM Hi]]-Table13[[#This Row],[Prior day close]]),(Table13[[#This Row],[PM Hi]]-Table13[[#This Row],[MKT Open Price]])/(Table13[[#This Row],[PM Hi]]-Table13[[#This Row],[PM LO]]))</f>
        <v>0.37426900584795308</v>
      </c>
      <c r="AK101" s="18">
        <f>IF(Table13[[#This Row],[Prior day close]]&lt;Table13[[#This Row],[PM LO]],(I101-K101)/(I101-Table13[[#This Row],[Prior day close]]),(I101-K101)/(I101-Table13[[#This Row],[PM LO]]))</f>
        <v>1.8691588785046745E-2</v>
      </c>
      <c r="AL101" s="18">
        <f>Table13[[#This Row],[Spike % on open before drop]]+AM101</f>
        <v>9.3457943925233725E-3</v>
      </c>
      <c r="AM101" s="16">
        <f t="shared" si="10"/>
        <v>9.3457943925233725E-3</v>
      </c>
      <c r="AN101" s="18">
        <f>IF($J101&gt;=$F101,($J101-$K101)/($J101),(IF($H101&lt;=$K101,($F101-$H101)/($F101),(Table13[[#This Row],[PM Hi]]-Table13[[#This Row],[Lowest lo from open to squeeze]])/(Table13[[#This Row],[PM Hi]]))))</f>
        <v>0.4424460431654676</v>
      </c>
      <c r="AO101" s="18">
        <f>IF(Table13[[#This Row],[Prior day close]]&lt;=Table13[[#This Row],[PM LO]],IF($J101&gt;=$F101,($J101-$K101)/($J101-Table13[[#This Row],[Prior day close]]),(IF($H101&lt;=$K101,($F101-$H101)/($F101-Table13[[#This Row],[Prior day close]]),(Table13[[#This Row],[PM Hi]]-Table13[[#This Row],[Lowest lo from open to squeeze]])/(Table13[[#This Row],[PM Hi]]-Table13[[#This Row],[Prior day close]])))),IF($J101&gt;=$F101,($J101-$K101)/($J101-Table13[[#This Row],[PM LO]]),(IF($H101&lt;=$K101,($F101-$H101)/($F101-Table13[[#This Row],[PM LO]]),(Table13[[#This Row],[PM Hi]]-Table13[[#This Row],[Lowest lo from open to squeeze]])/(Table13[[#This Row],[PM Hi]]-Table13[[#This Row],[PM LO]])))))</f>
        <v>0.7192982456140351</v>
      </c>
      <c r="AP101" s="18">
        <f>IF(J101&gt;=F101,(J101-K101)/(J101-D101),(IF(H101&lt;=K101,(F101-H101)/(F101-D101),(Table13[[#This Row],[PM Hi]]-Table13[[#This Row],[Lowest lo from open to squeeze]])/(Table13[[#This Row],[PM Hi]]-Table13[[#This Row],[Prior day close]]))))</f>
        <v>0.7192982456140351</v>
      </c>
      <c r="AQ101" s="17">
        <f>390+Table13[[#This Row],[Time until ideal entry point (mins) from open]]</f>
        <v>396</v>
      </c>
      <c r="AR101" s="51">
        <f>(Table13[[#This Row],[Time until ideal entry + 390 (6:30)]]+Table13[[#This Row],[Duration of frontside (mins)]])/1440</f>
        <v>0.28472222222222221</v>
      </c>
    </row>
    <row r="102" spans="1:44" x14ac:dyDescent="0.25">
      <c r="A102" s="24" t="s">
        <v>138</v>
      </c>
      <c r="B102" s="11">
        <v>44195</v>
      </c>
      <c r="C102" s="47" t="s">
        <v>71</v>
      </c>
      <c r="D102" s="12">
        <v>1.36</v>
      </c>
      <c r="E102" s="13">
        <v>1.4</v>
      </c>
      <c r="F102" s="12">
        <v>2.38</v>
      </c>
      <c r="G102" s="12">
        <v>1.37</v>
      </c>
      <c r="H102" s="12">
        <v>1.37</v>
      </c>
      <c r="I102" s="12">
        <v>1.92</v>
      </c>
      <c r="J102" s="12">
        <v>2.27</v>
      </c>
      <c r="K102" s="12">
        <v>1.84</v>
      </c>
      <c r="L102" s="12">
        <v>5.56</v>
      </c>
      <c r="M102" s="12">
        <v>5.56</v>
      </c>
      <c r="N102" s="13">
        <v>119470640</v>
      </c>
      <c r="O102" s="12">
        <v>348854268</v>
      </c>
      <c r="P102" s="37">
        <v>18.3</v>
      </c>
      <c r="Q102">
        <v>5.74</v>
      </c>
      <c r="R102" s="37" t="s">
        <v>115</v>
      </c>
      <c r="S102" s="37">
        <v>8188511</v>
      </c>
      <c r="T102" s="37" t="s">
        <v>41</v>
      </c>
      <c r="U102" s="37" t="s">
        <v>43</v>
      </c>
      <c r="V102" s="38">
        <v>14</v>
      </c>
      <c r="W102">
        <v>14</v>
      </c>
      <c r="X102" s="39">
        <v>1.88</v>
      </c>
      <c r="Y102">
        <v>38</v>
      </c>
      <c r="Z102" s="40">
        <f>Table13[[#This Row],[Time until ideal entry + 390 (6:30)]]/(1440)</f>
        <v>0.28055555555555556</v>
      </c>
      <c r="AA102" s="18">
        <f t="shared" si="9"/>
        <v>0.74999999999999978</v>
      </c>
      <c r="AB102" s="18">
        <f>IF(Table13[[#This Row],[HOD AFTER PM HI]]&gt;=Table13[[#This Row],[PM Hi]],((Table13[[#This Row],[HOD AFTER PM HI]]-Table13[[#This Row],[Prior day close]])/Table13[[#This Row],[Prior day close]]),Table13[[#This Row],[Prior Close to PM Hi %]])</f>
        <v>3.0882352941176463</v>
      </c>
      <c r="AC102" s="42">
        <f>(Table13[[#This Row],[Price at hi of squeeze]]-Table13[[#This Row],[MKT Open Price]])/Table13[[#This Row],[MKT Open Price]]</f>
        <v>1.8958333333333333</v>
      </c>
      <c r="AD102" s="18">
        <f>(Table13[[#This Row],[Price at hi of squeeze]]-Table13[[#This Row],[PM Hi]])/Table13[[#This Row],[PM Hi]]</f>
        <v>1.3361344537815125</v>
      </c>
      <c r="AE102" s="18">
        <f>(M102-K102)/K102</f>
        <v>2.0217391304347823</v>
      </c>
      <c r="AF102" s="20">
        <f>Table13[[#This Row],[PM VOL]]/1000000/Table13[[#This Row],[FLOAT(M)]]</f>
        <v>1.4265698606271777</v>
      </c>
      <c r="AG102" s="23">
        <f>(Table13[[#This Row],[Volume]]/1000000)/Table13[[#This Row],[FLOAT(M)]]</f>
        <v>20.813700348432054</v>
      </c>
      <c r="AI102" s="18">
        <f>(Table13[[#This Row],[PM Hi]]-Table13[[#This Row],[MKT Open Price]])/(Table13[[#This Row],[PM Hi]])</f>
        <v>0.19327731092436976</v>
      </c>
      <c r="AJ102" s="16">
        <f>IF(Table13[[#This Row],[PM LO]]&gt;Table13[[#This Row],[Prior day close]],(Table13[[#This Row],[PM Hi]]-Table13[[#This Row],[MKT Open Price]])/(Table13[[#This Row],[PM Hi]]-Table13[[#This Row],[Prior day close]]),(Table13[[#This Row],[PM Hi]]-Table13[[#This Row],[MKT Open Price]])/(Table13[[#This Row],[PM Hi]]-Table13[[#This Row],[PM LO]]))</f>
        <v>0.45098039215686281</v>
      </c>
      <c r="AK102" s="18">
        <f>IF(Table13[[#This Row],[Prior day close]]&lt;Table13[[#This Row],[PM LO]],(I102-K102)/(I102-Table13[[#This Row],[Prior day close]]),(I102-K102)/(I102-Table13[[#This Row],[PM LO]]))</f>
        <v>0.14285714285714263</v>
      </c>
      <c r="AL102" s="18">
        <f>Table13[[#This Row],[Spike % on open before drop]]+AM102</f>
        <v>4.1666666666666588E-2</v>
      </c>
      <c r="AM102" s="16">
        <f t="shared" si="10"/>
        <v>4.1666666666666588E-2</v>
      </c>
      <c r="AN102" s="18">
        <f>IF($J102&gt;=$F102,($J102-$K102)/($J102),(IF($H102&lt;=$K102,($F102-$H102)/($F102),(Table13[[#This Row],[PM Hi]]-Table13[[#This Row],[Lowest lo from open to squeeze]])/(Table13[[#This Row],[PM Hi]]))))</f>
        <v>0.4243697478991596</v>
      </c>
      <c r="AO102" s="18">
        <f>IF(Table13[[#This Row],[Prior day close]]&lt;=Table13[[#This Row],[PM LO]],IF($J102&gt;=$F102,($J102-$K102)/($J102-Table13[[#This Row],[Prior day close]]),(IF($H102&lt;=$K102,($F102-$H102)/($F102-Table13[[#This Row],[Prior day close]]),(Table13[[#This Row],[PM Hi]]-Table13[[#This Row],[Lowest lo from open to squeeze]])/(Table13[[#This Row],[PM Hi]]-Table13[[#This Row],[Prior day close]])))),IF($J102&gt;=$F102,($J102-$K102)/($J102-Table13[[#This Row],[PM LO]]),(IF($H102&lt;=$K102,($F102-$H102)/($F102-Table13[[#This Row],[PM LO]]),(Table13[[#This Row],[PM Hi]]-Table13[[#This Row],[Lowest lo from open to squeeze]])/(Table13[[#This Row],[PM Hi]]-Table13[[#This Row],[PM LO]])))))</f>
        <v>0.99019607843137258</v>
      </c>
      <c r="AP102" s="18">
        <f>IF(J102&gt;=F102,(J102-K102)/(J102-D102),(IF(H102&lt;=K102,(F102-H102)/(F102-D102),(Table13[[#This Row],[PM Hi]]-Table13[[#This Row],[Lowest lo from open to squeeze]])/(Table13[[#This Row],[PM Hi]]-Table13[[#This Row],[Prior day close]]))))</f>
        <v>0.99019607843137258</v>
      </c>
      <c r="AQ102" s="17">
        <f>390+Table13[[#This Row],[Time until ideal entry point (mins) from open]]</f>
        <v>404</v>
      </c>
      <c r="AR102" s="51">
        <f>(Table13[[#This Row],[Time until ideal entry + 390 (6:30)]]+Table13[[#This Row],[Duration of frontside (mins)]])/1440</f>
        <v>0.30694444444444446</v>
      </c>
    </row>
    <row r="103" spans="1:44" x14ac:dyDescent="0.25">
      <c r="A103" s="24" t="s">
        <v>139</v>
      </c>
      <c r="B103" s="11">
        <v>44200</v>
      </c>
      <c r="C103" s="47" t="s">
        <v>71</v>
      </c>
      <c r="D103" s="12">
        <v>2.16</v>
      </c>
      <c r="E103" s="13">
        <v>2.1</v>
      </c>
      <c r="F103" s="12">
        <v>3.88</v>
      </c>
      <c r="G103" s="12">
        <v>2.06</v>
      </c>
      <c r="H103" s="12">
        <v>2.66</v>
      </c>
      <c r="I103" s="12">
        <v>2.9</v>
      </c>
      <c r="J103" s="12">
        <v>2.9</v>
      </c>
      <c r="K103" s="12">
        <v>2.87</v>
      </c>
      <c r="L103" s="12">
        <v>3.85</v>
      </c>
      <c r="M103" s="12">
        <v>3.74</v>
      </c>
      <c r="N103" s="13">
        <v>37742608</v>
      </c>
      <c r="O103" s="12">
        <v>90204833</v>
      </c>
      <c r="P103" s="37">
        <v>20.7</v>
      </c>
      <c r="Q103">
        <v>1.93</v>
      </c>
      <c r="R103" s="37" t="s">
        <v>115</v>
      </c>
      <c r="S103" s="37">
        <v>3195364</v>
      </c>
      <c r="T103" s="37" t="s">
        <v>41</v>
      </c>
      <c r="U103" s="37" t="s">
        <v>43</v>
      </c>
      <c r="V103" s="38">
        <v>1</v>
      </c>
      <c r="W103">
        <v>3</v>
      </c>
      <c r="X103" s="39">
        <v>3.06</v>
      </c>
      <c r="Y103">
        <v>10</v>
      </c>
      <c r="Z103" s="40">
        <f>Table13[[#This Row],[Time until ideal entry + 390 (6:30)]]/(1440)</f>
        <v>0.27291666666666664</v>
      </c>
      <c r="AA103" s="18">
        <f t="shared" si="9"/>
        <v>0.79629629629629617</v>
      </c>
      <c r="AB103" s="18">
        <f>IF(Table13[[#This Row],[HOD AFTER PM HI]]&gt;=Table13[[#This Row],[PM Hi]],((Table13[[#This Row],[HOD AFTER PM HI]]-Table13[[#This Row],[Prior day close]])/Table13[[#This Row],[Prior day close]]),Table13[[#This Row],[Prior Close to PM Hi %]])</f>
        <v>0.79629629629629617</v>
      </c>
      <c r="AC103" s="42">
        <f>(Table13[[#This Row],[Price at hi of squeeze]]-Table13[[#This Row],[MKT Open Price]])/Table13[[#This Row],[MKT Open Price]]</f>
        <v>0.28965517241379324</v>
      </c>
      <c r="AD103" s="18">
        <f>(Table13[[#This Row],[Price at hi of squeeze]]-Table13[[#This Row],[PM Hi]])/Table13[[#This Row],[PM Hi]]</f>
        <v>-3.6082474226804044E-2</v>
      </c>
      <c r="AE103" s="18"/>
      <c r="AF103" s="20">
        <f>Table13[[#This Row],[PM VOL]]/1000000/Table13[[#This Row],[FLOAT(M)]]</f>
        <v>1.6556290155440416</v>
      </c>
      <c r="AG103" s="23">
        <f>(Table13[[#This Row],[Volume]]/1000000)/Table13[[#This Row],[FLOAT(M)]]</f>
        <v>19.555755440414508</v>
      </c>
      <c r="AI103" s="18">
        <f>(Table13[[#This Row],[PM Hi]]-Table13[[#This Row],[MKT Open Price]])/(Table13[[#This Row],[PM Hi]])</f>
        <v>0.25257731958762886</v>
      </c>
      <c r="AJ103" s="16">
        <f>IF(Table13[[#This Row],[PM LO]]&gt;Table13[[#This Row],[Prior day close]],(Table13[[#This Row],[PM Hi]]-Table13[[#This Row],[MKT Open Price]])/(Table13[[#This Row],[PM Hi]]-Table13[[#This Row],[Prior day close]]),(Table13[[#This Row],[PM Hi]]-Table13[[#This Row],[MKT Open Price]])/(Table13[[#This Row],[PM Hi]]-Table13[[#This Row],[PM LO]]))</f>
        <v>0.53846153846153855</v>
      </c>
      <c r="AK103" s="18">
        <f>IF(Table13[[#This Row],[Prior day close]]&lt;Table13[[#This Row],[PM LO]],(I103-K103)/(I103-Table13[[#This Row],[Prior day close]]),(I103-K103)/(I103-Table13[[#This Row],[PM LO]]))</f>
        <v>3.571428571428549E-2</v>
      </c>
      <c r="AL103" s="18">
        <f>Table13[[#This Row],[Spike % on open before drop]]+AM103</f>
        <v>1.0344827586206829E-2</v>
      </c>
      <c r="AM103" s="16">
        <f t="shared" si="10"/>
        <v>1.0344827586206829E-2</v>
      </c>
      <c r="AN103" s="16"/>
      <c r="AO103" s="18">
        <f>IF(Table13[[#This Row],[Prior day close]]&lt;=Table13[[#This Row],[PM LO]],IF($J103&gt;=$F103,($J103-$K103)/($J103-Table13[[#This Row],[Prior day close]]),(IF($H103&lt;=$K103,($F103-$H103)/($F103-Table13[[#This Row],[Prior day close]]),(Table13[[#This Row],[PM Hi]]-Table13[[#This Row],[Lowest lo from open to squeeze]])/(Table13[[#This Row],[PM Hi]]-Table13[[#This Row],[Prior day close]])))),IF($J103&gt;=$F103,($J103-$K103)/($J103-Table13[[#This Row],[PM LO]]),(IF($H103&lt;=$K103,($F103-$H103)/($F103-Table13[[#This Row],[PM LO]]),(Table13[[#This Row],[PM Hi]]-Table13[[#This Row],[Lowest lo from open to squeeze]])/(Table13[[#This Row],[PM Hi]]-Table13[[#This Row],[PM LO]])))))</f>
        <v>0.67032967032967028</v>
      </c>
      <c r="AP103" s="18"/>
      <c r="AQ103" s="17">
        <f>390+Table13[[#This Row],[Time until ideal entry point (mins) from open]]</f>
        <v>393</v>
      </c>
      <c r="AR103" s="51">
        <f>(Table13[[#This Row],[Time until ideal entry + 390 (6:30)]]+Table13[[#This Row],[Duration of frontside (mins)]])/1440</f>
        <v>0.27986111111111112</v>
      </c>
    </row>
    <row r="104" spans="1:44" x14ac:dyDescent="0.25">
      <c r="A104" s="24" t="s">
        <v>140</v>
      </c>
      <c r="B104" s="47">
        <v>44201</v>
      </c>
      <c r="C104" s="47" t="s">
        <v>71</v>
      </c>
      <c r="D104" s="12">
        <v>4.18</v>
      </c>
      <c r="E104" s="13">
        <v>4.1399999999999997</v>
      </c>
      <c r="F104" s="12">
        <v>6.59</v>
      </c>
      <c r="G104" s="12">
        <v>4.05</v>
      </c>
      <c r="H104" s="12">
        <v>5.26</v>
      </c>
      <c r="I104" s="12">
        <v>5.5</v>
      </c>
      <c r="J104" s="12">
        <v>5.5</v>
      </c>
      <c r="K104" s="12">
        <v>5.25</v>
      </c>
      <c r="L104" s="12">
        <v>6.74</v>
      </c>
      <c r="M104" s="12">
        <v>6.74</v>
      </c>
      <c r="N104" s="13">
        <v>18393589</v>
      </c>
      <c r="O104" s="12">
        <v>91048265</v>
      </c>
      <c r="P104" s="37">
        <v>19.850000000000001</v>
      </c>
      <c r="Q104" s="46">
        <v>4.45</v>
      </c>
      <c r="R104" s="37" t="s">
        <v>115</v>
      </c>
      <c r="S104" s="37">
        <v>2871168</v>
      </c>
      <c r="T104" s="37" t="s">
        <v>41</v>
      </c>
      <c r="U104" s="37" t="s">
        <v>43</v>
      </c>
      <c r="V104" s="38">
        <v>2</v>
      </c>
      <c r="W104" s="46">
        <v>4</v>
      </c>
      <c r="X104" s="39">
        <v>5.4</v>
      </c>
      <c r="Y104" s="46">
        <v>65</v>
      </c>
      <c r="Z104" s="40">
        <f>Table13[[#This Row],[Time until ideal entry + 390 (6:30)]]/(1440)</f>
        <v>0.27361111111111114</v>
      </c>
      <c r="AA104" s="18">
        <f t="shared" si="9"/>
        <v>0.57655502392344504</v>
      </c>
      <c r="AB104" s="18">
        <f>IF(Table13[[#This Row],[HOD AFTER PM HI]]&gt;=Table13[[#This Row],[PM Hi]],((Table13[[#This Row],[HOD AFTER PM HI]]-Table13[[#This Row],[Prior day close]])/Table13[[#This Row],[Prior day close]]),Table13[[#This Row],[Prior Close to PM Hi %]])</f>
        <v>0.61244019138756001</v>
      </c>
      <c r="AC104" s="42">
        <f>(Table13[[#This Row],[Price at hi of squeeze]]-Table13[[#This Row],[MKT Open Price]])/Table13[[#This Row],[MKT Open Price]]</f>
        <v>0.22545454545454549</v>
      </c>
      <c r="AD104" s="18">
        <f>(Table13[[#This Row],[Price at hi of squeeze]]-Table13[[#This Row],[PM Hi]])/Table13[[#This Row],[PM Hi]]</f>
        <v>2.2761760242792164E-2</v>
      </c>
      <c r="AE104" s="18"/>
      <c r="AF104" s="20">
        <f>Table13[[#This Row],[PM VOL]]/1000000/Table13[[#This Row],[FLOAT(M)]]</f>
        <v>0.64520629213483138</v>
      </c>
      <c r="AG104" s="23">
        <f>(Table13[[#This Row],[Volume]]/1000000)/Table13[[#This Row],[FLOAT(M)]]</f>
        <v>4.1333907865168538</v>
      </c>
      <c r="AI104" s="18">
        <f>(Table13[[#This Row],[PM Hi]]-Table13[[#This Row],[MKT Open Price]])/(Table13[[#This Row],[PM Hi]])</f>
        <v>0.16540212443095598</v>
      </c>
      <c r="AJ104" s="16">
        <f>IF(Table13[[#This Row],[PM LO]]&gt;Table13[[#This Row],[Prior day close]],(Table13[[#This Row],[PM Hi]]-Table13[[#This Row],[MKT Open Price]])/(Table13[[#This Row],[PM Hi]]-Table13[[#This Row],[Prior day close]]),(Table13[[#This Row],[PM Hi]]-Table13[[#This Row],[MKT Open Price]])/(Table13[[#This Row],[PM Hi]]-Table13[[#This Row],[PM LO]]))</f>
        <v>0.42913385826771649</v>
      </c>
      <c r="AK104" s="48">
        <f>IF(Table13[[#This Row],[Prior day close]]&lt;Table13[[#This Row],[PM LO]],(I104-K104)/(I104-Table13[[#This Row],[Prior day close]]),(I104-K104)/(I104-Table13[[#This Row],[PM LO]]))</f>
        <v>0.17241379310344826</v>
      </c>
      <c r="AL104" s="48">
        <f>Table13[[#This Row],[Spike % on open before drop]]+AM104</f>
        <v>4.5454545454545456E-2</v>
      </c>
      <c r="AM104" s="16">
        <f t="shared" si="10"/>
        <v>4.5454545454545456E-2</v>
      </c>
      <c r="AN104" s="16"/>
      <c r="AO104" s="48">
        <f>IF(Table13[[#This Row],[Prior day close]]&lt;=Table13[[#This Row],[PM LO]],IF($J104&gt;=$F104,($J104-$K104)/($J104-Table13[[#This Row],[Prior day close]]),(IF($H104&lt;=$K104,($F104-$H104)/($F104-Table13[[#This Row],[Prior day close]]),(Table13[[#This Row],[PM Hi]]-Table13[[#This Row],[Lowest lo from open to squeeze]])/(Table13[[#This Row],[PM Hi]]-Table13[[#This Row],[Prior day close]])))),IF($J104&gt;=$F104,($J104-$K104)/($J104-Table13[[#This Row],[PM LO]]),(IF($H104&lt;=$K104,($F104-$H104)/($F104-Table13[[#This Row],[PM LO]]),(Table13[[#This Row],[PM Hi]]-Table13[[#This Row],[Lowest lo from open to squeeze]])/(Table13[[#This Row],[PM Hi]]-Table13[[#This Row],[PM LO]])))))</f>
        <v>0.52755905511811019</v>
      </c>
      <c r="AP104" s="18"/>
      <c r="AQ104" s="17">
        <f>390+Table13[[#This Row],[Time until ideal entry point (mins) from open]]</f>
        <v>394</v>
      </c>
      <c r="AR104" s="51">
        <f>(Table13[[#This Row],[Time until ideal entry + 390 (6:30)]]+Table13[[#This Row],[Duration of frontside (mins)]])/1440</f>
        <v>0.31874999999999998</v>
      </c>
    </row>
    <row r="105" spans="1:44" x14ac:dyDescent="0.25">
      <c r="A105" s="24" t="s">
        <v>141</v>
      </c>
      <c r="B105" s="47">
        <v>44202</v>
      </c>
      <c r="C105" s="47" t="s">
        <v>71</v>
      </c>
      <c r="D105" s="12">
        <v>0.87</v>
      </c>
      <c r="E105" s="13">
        <v>0.87</v>
      </c>
      <c r="F105" s="12">
        <v>1.6</v>
      </c>
      <c r="G105" s="12">
        <v>0.84</v>
      </c>
      <c r="H105" s="12">
        <v>1.35</v>
      </c>
      <c r="I105" s="12">
        <v>1.45</v>
      </c>
      <c r="J105" s="12">
        <v>1.45</v>
      </c>
      <c r="K105" s="12">
        <v>1.32</v>
      </c>
      <c r="L105" s="12">
        <v>1.75</v>
      </c>
      <c r="M105" s="12">
        <v>1.75</v>
      </c>
      <c r="N105" s="13">
        <v>188372580</v>
      </c>
      <c r="O105" s="12">
        <v>195907483</v>
      </c>
      <c r="P105" s="37">
        <v>36</v>
      </c>
      <c r="Q105" s="46">
        <v>35</v>
      </c>
      <c r="R105" s="37" t="s">
        <v>115</v>
      </c>
      <c r="S105" s="37">
        <v>43836888</v>
      </c>
      <c r="T105" s="37" t="s">
        <v>41</v>
      </c>
      <c r="U105" s="37" t="s">
        <v>43</v>
      </c>
      <c r="V105" s="38">
        <v>2</v>
      </c>
      <c r="W105" s="46">
        <v>2</v>
      </c>
      <c r="X105" s="39">
        <v>1.34</v>
      </c>
      <c r="Y105" s="46">
        <v>14</v>
      </c>
      <c r="Z105" s="40">
        <f>Table13[[#This Row],[Time until ideal entry + 390 (6:30)]]/(1440)</f>
        <v>0.2722222222222222</v>
      </c>
      <c r="AA105" s="18">
        <f t="shared" si="9"/>
        <v>0.83908045977011503</v>
      </c>
      <c r="AB105" s="18">
        <f>IF(Table13[[#This Row],[HOD AFTER PM HI]]&gt;=Table13[[#This Row],[PM Hi]],((Table13[[#This Row],[HOD AFTER PM HI]]-Table13[[#This Row],[Prior day close]])/Table13[[#This Row],[Prior day close]]),Table13[[#This Row],[Prior Close to PM Hi %]])</f>
        <v>1.0114942528735633</v>
      </c>
      <c r="AC105" s="42">
        <f>(Table13[[#This Row],[Price at hi of squeeze]]-Table13[[#This Row],[MKT Open Price]])/Table13[[#This Row],[MKT Open Price]]</f>
        <v>0.20689655172413796</v>
      </c>
      <c r="AD105" s="18">
        <f>(Table13[[#This Row],[Price at hi of squeeze]]-Table13[[#This Row],[PM Hi]])/Table13[[#This Row],[PM Hi]]</f>
        <v>9.3749999999999944E-2</v>
      </c>
      <c r="AE105" s="18"/>
      <c r="AF105" s="20">
        <f>Table13[[#This Row],[PM VOL]]/1000000/Table13[[#This Row],[FLOAT(M)]]</f>
        <v>1.2524825142857143</v>
      </c>
      <c r="AG105" s="23">
        <f>(Table13[[#This Row],[Volume]]/1000000)/Table13[[#This Row],[FLOAT(M)]]</f>
        <v>5.3820737142857142</v>
      </c>
      <c r="AI105" s="18">
        <f>(Table13[[#This Row],[PM Hi]]-Table13[[#This Row],[MKT Open Price]])/(Table13[[#This Row],[PM Hi]])</f>
        <v>9.3750000000000083E-2</v>
      </c>
      <c r="AJ105" s="16">
        <f>IF(Table13[[#This Row],[PM LO]]&gt;Table13[[#This Row],[Prior day close]],(Table13[[#This Row],[PM Hi]]-Table13[[#This Row],[MKT Open Price]])/(Table13[[#This Row],[PM Hi]]-Table13[[#This Row],[Prior day close]]),(Table13[[#This Row],[PM Hi]]-Table13[[#This Row],[MKT Open Price]])/(Table13[[#This Row],[PM Hi]]-Table13[[#This Row],[PM LO]]))</f>
        <v>0.19736842105263172</v>
      </c>
      <c r="AK105" s="48">
        <f>IF(Table13[[#This Row],[Prior day close]]&lt;Table13[[#This Row],[PM LO]],(I105-K105)/(I105-Table13[[#This Row],[Prior day close]]),(I105-K105)/(I105-Table13[[#This Row],[PM LO]]))</f>
        <v>0.21311475409836048</v>
      </c>
      <c r="AL105" s="48">
        <f>Table13[[#This Row],[Spike % on open before drop]]+AM105</f>
        <v>8.9655172413793033E-2</v>
      </c>
      <c r="AM105" s="16">
        <f t="shared" si="10"/>
        <v>8.9655172413793033E-2</v>
      </c>
      <c r="AN105" s="16"/>
      <c r="AO105" s="48">
        <f>IF(Table13[[#This Row],[Prior day close]]&lt;=Table13[[#This Row],[PM LO]],IF($J105&gt;=$F105,($J105-$K105)/($J105-Table13[[#This Row],[Prior day close]]),(IF($H105&lt;=$K105,($F105-$H105)/($F105-Table13[[#This Row],[Prior day close]]),(Table13[[#This Row],[PM Hi]]-Table13[[#This Row],[Lowest lo from open to squeeze]])/(Table13[[#This Row],[PM Hi]]-Table13[[#This Row],[Prior day close]])))),IF($J105&gt;=$F105,($J105-$K105)/($J105-Table13[[#This Row],[PM LO]]),(IF($H105&lt;=$K105,($F105-$H105)/($F105-Table13[[#This Row],[PM LO]]),(Table13[[#This Row],[PM Hi]]-Table13[[#This Row],[Lowest lo from open to squeeze]])/(Table13[[#This Row],[PM Hi]]-Table13[[#This Row],[PM LO]])))))</f>
        <v>0.36842105263157893</v>
      </c>
      <c r="AP105" s="18"/>
      <c r="AQ105" s="17">
        <f>390+Table13[[#This Row],[Time until ideal entry point (mins) from open]]</f>
        <v>392</v>
      </c>
      <c r="AR105" s="51">
        <f>(Table13[[#This Row],[Time until ideal entry + 390 (6:30)]]+Table13[[#This Row],[Duration of frontside (mins)]])/1440</f>
        <v>0.28194444444444444</v>
      </c>
    </row>
    <row r="106" spans="1:44" x14ac:dyDescent="0.25">
      <c r="A106" s="25" t="s">
        <v>145</v>
      </c>
      <c r="B106" s="11">
        <v>44207</v>
      </c>
      <c r="C106" s="11" t="s">
        <v>71</v>
      </c>
      <c r="D106" s="17">
        <v>1.81</v>
      </c>
      <c r="E106">
        <v>1.81</v>
      </c>
      <c r="F106" s="12">
        <v>2.76</v>
      </c>
      <c r="G106">
        <v>1.81</v>
      </c>
      <c r="H106" s="12">
        <v>2.09</v>
      </c>
      <c r="I106" s="12">
        <v>2.13</v>
      </c>
      <c r="J106" s="12">
        <v>2.13</v>
      </c>
      <c r="K106" s="12">
        <v>2.1</v>
      </c>
      <c r="L106" s="12">
        <v>2.54</v>
      </c>
      <c r="M106" s="12">
        <v>2.54</v>
      </c>
      <c r="N106" s="12">
        <v>28376611</v>
      </c>
      <c r="O106" s="12">
        <v>75481785</v>
      </c>
      <c r="P106" s="12">
        <v>46.41</v>
      </c>
      <c r="Q106" s="46">
        <v>9.23</v>
      </c>
      <c r="R106" s="12" t="s">
        <v>147</v>
      </c>
      <c r="S106" s="37">
        <v>7525982</v>
      </c>
      <c r="T106" s="18" t="s">
        <v>41</v>
      </c>
      <c r="U106" s="13" t="s">
        <v>43</v>
      </c>
      <c r="V106" s="38">
        <v>1</v>
      </c>
      <c r="W106" s="46">
        <v>4</v>
      </c>
      <c r="X106" s="39">
        <v>2.17</v>
      </c>
      <c r="Y106" s="46">
        <v>19</v>
      </c>
      <c r="AA106" s="18">
        <f t="shared" si="9"/>
        <v>0.52486187845303856</v>
      </c>
      <c r="AM106" s="16">
        <f t="shared" si="10"/>
        <v>1.408450704225343E-2</v>
      </c>
    </row>
    <row r="107" spans="1:44" hidden="1" x14ac:dyDescent="0.25">
      <c r="A107" s="25" t="s">
        <v>146</v>
      </c>
      <c r="B107" s="11">
        <v>44209</v>
      </c>
      <c r="C107" s="11" t="s">
        <v>143</v>
      </c>
      <c r="J107" s="12"/>
      <c r="K107" s="12"/>
      <c r="V107" s="50"/>
      <c r="AA107" s="18" t="e">
        <f t="shared" si="9"/>
        <v>#DIV/0!</v>
      </c>
      <c r="AM107" s="16" t="e">
        <f t="shared" si="10"/>
        <v>#DIV/0!</v>
      </c>
    </row>
    <row r="108" spans="1:44" hidden="1" x14ac:dyDescent="0.25">
      <c r="A108" s="25" t="s">
        <v>149</v>
      </c>
      <c r="B108" s="11">
        <v>44211</v>
      </c>
      <c r="C108" s="11" t="s">
        <v>143</v>
      </c>
      <c r="J108" s="12"/>
      <c r="K108" s="12"/>
      <c r="AA108" s="18" t="e">
        <f t="shared" si="9"/>
        <v>#DIV/0!</v>
      </c>
      <c r="AM108" s="16" t="e">
        <f t="shared" si="10"/>
        <v>#DIV/0!</v>
      </c>
    </row>
    <row r="109" spans="1:44" hidden="1" x14ac:dyDescent="0.25">
      <c r="A109" s="24" t="s">
        <v>150</v>
      </c>
      <c r="B109" s="47">
        <v>44211</v>
      </c>
      <c r="C109" s="47" t="s">
        <v>71</v>
      </c>
      <c r="D109" s="12"/>
      <c r="E109" s="13"/>
      <c r="F109" s="12"/>
      <c r="G109" s="12"/>
      <c r="H109" s="12"/>
      <c r="I109" s="12"/>
      <c r="J109" s="12"/>
      <c r="K109" s="12"/>
      <c r="N109" s="13"/>
      <c r="P109" s="37"/>
      <c r="Q109" s="46"/>
      <c r="R109" s="37"/>
      <c r="S109" s="37"/>
      <c r="T109" s="37"/>
      <c r="U109" s="37"/>
      <c r="V109" s="38"/>
      <c r="W109" s="46"/>
      <c r="X109" s="37"/>
      <c r="Y109" s="46"/>
      <c r="Z109" s="41">
        <f>Table13[[#This Row],[Time until ideal entry + 390 (6:30)]]/(1440)</f>
        <v>0.27083333333333331</v>
      </c>
      <c r="AA109" s="18" t="e">
        <f t="shared" si="9"/>
        <v>#DIV/0!</v>
      </c>
      <c r="AB109" s="18" t="e">
        <f>IF(Table13[[#This Row],[HOD AFTER PM HI]]&gt;=Table13[[#This Row],[PM Hi]],((Table13[[#This Row],[HOD AFTER PM HI]]-Table13[[#This Row],[Prior day close]])/Table13[[#This Row],[Prior day close]]),Table13[[#This Row],[Prior Close to PM Hi %]])</f>
        <v>#DIV/0!</v>
      </c>
      <c r="AC109" s="42" t="e">
        <f>(Table13[[#This Row],[Price at hi of squeeze]]-Table13[[#This Row],[MKT Open Price]])/Table13[[#This Row],[MKT Open Price]]</f>
        <v>#DIV/0!</v>
      </c>
      <c r="AD109" s="18" t="e">
        <f>(Table13[[#This Row],[Price at hi of squeeze]]-Table13[[#This Row],[PM Hi]])/Table13[[#This Row],[PM Hi]]</f>
        <v>#DIV/0!</v>
      </c>
      <c r="AE109" s="18"/>
      <c r="AF109" s="20" t="e">
        <f>Table13[[#This Row],[PM VOL]]/1000000/Table13[[#This Row],[FLOAT(M)]]</f>
        <v>#DIV/0!</v>
      </c>
      <c r="AG109" s="23" t="e">
        <f>(Table13[[#This Row],[Volume]]/1000000)/Table13[[#This Row],[FLOAT(M)]]</f>
        <v>#DIV/0!</v>
      </c>
      <c r="AI109" s="18" t="e">
        <f>(Table13[[#This Row],[PM Hi]]-Table13[[#This Row],[MKT Open Price]])/(Table13[[#This Row],[PM Hi]])</f>
        <v>#DIV/0!</v>
      </c>
      <c r="AJ109" s="18" t="e">
        <f>IF(Table13[[#This Row],[PM LO]]&gt;Table13[[#This Row],[Prior day close]],(Table13[[#This Row],[PM Hi]]-Table13[[#This Row],[MKT Open Price]])/(Table13[[#This Row],[PM Hi]]-Table13[[#This Row],[Prior day close]]),(Table13[[#This Row],[PM Hi]]-Table13[[#This Row],[MKT Open Price]])/(Table13[[#This Row],[PM Hi]]-Table13[[#This Row],[PM LO]]))</f>
        <v>#DIV/0!</v>
      </c>
      <c r="AK109" s="48" t="e">
        <f>IF(Table13[[#This Row],[Prior day close]]&lt;Table13[[#This Row],[PM LO]],(I109-K109)/(I109-Table13[[#This Row],[Prior day close]]),(I109-K109)/(I109-Table13[[#This Row],[PM LO]]))</f>
        <v>#DIV/0!</v>
      </c>
      <c r="AL109" s="48" t="e">
        <f>Table13[[#This Row],[Spike % on open before drop]]+AM109</f>
        <v>#DIV/0!</v>
      </c>
      <c r="AM109" s="16" t="e">
        <f t="shared" si="10"/>
        <v>#DIV/0!</v>
      </c>
      <c r="AN109" s="16"/>
      <c r="AO109" s="48" t="e">
        <f>IF(Table13[[#This Row],[Prior day close]]&lt;=Table13[[#This Row],[PM LO]],IF($J109&gt;=$F109,($J109-$K109)/($J109-Table13[[#This Row],[Prior day close]]),(IF($H109&lt;=$K109,($F109-$H109)/($F109-Table13[[#This Row],[Prior day close]]),(Table13[[#This Row],[PM Hi]]-Table13[[#This Row],[Lowest lo from open to squeeze]])/(Table13[[#This Row],[PM Hi]]-Table13[[#This Row],[Prior day close]])))),IF($J109&gt;=$F109,($J109-$K109)/($J109-Table13[[#This Row],[PM LO]]),(IF($H109&lt;=$K109,($F109-$H109)/($F109-Table13[[#This Row],[PM LO]]),(Table13[[#This Row],[PM Hi]]-Table13[[#This Row],[Lowest lo from open to squeeze]])/(Table13[[#This Row],[PM Hi]]-Table13[[#This Row],[PM LO]])))))</f>
        <v>#DIV/0!</v>
      </c>
      <c r="AP109" s="18"/>
      <c r="AQ109" s="17">
        <f>390+Table13[[#This Row],[Time until ideal entry point (mins) from open]]</f>
        <v>390</v>
      </c>
      <c r="AR109" s="17">
        <f>Table13[[#This Row],[Time until ideal entry + 390 (6:30)]]+Table13[[#This Row],[Duration of frontside (mins)]]</f>
        <v>390</v>
      </c>
    </row>
    <row r="110" spans="1:44" hidden="1" x14ac:dyDescent="0.25">
      <c r="A110" s="24" t="s">
        <v>75</v>
      </c>
      <c r="B110" s="47">
        <v>44215</v>
      </c>
      <c r="C110" s="47" t="s">
        <v>143</v>
      </c>
      <c r="D110" s="12"/>
      <c r="E110" s="13"/>
      <c r="F110" s="12"/>
      <c r="G110" s="12"/>
      <c r="H110" s="12"/>
      <c r="I110" s="12"/>
      <c r="J110" s="12"/>
      <c r="K110" s="12"/>
      <c r="N110" s="13"/>
      <c r="P110" s="37"/>
      <c r="Q110" s="46"/>
      <c r="R110" s="37"/>
      <c r="S110" s="37"/>
      <c r="T110" s="37"/>
      <c r="U110" s="37"/>
      <c r="V110" s="38"/>
      <c r="W110" s="46"/>
      <c r="X110" s="37"/>
      <c r="Y110" s="46"/>
      <c r="Z110" s="41">
        <f>Table13[[#This Row],[Time until ideal entry + 390 (6:30)]]/(1440)</f>
        <v>0.27083333333333331</v>
      </c>
      <c r="AA110" s="18" t="e">
        <f t="shared" si="9"/>
        <v>#DIV/0!</v>
      </c>
      <c r="AB110" s="18" t="e">
        <f>IF(Table13[[#This Row],[HOD AFTER PM HI]]&gt;=Table13[[#This Row],[PM Hi]],((Table13[[#This Row],[HOD AFTER PM HI]]-Table13[[#This Row],[Prior day close]])/Table13[[#This Row],[Prior day close]]),Table13[[#This Row],[Prior Close to PM Hi %]])</f>
        <v>#DIV/0!</v>
      </c>
      <c r="AC110" s="42" t="e">
        <f>(Table13[[#This Row],[Price at hi of squeeze]]-Table13[[#This Row],[MKT Open Price]])/Table13[[#This Row],[MKT Open Price]]</f>
        <v>#DIV/0!</v>
      </c>
      <c r="AD110" s="18" t="e">
        <f>(Table13[[#This Row],[Price at hi of squeeze]]-Table13[[#This Row],[PM Hi]])/Table13[[#This Row],[PM Hi]]</f>
        <v>#DIV/0!</v>
      </c>
      <c r="AE110" s="18"/>
      <c r="AF110" s="20" t="e">
        <f>Table13[[#This Row],[PM VOL]]/1000000/Table13[[#This Row],[FLOAT(M)]]</f>
        <v>#DIV/0!</v>
      </c>
      <c r="AG110" s="23" t="e">
        <f>(Table13[[#This Row],[Volume]]/1000000)/Table13[[#This Row],[FLOAT(M)]]</f>
        <v>#DIV/0!</v>
      </c>
      <c r="AI110" s="18" t="e">
        <f>(Table13[[#This Row],[PM Hi]]-Table13[[#This Row],[MKT Open Price]])/(Table13[[#This Row],[PM Hi]])</f>
        <v>#DIV/0!</v>
      </c>
      <c r="AJ110" s="18" t="e">
        <f>IF(Table13[[#This Row],[PM LO]]&gt;Table13[[#This Row],[Prior day close]],(Table13[[#This Row],[PM Hi]]-Table13[[#This Row],[MKT Open Price]])/(Table13[[#This Row],[PM Hi]]-Table13[[#This Row],[Prior day close]]),(Table13[[#This Row],[PM Hi]]-Table13[[#This Row],[MKT Open Price]])/(Table13[[#This Row],[PM Hi]]-Table13[[#This Row],[PM LO]]))</f>
        <v>#DIV/0!</v>
      </c>
      <c r="AK110" s="48" t="e">
        <f>IF(Table13[[#This Row],[Prior day close]]&lt;Table13[[#This Row],[PM LO]],(I110-K110)/(I110-Table13[[#This Row],[Prior day close]]),(I110-K110)/(I110-Table13[[#This Row],[PM LO]]))</f>
        <v>#DIV/0!</v>
      </c>
      <c r="AL110" s="48" t="e">
        <f>Table13[[#This Row],[Spike % on open before drop]]+AM110</f>
        <v>#DIV/0!</v>
      </c>
      <c r="AM110" s="16" t="e">
        <f t="shared" si="10"/>
        <v>#DIV/0!</v>
      </c>
      <c r="AN110" s="16"/>
      <c r="AO110" s="48" t="e">
        <f>IF(Table13[[#This Row],[Prior day close]]&lt;=Table13[[#This Row],[PM LO]],IF($J110&gt;=$F110,($J110-$K110)/($J110-Table13[[#This Row],[Prior day close]]),(IF($H110&lt;=$K110,($F110-$H110)/($F110-Table13[[#This Row],[Prior day close]]),(Table13[[#This Row],[PM Hi]]-Table13[[#This Row],[Lowest lo from open to squeeze]])/(Table13[[#This Row],[PM Hi]]-Table13[[#This Row],[Prior day close]])))),IF($J110&gt;=$F110,($J110-$K110)/($J110-Table13[[#This Row],[PM LO]]),(IF($H110&lt;=$K110,($F110-$H110)/($F110-Table13[[#This Row],[PM LO]]),(Table13[[#This Row],[PM Hi]]-Table13[[#This Row],[Lowest lo from open to squeeze]])/(Table13[[#This Row],[PM Hi]]-Table13[[#This Row],[PM LO]])))))</f>
        <v>#DIV/0!</v>
      </c>
      <c r="AP110" s="18"/>
      <c r="AQ110" s="17">
        <f>390+Table13[[#This Row],[Time until ideal entry point (mins) from open]]</f>
        <v>390</v>
      </c>
      <c r="AR110" s="17">
        <f>Table13[[#This Row],[Time until ideal entry + 390 (6:30)]]+Table13[[#This Row],[Duration of frontside (mins)]]</f>
        <v>390</v>
      </c>
    </row>
    <row r="111" spans="1:44" hidden="1" x14ac:dyDescent="0.25">
      <c r="A111" s="24" t="s">
        <v>155</v>
      </c>
      <c r="B111" s="47">
        <v>44216</v>
      </c>
      <c r="C111" s="47" t="s">
        <v>71</v>
      </c>
      <c r="D111" s="12"/>
      <c r="E111" s="13"/>
      <c r="F111" s="12"/>
      <c r="G111" s="12"/>
      <c r="H111" s="12"/>
      <c r="I111" s="12"/>
      <c r="J111" s="12"/>
      <c r="K111" s="12"/>
      <c r="N111" s="13"/>
      <c r="P111" s="37"/>
      <c r="Q111" s="46"/>
      <c r="R111" s="37"/>
      <c r="S111" s="37"/>
      <c r="T111" s="37"/>
      <c r="U111" s="37"/>
      <c r="V111" s="38"/>
      <c r="W111" s="46"/>
      <c r="X111" s="37"/>
      <c r="Y111" s="46"/>
      <c r="Z111" s="41">
        <f>Table13[[#This Row],[Time until ideal entry + 390 (6:30)]]/(1440)</f>
        <v>0.27083333333333331</v>
      </c>
      <c r="AA111" s="18"/>
      <c r="AB111" s="18" t="e">
        <f>IF(Table13[[#This Row],[HOD AFTER PM HI]]&gt;=Table13[[#This Row],[PM Hi]],((Table13[[#This Row],[HOD AFTER PM HI]]-Table13[[#This Row],[Prior day close]])/Table13[[#This Row],[Prior day close]]),Table13[[#This Row],[Prior Close to PM Hi %]])</f>
        <v>#DIV/0!</v>
      </c>
      <c r="AC111" s="42" t="e">
        <f>(Table13[[#This Row],[Price at hi of squeeze]]-Table13[[#This Row],[MKT Open Price]])/Table13[[#This Row],[MKT Open Price]]</f>
        <v>#DIV/0!</v>
      </c>
      <c r="AD111" s="18" t="e">
        <f>(Table13[[#This Row],[Price at hi of squeeze]]-Table13[[#This Row],[PM Hi]])/Table13[[#This Row],[PM Hi]]</f>
        <v>#DIV/0!</v>
      </c>
      <c r="AE111" s="18"/>
      <c r="AF111" s="20" t="e">
        <f>Table13[[#This Row],[PM VOL]]/1000000/Table13[[#This Row],[FLOAT(M)]]</f>
        <v>#DIV/0!</v>
      </c>
      <c r="AG111" s="23" t="e">
        <f>(Table13[[#This Row],[Volume]]/1000000)/Table13[[#This Row],[FLOAT(M)]]</f>
        <v>#DIV/0!</v>
      </c>
      <c r="AI111" s="18" t="e">
        <f>(Table13[[#This Row],[PM Hi]]-Table13[[#This Row],[MKT Open Price]])/(Table13[[#This Row],[PM Hi]])</f>
        <v>#DIV/0!</v>
      </c>
      <c r="AJ111" s="18" t="e">
        <f>IF(Table13[[#This Row],[PM LO]]&gt;Table13[[#This Row],[Prior day close]],(Table13[[#This Row],[PM Hi]]-Table13[[#This Row],[MKT Open Price]])/(Table13[[#This Row],[PM Hi]]-Table13[[#This Row],[Prior day close]]),(Table13[[#This Row],[PM Hi]]-Table13[[#This Row],[MKT Open Price]])/(Table13[[#This Row],[PM Hi]]-Table13[[#This Row],[PM LO]]))</f>
        <v>#DIV/0!</v>
      </c>
      <c r="AK111" s="48" t="e">
        <f>IF(Table13[[#This Row],[Prior day close]]&lt;Table13[[#This Row],[PM LO]],(I111-K111)/(I111-Table13[[#This Row],[Prior day close]]),(I111-K111)/(I111-Table13[[#This Row],[PM LO]]))</f>
        <v>#DIV/0!</v>
      </c>
      <c r="AL111" s="48">
        <f>Table13[[#This Row],[Spike % on open before drop]]+AM111</f>
        <v>0</v>
      </c>
      <c r="AM111" s="16"/>
      <c r="AN111" s="16"/>
      <c r="AO111" s="48" t="e">
        <f>IF(Table13[[#This Row],[Prior day close]]&lt;=Table13[[#This Row],[PM LO]],IF($J111&gt;=$F111,($J111-$K111)/($J111-Table13[[#This Row],[Prior day close]]),(IF($H111&lt;=$K111,($F111-$H111)/($F111-Table13[[#This Row],[Prior day close]]),(Table13[[#This Row],[PM Hi]]-Table13[[#This Row],[Lowest lo from open to squeeze]])/(Table13[[#This Row],[PM Hi]]-Table13[[#This Row],[Prior day close]])))),IF($J111&gt;=$F111,($J111-$K111)/($J111-Table13[[#This Row],[PM LO]]),(IF($H111&lt;=$K111,($F111-$H111)/($F111-Table13[[#This Row],[PM LO]]),(Table13[[#This Row],[PM Hi]]-Table13[[#This Row],[Lowest lo from open to squeeze]])/(Table13[[#This Row],[PM Hi]]-Table13[[#This Row],[PM LO]])))))</f>
        <v>#DIV/0!</v>
      </c>
      <c r="AP111" s="18"/>
      <c r="AQ111" s="17">
        <f>390+Table13[[#This Row],[Time until ideal entry point (mins) from open]]</f>
        <v>390</v>
      </c>
      <c r="AR111" s="17">
        <f>Table13[[#This Row],[Time until ideal entry + 390 (6:30)]]+Table13[[#This Row],[Duration of frontside (mins)]]</f>
        <v>390</v>
      </c>
    </row>
    <row r="112" spans="1:44" hidden="1" x14ac:dyDescent="0.25">
      <c r="A112" s="24" t="s">
        <v>156</v>
      </c>
      <c r="B112" s="47">
        <v>44217</v>
      </c>
      <c r="C112" s="47" t="s">
        <v>71</v>
      </c>
      <c r="D112" s="12"/>
      <c r="E112" s="13"/>
      <c r="F112" s="12"/>
      <c r="G112" s="12"/>
      <c r="H112" s="12"/>
      <c r="I112" s="12"/>
      <c r="J112" s="12"/>
      <c r="K112" s="12"/>
      <c r="N112" s="13"/>
      <c r="P112" s="37"/>
      <c r="Q112" s="46"/>
      <c r="R112" s="37"/>
      <c r="S112" s="37"/>
      <c r="T112" s="37"/>
      <c r="U112" s="37"/>
      <c r="V112" s="38"/>
      <c r="W112" s="46"/>
      <c r="X112" s="37"/>
      <c r="Y112" s="46"/>
      <c r="Z112" s="41">
        <f>Table13[[#This Row],[Time until ideal entry + 390 (6:30)]]/(1440)</f>
        <v>0.27083333333333331</v>
      </c>
      <c r="AA112" s="18"/>
      <c r="AB112" s="18" t="e">
        <f>IF(Table13[[#This Row],[HOD AFTER PM HI]]&gt;=Table13[[#This Row],[PM Hi]],((Table13[[#This Row],[HOD AFTER PM HI]]-Table13[[#This Row],[Prior day close]])/Table13[[#This Row],[Prior day close]]),Table13[[#This Row],[Prior Close to PM Hi %]])</f>
        <v>#DIV/0!</v>
      </c>
      <c r="AC112" s="42" t="e">
        <f>(Table13[[#This Row],[Price at hi of squeeze]]-Table13[[#This Row],[MKT Open Price]])/Table13[[#This Row],[MKT Open Price]]</f>
        <v>#DIV/0!</v>
      </c>
      <c r="AD112" s="18" t="e">
        <f>(Table13[[#This Row],[Price at hi of squeeze]]-Table13[[#This Row],[PM Hi]])/Table13[[#This Row],[PM Hi]]</f>
        <v>#DIV/0!</v>
      </c>
      <c r="AE112" s="18"/>
      <c r="AF112" s="20" t="e">
        <f>Table13[[#This Row],[PM VOL]]/1000000/Table13[[#This Row],[FLOAT(M)]]</f>
        <v>#DIV/0!</v>
      </c>
      <c r="AG112" s="23" t="e">
        <f>(Table13[[#This Row],[Volume]]/1000000)/Table13[[#This Row],[FLOAT(M)]]</f>
        <v>#DIV/0!</v>
      </c>
      <c r="AI112" s="18" t="e">
        <f>(Table13[[#This Row],[PM Hi]]-Table13[[#This Row],[MKT Open Price]])/(Table13[[#This Row],[PM Hi]])</f>
        <v>#DIV/0!</v>
      </c>
      <c r="AJ112" s="18" t="e">
        <f>IF(Table13[[#This Row],[PM LO]]&gt;Table13[[#This Row],[Prior day close]],(Table13[[#This Row],[PM Hi]]-Table13[[#This Row],[MKT Open Price]])/(Table13[[#This Row],[PM Hi]]-Table13[[#This Row],[Prior day close]]),(Table13[[#This Row],[PM Hi]]-Table13[[#This Row],[MKT Open Price]])/(Table13[[#This Row],[PM Hi]]-Table13[[#This Row],[PM LO]]))</f>
        <v>#DIV/0!</v>
      </c>
      <c r="AK112" s="48" t="e">
        <f>IF(Table13[[#This Row],[Prior day close]]&lt;Table13[[#This Row],[PM LO]],(I112-K112)/(I112-Table13[[#This Row],[Prior day close]]),(I112-K112)/(I112-Table13[[#This Row],[PM LO]]))</f>
        <v>#DIV/0!</v>
      </c>
      <c r="AL112" s="48">
        <f>Table13[[#This Row],[Spike % on open before drop]]+AM112</f>
        <v>0</v>
      </c>
      <c r="AM112" s="16"/>
      <c r="AN112" s="16"/>
      <c r="AO112" s="48" t="e">
        <f>IF(Table13[[#This Row],[Prior day close]]&lt;=Table13[[#This Row],[PM LO]],IF($J112&gt;=$F112,($J112-$K112)/($J112-Table13[[#This Row],[Prior day close]]),(IF($H112&lt;=$K112,($F112-$H112)/($F112-Table13[[#This Row],[Prior day close]]),(Table13[[#This Row],[PM Hi]]-Table13[[#This Row],[Lowest lo from open to squeeze]])/(Table13[[#This Row],[PM Hi]]-Table13[[#This Row],[Prior day close]])))),IF($J112&gt;=$F112,($J112-$K112)/($J112-Table13[[#This Row],[PM LO]]),(IF($H112&lt;=$K112,($F112-$H112)/($F112-Table13[[#This Row],[PM LO]]),(Table13[[#This Row],[PM Hi]]-Table13[[#This Row],[Lowest lo from open to squeeze]])/(Table13[[#This Row],[PM Hi]]-Table13[[#This Row],[PM LO]])))))</f>
        <v>#DIV/0!</v>
      </c>
      <c r="AP112" s="18"/>
      <c r="AQ112" s="17">
        <f>390+Table13[[#This Row],[Time until ideal entry point (mins) from open]]</f>
        <v>390</v>
      </c>
      <c r="AR112" s="17">
        <f>Table13[[#This Row],[Time until ideal entry + 390 (6:30)]]+Table13[[#This Row],[Duration of frontside (mins)]]</f>
        <v>390</v>
      </c>
    </row>
    <row r="113" spans="1:44" hidden="1" x14ac:dyDescent="0.25">
      <c r="A113" s="24" t="s">
        <v>40</v>
      </c>
      <c r="B113" s="47">
        <v>44217</v>
      </c>
      <c r="C113" s="47" t="s">
        <v>143</v>
      </c>
      <c r="D113" s="12"/>
      <c r="E113" s="13"/>
      <c r="F113" s="12"/>
      <c r="G113" s="12"/>
      <c r="H113" s="12"/>
      <c r="I113" s="12"/>
      <c r="J113" s="12"/>
      <c r="K113" s="12"/>
      <c r="N113" s="13"/>
      <c r="P113" s="37"/>
      <c r="Q113" s="46"/>
      <c r="R113" s="37"/>
      <c r="S113" s="37"/>
      <c r="T113" s="37"/>
      <c r="U113" s="37"/>
      <c r="V113" s="38"/>
      <c r="W113" s="46"/>
      <c r="X113" s="37"/>
      <c r="Y113" s="46"/>
      <c r="Z113" s="41">
        <f>Table13[[#This Row],[Time until ideal entry + 390 (6:30)]]/(1440)</f>
        <v>0.27083333333333331</v>
      </c>
      <c r="AA113" s="18"/>
      <c r="AB113" s="18" t="e">
        <f>IF(Table13[[#This Row],[HOD AFTER PM HI]]&gt;=Table13[[#This Row],[PM Hi]],((Table13[[#This Row],[HOD AFTER PM HI]]-Table13[[#This Row],[Prior day close]])/Table13[[#This Row],[Prior day close]]),Table13[[#This Row],[Prior Close to PM Hi %]])</f>
        <v>#DIV/0!</v>
      </c>
      <c r="AC113" s="42" t="e">
        <f>(Table13[[#This Row],[Price at hi of squeeze]]-Table13[[#This Row],[MKT Open Price]])/Table13[[#This Row],[MKT Open Price]]</f>
        <v>#DIV/0!</v>
      </c>
      <c r="AD113" s="18" t="e">
        <f>(Table13[[#This Row],[Price at hi of squeeze]]-Table13[[#This Row],[PM Hi]])/Table13[[#This Row],[PM Hi]]</f>
        <v>#DIV/0!</v>
      </c>
      <c r="AE113" s="18"/>
      <c r="AF113" s="20" t="e">
        <f>Table13[[#This Row],[PM VOL]]/1000000/Table13[[#This Row],[FLOAT(M)]]</f>
        <v>#DIV/0!</v>
      </c>
      <c r="AG113" s="23" t="e">
        <f>(Table13[[#This Row],[Volume]]/1000000)/Table13[[#This Row],[FLOAT(M)]]</f>
        <v>#DIV/0!</v>
      </c>
      <c r="AI113" s="18" t="e">
        <f>(Table13[[#This Row],[PM Hi]]-Table13[[#This Row],[MKT Open Price]])/(Table13[[#This Row],[PM Hi]])</f>
        <v>#DIV/0!</v>
      </c>
      <c r="AJ113" s="18" t="e">
        <f>IF(Table13[[#This Row],[PM LO]]&gt;Table13[[#This Row],[Prior day close]],(Table13[[#This Row],[PM Hi]]-Table13[[#This Row],[MKT Open Price]])/(Table13[[#This Row],[PM Hi]]-Table13[[#This Row],[Prior day close]]),(Table13[[#This Row],[PM Hi]]-Table13[[#This Row],[MKT Open Price]])/(Table13[[#This Row],[PM Hi]]-Table13[[#This Row],[PM LO]]))</f>
        <v>#DIV/0!</v>
      </c>
      <c r="AK113" s="48" t="e">
        <f>IF(Table13[[#This Row],[Prior day close]]&lt;Table13[[#This Row],[PM LO]],(I113-K113)/(I113-Table13[[#This Row],[Prior day close]]),(I113-K113)/(I113-Table13[[#This Row],[PM LO]]))</f>
        <v>#DIV/0!</v>
      </c>
      <c r="AL113" s="48">
        <f>Table13[[#This Row],[Spike % on open before drop]]+AM113</f>
        <v>0</v>
      </c>
      <c r="AM113" s="16"/>
      <c r="AN113" s="16"/>
      <c r="AO113" s="48" t="e">
        <f>IF(Table13[[#This Row],[Prior day close]]&lt;=Table13[[#This Row],[PM LO]],IF($J113&gt;=$F113,($J113-$K113)/($J113-Table13[[#This Row],[Prior day close]]),(IF($H113&lt;=$K113,($F113-$H113)/($F113-Table13[[#This Row],[Prior day close]]),(Table13[[#This Row],[PM Hi]]-Table13[[#This Row],[Lowest lo from open to squeeze]])/(Table13[[#This Row],[PM Hi]]-Table13[[#This Row],[Prior day close]])))),IF($J113&gt;=$F113,($J113-$K113)/($J113-Table13[[#This Row],[PM LO]]),(IF($H113&lt;=$K113,($F113-$H113)/($F113-Table13[[#This Row],[PM LO]]),(Table13[[#This Row],[PM Hi]]-Table13[[#This Row],[Lowest lo from open to squeeze]])/(Table13[[#This Row],[PM Hi]]-Table13[[#This Row],[PM LO]])))))</f>
        <v>#DIV/0!</v>
      </c>
      <c r="AP113" s="18"/>
      <c r="AQ113" s="17">
        <f>390+Table13[[#This Row],[Time until ideal entry point (mins) from open]]</f>
        <v>390</v>
      </c>
      <c r="AR113" s="17">
        <f>Table13[[#This Row],[Time until ideal entry + 390 (6:30)]]+Table13[[#This Row],[Duration of frontside (mins)]]</f>
        <v>390</v>
      </c>
    </row>
    <row r="114" spans="1:44" hidden="1" x14ac:dyDescent="0.25">
      <c r="A114" s="24" t="s">
        <v>157</v>
      </c>
      <c r="B114" s="47">
        <v>44218</v>
      </c>
      <c r="C114" s="47" t="s">
        <v>143</v>
      </c>
      <c r="D114" s="12"/>
      <c r="E114" s="13"/>
      <c r="F114" s="12"/>
      <c r="G114" s="12"/>
      <c r="H114" s="12"/>
      <c r="I114" s="12"/>
      <c r="J114" s="12"/>
      <c r="K114" s="12"/>
      <c r="N114" s="13"/>
      <c r="P114" s="37"/>
      <c r="Q114" s="46"/>
      <c r="R114" s="37"/>
      <c r="S114" s="37"/>
      <c r="T114" s="37"/>
      <c r="U114" s="37"/>
      <c r="V114" s="38"/>
      <c r="W114" s="46"/>
      <c r="X114" s="37"/>
      <c r="Y114" s="46"/>
      <c r="Z114" s="41">
        <f>Table13[[#This Row],[Time until ideal entry + 390 (6:30)]]/(1440)</f>
        <v>0.27083333333333331</v>
      </c>
      <c r="AA114" s="18"/>
      <c r="AB114" s="18" t="e">
        <f>IF(Table13[[#This Row],[HOD AFTER PM HI]]&gt;=Table13[[#This Row],[PM Hi]],((Table13[[#This Row],[HOD AFTER PM HI]]-Table13[[#This Row],[Prior day close]])/Table13[[#This Row],[Prior day close]]),Table13[[#This Row],[Prior Close to PM Hi %]])</f>
        <v>#DIV/0!</v>
      </c>
      <c r="AC114" s="42" t="e">
        <f>(Table13[[#This Row],[Price at hi of squeeze]]-Table13[[#This Row],[MKT Open Price]])/Table13[[#This Row],[MKT Open Price]]</f>
        <v>#DIV/0!</v>
      </c>
      <c r="AD114" s="18" t="e">
        <f>(Table13[[#This Row],[Price at hi of squeeze]]-Table13[[#This Row],[PM Hi]])/Table13[[#This Row],[PM Hi]]</f>
        <v>#DIV/0!</v>
      </c>
      <c r="AE114" s="18"/>
      <c r="AF114" s="20" t="e">
        <f>Table13[[#This Row],[PM VOL]]/1000000/Table13[[#This Row],[FLOAT(M)]]</f>
        <v>#DIV/0!</v>
      </c>
      <c r="AG114" s="23" t="e">
        <f>(Table13[[#This Row],[Volume]]/1000000)/Table13[[#This Row],[FLOAT(M)]]</f>
        <v>#DIV/0!</v>
      </c>
      <c r="AI114" s="18" t="e">
        <f>(Table13[[#This Row],[PM Hi]]-Table13[[#This Row],[MKT Open Price]])/(Table13[[#This Row],[PM Hi]])</f>
        <v>#DIV/0!</v>
      </c>
      <c r="AJ114" s="18" t="e">
        <f>IF(Table13[[#This Row],[PM LO]]&gt;Table13[[#This Row],[Prior day close]],(Table13[[#This Row],[PM Hi]]-Table13[[#This Row],[MKT Open Price]])/(Table13[[#This Row],[PM Hi]]-Table13[[#This Row],[Prior day close]]),(Table13[[#This Row],[PM Hi]]-Table13[[#This Row],[MKT Open Price]])/(Table13[[#This Row],[PM Hi]]-Table13[[#This Row],[PM LO]]))</f>
        <v>#DIV/0!</v>
      </c>
      <c r="AK114" s="48" t="e">
        <f>IF(Table13[[#This Row],[Prior day close]]&lt;Table13[[#This Row],[PM LO]],(I114-K114)/(I114-Table13[[#This Row],[Prior day close]]),(I114-K114)/(I114-Table13[[#This Row],[PM LO]]))</f>
        <v>#DIV/0!</v>
      </c>
      <c r="AL114" s="48">
        <f>Table13[[#This Row],[Spike % on open before drop]]+AM114</f>
        <v>0</v>
      </c>
      <c r="AM114" s="16"/>
      <c r="AN114" s="16"/>
      <c r="AO114" s="48" t="e">
        <f>IF(Table13[[#This Row],[Prior day close]]&lt;=Table13[[#This Row],[PM LO]],IF($J114&gt;=$F114,($J114-$K114)/($J114-Table13[[#This Row],[Prior day close]]),(IF($H114&lt;=$K114,($F114-$H114)/($F114-Table13[[#This Row],[Prior day close]]),(Table13[[#This Row],[PM Hi]]-Table13[[#This Row],[Lowest lo from open to squeeze]])/(Table13[[#This Row],[PM Hi]]-Table13[[#This Row],[Prior day close]])))),IF($J114&gt;=$F114,($J114-$K114)/($J114-Table13[[#This Row],[PM LO]]),(IF($H114&lt;=$K114,($F114-$H114)/($F114-Table13[[#This Row],[PM LO]]),(Table13[[#This Row],[PM Hi]]-Table13[[#This Row],[Lowest lo from open to squeeze]])/(Table13[[#This Row],[PM Hi]]-Table13[[#This Row],[PM LO]])))))</f>
        <v>#DIV/0!</v>
      </c>
      <c r="AP114" s="18"/>
      <c r="AQ114" s="17">
        <f>390+Table13[[#This Row],[Time until ideal entry point (mins) from open]]</f>
        <v>390</v>
      </c>
      <c r="AR114" s="17">
        <f>Table13[[#This Row],[Time until ideal entry + 390 (6:30)]]+Table13[[#This Row],[Duration of frontside (mins)]]</f>
        <v>390</v>
      </c>
    </row>
    <row r="115" spans="1:44" hidden="1" x14ac:dyDescent="0.25">
      <c r="A115" s="24" t="s">
        <v>158</v>
      </c>
      <c r="B115" s="47">
        <v>44218</v>
      </c>
      <c r="C115" s="47" t="s">
        <v>71</v>
      </c>
      <c r="D115" s="12"/>
      <c r="E115" s="13"/>
      <c r="F115" s="12"/>
      <c r="G115" s="12"/>
      <c r="H115" s="12"/>
      <c r="I115" s="12"/>
      <c r="J115" s="12"/>
      <c r="K115" s="12"/>
      <c r="N115" s="13"/>
      <c r="P115" s="37"/>
      <c r="Q115" s="46"/>
      <c r="R115" s="37"/>
      <c r="S115" s="37"/>
      <c r="T115" s="37"/>
      <c r="U115" s="37"/>
      <c r="V115" s="38"/>
      <c r="W115" s="46"/>
      <c r="X115" s="37"/>
      <c r="Y115" s="46"/>
      <c r="Z115" s="41">
        <f>Table13[[#This Row],[Time until ideal entry + 390 (6:30)]]/(1440)</f>
        <v>0.27083333333333331</v>
      </c>
      <c r="AA115" s="18"/>
      <c r="AB115" s="18" t="e">
        <f>IF(Table13[[#This Row],[HOD AFTER PM HI]]&gt;=Table13[[#This Row],[PM Hi]],((Table13[[#This Row],[HOD AFTER PM HI]]-Table13[[#This Row],[Prior day close]])/Table13[[#This Row],[Prior day close]]),Table13[[#This Row],[Prior Close to PM Hi %]])</f>
        <v>#DIV/0!</v>
      </c>
      <c r="AC115" s="42" t="e">
        <f>(Table13[[#This Row],[Price at hi of squeeze]]-Table13[[#This Row],[MKT Open Price]])/Table13[[#This Row],[MKT Open Price]]</f>
        <v>#DIV/0!</v>
      </c>
      <c r="AD115" s="18" t="e">
        <f>(Table13[[#This Row],[Price at hi of squeeze]]-Table13[[#This Row],[PM Hi]])/Table13[[#This Row],[PM Hi]]</f>
        <v>#DIV/0!</v>
      </c>
      <c r="AE115" s="18"/>
      <c r="AF115" s="20" t="e">
        <f>Table13[[#This Row],[PM VOL]]/1000000/Table13[[#This Row],[FLOAT(M)]]</f>
        <v>#DIV/0!</v>
      </c>
      <c r="AG115" s="23" t="e">
        <f>(Table13[[#This Row],[Volume]]/1000000)/Table13[[#This Row],[FLOAT(M)]]</f>
        <v>#DIV/0!</v>
      </c>
      <c r="AI115" s="18" t="e">
        <f>(Table13[[#This Row],[PM Hi]]-Table13[[#This Row],[MKT Open Price]])/(Table13[[#This Row],[PM Hi]])</f>
        <v>#DIV/0!</v>
      </c>
      <c r="AJ115" s="18" t="e">
        <f>IF(Table13[[#This Row],[PM LO]]&gt;Table13[[#This Row],[Prior day close]],(Table13[[#This Row],[PM Hi]]-Table13[[#This Row],[MKT Open Price]])/(Table13[[#This Row],[PM Hi]]-Table13[[#This Row],[Prior day close]]),(Table13[[#This Row],[PM Hi]]-Table13[[#This Row],[MKT Open Price]])/(Table13[[#This Row],[PM Hi]]-Table13[[#This Row],[PM LO]]))</f>
        <v>#DIV/0!</v>
      </c>
      <c r="AK115" s="48" t="e">
        <f>IF(Table13[[#This Row],[Prior day close]]&lt;Table13[[#This Row],[PM LO]],(I115-K115)/(I115-Table13[[#This Row],[Prior day close]]),(I115-K115)/(I115-Table13[[#This Row],[PM LO]]))</f>
        <v>#DIV/0!</v>
      </c>
      <c r="AL115" s="48">
        <f>Table13[[#This Row],[Spike % on open before drop]]+AM115</f>
        <v>0</v>
      </c>
      <c r="AM115" s="16"/>
      <c r="AN115" s="16"/>
      <c r="AO115" s="48" t="e">
        <f>IF(Table13[[#This Row],[Prior day close]]&lt;=Table13[[#This Row],[PM LO]],IF($J115&gt;=$F115,($J115-$K115)/($J115-Table13[[#This Row],[Prior day close]]),(IF($H115&lt;=$K115,($F115-$H115)/($F115-Table13[[#This Row],[Prior day close]]),(Table13[[#This Row],[PM Hi]]-Table13[[#This Row],[Lowest lo from open to squeeze]])/(Table13[[#This Row],[PM Hi]]-Table13[[#This Row],[Prior day close]])))),IF($J115&gt;=$F115,($J115-$K115)/($J115-Table13[[#This Row],[PM LO]]),(IF($H115&lt;=$K115,($F115-$H115)/($F115-Table13[[#This Row],[PM LO]]),(Table13[[#This Row],[PM Hi]]-Table13[[#This Row],[Lowest lo from open to squeeze]])/(Table13[[#This Row],[PM Hi]]-Table13[[#This Row],[PM LO]])))))</f>
        <v>#DIV/0!</v>
      </c>
      <c r="AP115" s="18"/>
      <c r="AQ115" s="17">
        <f>390+Table13[[#This Row],[Time until ideal entry point (mins) from open]]</f>
        <v>390</v>
      </c>
      <c r="AR115" s="17">
        <f>Table13[[#This Row],[Time until ideal entry + 390 (6:30)]]+Table13[[#This Row],[Duration of frontside (mins)]]</f>
        <v>390</v>
      </c>
    </row>
    <row r="116" spans="1:44" hidden="1" x14ac:dyDescent="0.25">
      <c r="A116" s="24" t="s">
        <v>159</v>
      </c>
      <c r="B116" s="47">
        <v>43837</v>
      </c>
      <c r="C116" s="47" t="s">
        <v>143</v>
      </c>
      <c r="D116" s="12"/>
      <c r="E116" s="13"/>
      <c r="F116" s="12"/>
      <c r="G116" s="12"/>
      <c r="H116" s="12"/>
      <c r="I116" s="12"/>
      <c r="J116" s="12"/>
      <c r="K116" s="12"/>
      <c r="N116" s="13"/>
      <c r="P116" s="37"/>
      <c r="Q116" s="46"/>
      <c r="R116" s="37"/>
      <c r="S116" s="37"/>
      <c r="T116" s="37"/>
      <c r="U116" s="37"/>
      <c r="V116" s="38"/>
      <c r="W116" s="46"/>
      <c r="X116" s="37"/>
      <c r="Y116" s="46"/>
      <c r="Z116" s="41">
        <f>Table13[[#This Row],[Time until ideal entry + 390 (6:30)]]/(1440)</f>
        <v>0.27083333333333331</v>
      </c>
      <c r="AA116" s="18"/>
      <c r="AB116" s="18" t="e">
        <f>IF(Table13[[#This Row],[HOD AFTER PM HI]]&gt;=Table13[[#This Row],[PM Hi]],((Table13[[#This Row],[HOD AFTER PM HI]]-Table13[[#This Row],[Prior day close]])/Table13[[#This Row],[Prior day close]]),Table13[[#This Row],[Prior Close to PM Hi %]])</f>
        <v>#DIV/0!</v>
      </c>
      <c r="AC116" s="42" t="e">
        <f>(Table13[[#This Row],[Price at hi of squeeze]]-Table13[[#This Row],[MKT Open Price]])/Table13[[#This Row],[MKT Open Price]]</f>
        <v>#DIV/0!</v>
      </c>
      <c r="AD116" s="18" t="e">
        <f>(Table13[[#This Row],[Price at hi of squeeze]]-Table13[[#This Row],[PM Hi]])/Table13[[#This Row],[PM Hi]]</f>
        <v>#DIV/0!</v>
      </c>
      <c r="AE116" s="18"/>
      <c r="AF116" s="20" t="e">
        <f>Table13[[#This Row],[PM VOL]]/1000000/Table13[[#This Row],[FLOAT(M)]]</f>
        <v>#DIV/0!</v>
      </c>
      <c r="AG116" s="23" t="e">
        <f>(Table13[[#This Row],[Volume]]/1000000)/Table13[[#This Row],[FLOAT(M)]]</f>
        <v>#DIV/0!</v>
      </c>
      <c r="AI116" s="18" t="e">
        <f>(Table13[[#This Row],[PM Hi]]-Table13[[#This Row],[MKT Open Price]])/(Table13[[#This Row],[PM Hi]])</f>
        <v>#DIV/0!</v>
      </c>
      <c r="AJ116" s="18" t="e">
        <f>IF(Table13[[#This Row],[PM LO]]&gt;Table13[[#This Row],[Prior day close]],(Table13[[#This Row],[PM Hi]]-Table13[[#This Row],[MKT Open Price]])/(Table13[[#This Row],[PM Hi]]-Table13[[#This Row],[Prior day close]]),(Table13[[#This Row],[PM Hi]]-Table13[[#This Row],[MKT Open Price]])/(Table13[[#This Row],[PM Hi]]-Table13[[#This Row],[PM LO]]))</f>
        <v>#DIV/0!</v>
      </c>
      <c r="AK116" s="48" t="e">
        <f>IF(Table13[[#This Row],[Prior day close]]&lt;Table13[[#This Row],[PM LO]],(I116-K116)/(I116-Table13[[#This Row],[Prior day close]]),(I116-K116)/(I116-Table13[[#This Row],[PM LO]]))</f>
        <v>#DIV/0!</v>
      </c>
      <c r="AL116" s="48">
        <f>Table13[[#This Row],[Spike % on open before drop]]+AM116</f>
        <v>0</v>
      </c>
      <c r="AM116" s="16"/>
      <c r="AN116" s="16"/>
      <c r="AO116" s="48" t="e">
        <f>IF(Table13[[#This Row],[Prior day close]]&lt;=Table13[[#This Row],[PM LO]],IF($J116&gt;=$F116,($J116-$K116)/($J116-Table13[[#This Row],[Prior day close]]),(IF($H116&lt;=$K116,($F116-$H116)/($F116-Table13[[#This Row],[Prior day close]]),(Table13[[#This Row],[PM Hi]]-Table13[[#This Row],[Lowest lo from open to squeeze]])/(Table13[[#This Row],[PM Hi]]-Table13[[#This Row],[Prior day close]])))),IF($J116&gt;=$F116,($J116-$K116)/($J116-Table13[[#This Row],[PM LO]]),(IF($H116&lt;=$K116,($F116-$H116)/($F116-Table13[[#This Row],[PM LO]]),(Table13[[#This Row],[PM Hi]]-Table13[[#This Row],[Lowest lo from open to squeeze]])/(Table13[[#This Row],[PM Hi]]-Table13[[#This Row],[PM LO]])))))</f>
        <v>#DIV/0!</v>
      </c>
      <c r="AP116" s="18"/>
      <c r="AQ116" s="17">
        <f>390+Table13[[#This Row],[Time until ideal entry point (mins) from open]]</f>
        <v>390</v>
      </c>
      <c r="AR116" s="17">
        <f>Table13[[#This Row],[Time until ideal entry + 390 (6:30)]]+Table13[[#This Row],[Duration of frontside (mins)]]</f>
        <v>390</v>
      </c>
    </row>
    <row r="117" spans="1:44" hidden="1" x14ac:dyDescent="0.25">
      <c r="A117" s="24" t="s">
        <v>160</v>
      </c>
      <c r="B117" s="47">
        <v>44213</v>
      </c>
      <c r="C117" s="47" t="s">
        <v>143</v>
      </c>
      <c r="D117" s="12"/>
      <c r="E117" s="13"/>
      <c r="F117" s="12"/>
      <c r="G117" s="12"/>
      <c r="H117" s="12"/>
      <c r="I117" s="12"/>
      <c r="J117" s="12"/>
      <c r="K117" s="12"/>
      <c r="N117" s="13"/>
      <c r="P117" s="37"/>
      <c r="Q117" s="46"/>
      <c r="R117" s="37"/>
      <c r="S117" s="37"/>
      <c r="T117" s="37"/>
      <c r="U117" s="37"/>
      <c r="V117" s="38"/>
      <c r="W117" s="46"/>
      <c r="X117" s="37"/>
      <c r="Y117" s="46"/>
      <c r="Z117" s="41">
        <f>Table13[[#This Row],[Time until ideal entry + 390 (6:30)]]/(1440)</f>
        <v>0.27083333333333331</v>
      </c>
      <c r="AA117" s="18"/>
      <c r="AB117" s="18" t="e">
        <f>IF(Table13[[#This Row],[HOD AFTER PM HI]]&gt;=Table13[[#This Row],[PM Hi]],((Table13[[#This Row],[HOD AFTER PM HI]]-Table13[[#This Row],[Prior day close]])/Table13[[#This Row],[Prior day close]]),Table13[[#This Row],[Prior Close to PM Hi %]])</f>
        <v>#DIV/0!</v>
      </c>
      <c r="AC117" s="42" t="e">
        <f>(Table13[[#This Row],[Price at hi of squeeze]]-Table13[[#This Row],[MKT Open Price]])/Table13[[#This Row],[MKT Open Price]]</f>
        <v>#DIV/0!</v>
      </c>
      <c r="AD117" s="18" t="e">
        <f>(Table13[[#This Row],[Price at hi of squeeze]]-Table13[[#This Row],[PM Hi]])/Table13[[#This Row],[PM Hi]]</f>
        <v>#DIV/0!</v>
      </c>
      <c r="AE117" s="18"/>
      <c r="AF117" s="20" t="e">
        <f>Table13[[#This Row],[PM VOL]]/1000000/Table13[[#This Row],[FLOAT(M)]]</f>
        <v>#DIV/0!</v>
      </c>
      <c r="AG117" s="23" t="e">
        <f>(Table13[[#This Row],[Volume]]/1000000)/Table13[[#This Row],[FLOAT(M)]]</f>
        <v>#DIV/0!</v>
      </c>
      <c r="AI117" s="18" t="e">
        <f>(Table13[[#This Row],[PM Hi]]-Table13[[#This Row],[MKT Open Price]])/(Table13[[#This Row],[PM Hi]])</f>
        <v>#DIV/0!</v>
      </c>
      <c r="AJ117" s="18" t="e">
        <f>IF(Table13[[#This Row],[PM LO]]&gt;Table13[[#This Row],[Prior day close]],(Table13[[#This Row],[PM Hi]]-Table13[[#This Row],[MKT Open Price]])/(Table13[[#This Row],[PM Hi]]-Table13[[#This Row],[Prior day close]]),(Table13[[#This Row],[PM Hi]]-Table13[[#This Row],[MKT Open Price]])/(Table13[[#This Row],[PM Hi]]-Table13[[#This Row],[PM LO]]))</f>
        <v>#DIV/0!</v>
      </c>
      <c r="AK117" s="48" t="e">
        <f>IF(Table13[[#This Row],[Prior day close]]&lt;Table13[[#This Row],[PM LO]],(I117-K117)/(I117-Table13[[#This Row],[Prior day close]]),(I117-K117)/(I117-Table13[[#This Row],[PM LO]]))</f>
        <v>#DIV/0!</v>
      </c>
      <c r="AL117" s="48">
        <f>Table13[[#This Row],[Spike % on open before drop]]+AM117</f>
        <v>0</v>
      </c>
      <c r="AM117" s="16"/>
      <c r="AN117" s="16"/>
      <c r="AO117" s="48" t="e">
        <f>IF(Table13[[#This Row],[Prior day close]]&lt;=Table13[[#This Row],[PM LO]],IF($J117&gt;=$F117,($J117-$K117)/($J117-Table13[[#This Row],[Prior day close]]),(IF($H117&lt;=$K117,($F117-$H117)/($F117-Table13[[#This Row],[Prior day close]]),(Table13[[#This Row],[PM Hi]]-Table13[[#This Row],[Lowest lo from open to squeeze]])/(Table13[[#This Row],[PM Hi]]-Table13[[#This Row],[Prior day close]])))),IF($J117&gt;=$F117,($J117-$K117)/($J117-Table13[[#This Row],[PM LO]]),(IF($H117&lt;=$K117,($F117-$H117)/($F117-Table13[[#This Row],[PM LO]]),(Table13[[#This Row],[PM Hi]]-Table13[[#This Row],[Lowest lo from open to squeeze]])/(Table13[[#This Row],[PM Hi]]-Table13[[#This Row],[PM LO]])))))</f>
        <v>#DIV/0!</v>
      </c>
      <c r="AP117" s="18"/>
      <c r="AQ117" s="17">
        <f>390+Table13[[#This Row],[Time until ideal entry point (mins) from open]]</f>
        <v>390</v>
      </c>
      <c r="AR117" s="17">
        <f>Table13[[#This Row],[Time until ideal entry + 390 (6:30)]]+Table13[[#This Row],[Duration of frontside (mins)]]</f>
        <v>390</v>
      </c>
    </row>
    <row r="118" spans="1:44" hidden="1" x14ac:dyDescent="0.25">
      <c r="A118" s="24" t="s">
        <v>161</v>
      </c>
      <c r="B118" s="47">
        <v>44217</v>
      </c>
      <c r="C118" s="47" t="s">
        <v>143</v>
      </c>
      <c r="D118" s="12"/>
      <c r="E118" s="13"/>
      <c r="F118" s="12"/>
      <c r="G118" s="12"/>
      <c r="H118" s="12"/>
      <c r="I118" s="12"/>
      <c r="J118" s="12"/>
      <c r="K118" s="12"/>
      <c r="N118" s="13"/>
      <c r="P118" s="37"/>
      <c r="Q118" s="46"/>
      <c r="R118" s="37"/>
      <c r="S118" s="37"/>
      <c r="T118" s="37"/>
      <c r="U118" s="37"/>
      <c r="V118" s="38"/>
      <c r="W118" s="46"/>
      <c r="X118" s="37"/>
      <c r="Y118" s="46"/>
      <c r="Z118" s="41">
        <f>Table13[[#This Row],[Time until ideal entry + 390 (6:30)]]/(1440)</f>
        <v>0.27083333333333331</v>
      </c>
      <c r="AA118" s="18"/>
      <c r="AB118" s="18" t="e">
        <f>IF(Table13[[#This Row],[HOD AFTER PM HI]]&gt;=Table13[[#This Row],[PM Hi]],((Table13[[#This Row],[HOD AFTER PM HI]]-Table13[[#This Row],[Prior day close]])/Table13[[#This Row],[Prior day close]]),Table13[[#This Row],[Prior Close to PM Hi %]])</f>
        <v>#DIV/0!</v>
      </c>
      <c r="AC118" s="42" t="e">
        <f>(Table13[[#This Row],[Price at hi of squeeze]]-Table13[[#This Row],[MKT Open Price]])/Table13[[#This Row],[MKT Open Price]]</f>
        <v>#DIV/0!</v>
      </c>
      <c r="AD118" s="18" t="e">
        <f>(Table13[[#This Row],[Price at hi of squeeze]]-Table13[[#This Row],[PM Hi]])/Table13[[#This Row],[PM Hi]]</f>
        <v>#DIV/0!</v>
      </c>
      <c r="AE118" s="18"/>
      <c r="AF118" s="20" t="e">
        <f>Table13[[#This Row],[PM VOL]]/1000000/Table13[[#This Row],[FLOAT(M)]]</f>
        <v>#DIV/0!</v>
      </c>
      <c r="AG118" s="23" t="e">
        <f>(Table13[[#This Row],[Volume]]/1000000)/Table13[[#This Row],[FLOAT(M)]]</f>
        <v>#DIV/0!</v>
      </c>
      <c r="AI118" s="18" t="e">
        <f>(Table13[[#This Row],[PM Hi]]-Table13[[#This Row],[MKT Open Price]])/(Table13[[#This Row],[PM Hi]])</f>
        <v>#DIV/0!</v>
      </c>
      <c r="AJ118" s="18" t="e">
        <f>IF(Table13[[#This Row],[PM LO]]&gt;Table13[[#This Row],[Prior day close]],(Table13[[#This Row],[PM Hi]]-Table13[[#This Row],[MKT Open Price]])/(Table13[[#This Row],[PM Hi]]-Table13[[#This Row],[Prior day close]]),(Table13[[#This Row],[PM Hi]]-Table13[[#This Row],[MKT Open Price]])/(Table13[[#This Row],[PM Hi]]-Table13[[#This Row],[PM LO]]))</f>
        <v>#DIV/0!</v>
      </c>
      <c r="AK118" s="48" t="e">
        <f>IF(Table13[[#This Row],[Prior day close]]&lt;Table13[[#This Row],[PM LO]],(I118-K118)/(I118-Table13[[#This Row],[Prior day close]]),(I118-K118)/(I118-Table13[[#This Row],[PM LO]]))</f>
        <v>#DIV/0!</v>
      </c>
      <c r="AL118" s="48">
        <f>Table13[[#This Row],[Spike % on open before drop]]+AM118</f>
        <v>0</v>
      </c>
      <c r="AM118" s="16"/>
      <c r="AN118" s="16"/>
      <c r="AO118" s="48" t="e">
        <f>IF(Table13[[#This Row],[Prior day close]]&lt;=Table13[[#This Row],[PM LO]],IF($J118&gt;=$F118,($J118-$K118)/($J118-Table13[[#This Row],[Prior day close]]),(IF($H118&lt;=$K118,($F118-$H118)/($F118-Table13[[#This Row],[Prior day close]]),(Table13[[#This Row],[PM Hi]]-Table13[[#This Row],[Lowest lo from open to squeeze]])/(Table13[[#This Row],[PM Hi]]-Table13[[#This Row],[Prior day close]])))),IF($J118&gt;=$F118,($J118-$K118)/($J118-Table13[[#This Row],[PM LO]]),(IF($H118&lt;=$K118,($F118-$H118)/($F118-Table13[[#This Row],[PM LO]]),(Table13[[#This Row],[PM Hi]]-Table13[[#This Row],[Lowest lo from open to squeeze]])/(Table13[[#This Row],[PM Hi]]-Table13[[#This Row],[PM LO]])))))</f>
        <v>#DIV/0!</v>
      </c>
      <c r="AP118" s="18"/>
      <c r="AQ118" s="17">
        <f>390+Table13[[#This Row],[Time until ideal entry point (mins) from open]]</f>
        <v>390</v>
      </c>
      <c r="AR118" s="17">
        <f>Table13[[#This Row],[Time until ideal entry + 390 (6:30)]]+Table13[[#This Row],[Duration of frontside (mins)]]</f>
        <v>390</v>
      </c>
    </row>
    <row r="119" spans="1:44" hidden="1" x14ac:dyDescent="0.25">
      <c r="A119" s="24" t="s">
        <v>162</v>
      </c>
      <c r="B119" s="45">
        <v>44219</v>
      </c>
      <c r="C119" s="47" t="s">
        <v>143</v>
      </c>
      <c r="D119" s="12"/>
      <c r="E119" s="13"/>
      <c r="F119" s="12"/>
      <c r="G119" s="12"/>
      <c r="H119" s="12"/>
      <c r="I119" s="12"/>
      <c r="J119" s="12"/>
      <c r="K119" s="12"/>
      <c r="N119" s="13"/>
      <c r="P119" s="37"/>
      <c r="Q119" s="46"/>
      <c r="R119" s="37"/>
      <c r="S119" s="37"/>
      <c r="T119" s="37"/>
      <c r="U119" s="37"/>
      <c r="V119" s="38"/>
      <c r="W119" s="46"/>
      <c r="X119" s="37"/>
      <c r="Y119" s="46"/>
      <c r="Z119" s="41">
        <f>Table13[[#This Row],[Time until ideal entry + 390 (6:30)]]/(1440)</f>
        <v>0.27083333333333331</v>
      </c>
      <c r="AA119" s="18"/>
      <c r="AB119" s="18" t="e">
        <f>IF(Table13[[#This Row],[HOD AFTER PM HI]]&gt;=Table13[[#This Row],[PM Hi]],((Table13[[#This Row],[HOD AFTER PM HI]]-Table13[[#This Row],[Prior day close]])/Table13[[#This Row],[Prior day close]]),Table13[[#This Row],[Prior Close to PM Hi %]])</f>
        <v>#DIV/0!</v>
      </c>
      <c r="AC119" s="42" t="e">
        <f>(Table13[[#This Row],[Price at hi of squeeze]]-Table13[[#This Row],[MKT Open Price]])/Table13[[#This Row],[MKT Open Price]]</f>
        <v>#DIV/0!</v>
      </c>
      <c r="AD119" s="18" t="e">
        <f>(Table13[[#This Row],[Price at hi of squeeze]]-Table13[[#This Row],[PM Hi]])/Table13[[#This Row],[PM Hi]]</f>
        <v>#DIV/0!</v>
      </c>
      <c r="AE119" s="18"/>
      <c r="AF119" s="20" t="e">
        <f>Table13[[#This Row],[PM VOL]]/1000000/Table13[[#This Row],[FLOAT(M)]]</f>
        <v>#DIV/0!</v>
      </c>
      <c r="AG119" s="23" t="e">
        <f>(Table13[[#This Row],[Volume]]/1000000)/Table13[[#This Row],[FLOAT(M)]]</f>
        <v>#DIV/0!</v>
      </c>
      <c r="AI119" s="18" t="e">
        <f>(Table13[[#This Row],[PM Hi]]-Table13[[#This Row],[MKT Open Price]])/(Table13[[#This Row],[PM Hi]])</f>
        <v>#DIV/0!</v>
      </c>
      <c r="AJ119" s="18" t="e">
        <f>IF(Table13[[#This Row],[PM LO]]&gt;Table13[[#This Row],[Prior day close]],(Table13[[#This Row],[PM Hi]]-Table13[[#This Row],[MKT Open Price]])/(Table13[[#This Row],[PM Hi]]-Table13[[#This Row],[Prior day close]]),(Table13[[#This Row],[PM Hi]]-Table13[[#This Row],[MKT Open Price]])/(Table13[[#This Row],[PM Hi]]-Table13[[#This Row],[PM LO]]))</f>
        <v>#DIV/0!</v>
      </c>
      <c r="AK119" s="48" t="e">
        <f>IF(Table13[[#This Row],[Prior day close]]&lt;Table13[[#This Row],[PM LO]],(I119-K119)/(I119-Table13[[#This Row],[Prior day close]]),(I119-K119)/(I119-Table13[[#This Row],[PM LO]]))</f>
        <v>#DIV/0!</v>
      </c>
      <c r="AL119" s="48">
        <f>Table13[[#This Row],[Spike % on open before drop]]+AM119</f>
        <v>0</v>
      </c>
      <c r="AM119" s="16"/>
      <c r="AN119" s="16"/>
      <c r="AO119" s="48" t="e">
        <f>IF(Table13[[#This Row],[Prior day close]]&lt;=Table13[[#This Row],[PM LO]],IF($J119&gt;=$F119,($J119-$K119)/($J119-Table13[[#This Row],[Prior day close]]),(IF($H119&lt;=$K119,($F119-$H119)/($F119-Table13[[#This Row],[Prior day close]]),(Table13[[#This Row],[PM Hi]]-Table13[[#This Row],[Lowest lo from open to squeeze]])/(Table13[[#This Row],[PM Hi]]-Table13[[#This Row],[Prior day close]])))),IF($J119&gt;=$F119,($J119-$K119)/($J119-Table13[[#This Row],[PM LO]]),(IF($H119&lt;=$K119,($F119-$H119)/($F119-Table13[[#This Row],[PM LO]]),(Table13[[#This Row],[PM Hi]]-Table13[[#This Row],[Lowest lo from open to squeeze]])/(Table13[[#This Row],[PM Hi]]-Table13[[#This Row],[PM LO]])))))</f>
        <v>#DIV/0!</v>
      </c>
      <c r="AP119" s="18"/>
      <c r="AQ119" s="17">
        <f>390+Table13[[#This Row],[Time until ideal entry point (mins) from open]]</f>
        <v>390</v>
      </c>
      <c r="AR119" s="17">
        <f>Table13[[#This Row],[Time until ideal entry + 390 (6:30)]]+Table13[[#This Row],[Duration of frontside (mins)]]</f>
        <v>390</v>
      </c>
    </row>
    <row r="120" spans="1:44" hidden="1" x14ac:dyDescent="0.25">
      <c r="A120" s="24" t="s">
        <v>243</v>
      </c>
      <c r="B120" s="47">
        <v>44221</v>
      </c>
      <c r="C120" s="47" t="s">
        <v>71</v>
      </c>
      <c r="D120" s="12"/>
      <c r="E120" s="13"/>
      <c r="F120" s="12"/>
      <c r="G120" s="12"/>
      <c r="H120" s="12"/>
      <c r="I120" s="12"/>
      <c r="J120" s="12"/>
      <c r="K120" s="12"/>
      <c r="N120" s="13"/>
      <c r="P120" s="37"/>
      <c r="Q120" s="46"/>
      <c r="R120" s="37"/>
      <c r="S120" s="37"/>
      <c r="T120" s="37"/>
      <c r="U120" s="37"/>
      <c r="V120" s="38"/>
      <c r="W120" s="46"/>
      <c r="X120" s="37"/>
      <c r="Y120" s="46"/>
      <c r="Z120" s="41">
        <f>Table13[[#This Row],[Time until ideal entry + 390 (6:30)]]/(1440)</f>
        <v>0.27083333333333331</v>
      </c>
      <c r="AA120" s="18"/>
      <c r="AB120" s="18" t="e">
        <f>IF(Table13[[#This Row],[HOD AFTER PM HI]]&gt;=Table13[[#This Row],[PM Hi]],((Table13[[#This Row],[HOD AFTER PM HI]]-Table13[[#This Row],[Prior day close]])/Table13[[#This Row],[Prior day close]]),Table13[[#This Row],[Prior Close to PM Hi %]])</f>
        <v>#DIV/0!</v>
      </c>
      <c r="AC120" s="42" t="e">
        <f>(Table13[[#This Row],[Price at hi of squeeze]]-Table13[[#This Row],[MKT Open Price]])/Table13[[#This Row],[MKT Open Price]]</f>
        <v>#DIV/0!</v>
      </c>
      <c r="AD120" s="18" t="e">
        <f>(Table13[[#This Row],[Price at hi of squeeze]]-Table13[[#This Row],[PM Hi]])/Table13[[#This Row],[PM Hi]]</f>
        <v>#DIV/0!</v>
      </c>
      <c r="AE120" s="18"/>
      <c r="AF120" s="20" t="e">
        <f>Table13[[#This Row],[PM VOL]]/1000000/Table13[[#This Row],[FLOAT(M)]]</f>
        <v>#DIV/0!</v>
      </c>
      <c r="AG120" s="23" t="e">
        <f>(Table13[[#This Row],[Volume]]/1000000)/Table13[[#This Row],[FLOAT(M)]]</f>
        <v>#DIV/0!</v>
      </c>
      <c r="AI120" s="18" t="e">
        <f>(Table13[[#This Row],[PM Hi]]-Table13[[#This Row],[MKT Open Price]])/(Table13[[#This Row],[PM Hi]])</f>
        <v>#DIV/0!</v>
      </c>
      <c r="AJ120" s="18" t="e">
        <f>IF(Table13[[#This Row],[PM LO]]&gt;Table13[[#This Row],[Prior day close]],(Table13[[#This Row],[PM Hi]]-Table13[[#This Row],[MKT Open Price]])/(Table13[[#This Row],[PM Hi]]-Table13[[#This Row],[Prior day close]]),(Table13[[#This Row],[PM Hi]]-Table13[[#This Row],[MKT Open Price]])/(Table13[[#This Row],[PM Hi]]-Table13[[#This Row],[PM LO]]))</f>
        <v>#DIV/0!</v>
      </c>
      <c r="AK120" s="48" t="e">
        <f>IF(Table13[[#This Row],[Prior day close]]&lt;Table13[[#This Row],[PM LO]],(I120-K120)/(I120-Table13[[#This Row],[Prior day close]]),(I120-K120)/(I120-Table13[[#This Row],[PM LO]]))</f>
        <v>#DIV/0!</v>
      </c>
      <c r="AL120" s="48">
        <f>Table13[[#This Row],[Spike % on open before drop]]+AM120</f>
        <v>0</v>
      </c>
      <c r="AM120" s="16"/>
      <c r="AN120" s="16"/>
      <c r="AO120" s="48" t="e">
        <f>IF(Table13[[#This Row],[Prior day close]]&lt;=Table13[[#This Row],[PM LO]],IF($J120&gt;=$F120,($J120-$K120)/($J120-Table13[[#This Row],[Prior day close]]),(IF($H120&lt;=$K120,($F120-$H120)/($F120-Table13[[#This Row],[Prior day close]]),(Table13[[#This Row],[PM Hi]]-Table13[[#This Row],[Lowest lo from open to squeeze]])/(Table13[[#This Row],[PM Hi]]-Table13[[#This Row],[Prior day close]])))),IF($J120&gt;=$F120,($J120-$K120)/($J120-Table13[[#This Row],[PM LO]]),(IF($H120&lt;=$K120,($F120-$H120)/($F120-Table13[[#This Row],[PM LO]]),(Table13[[#This Row],[PM Hi]]-Table13[[#This Row],[Lowest lo from open to squeeze]])/(Table13[[#This Row],[PM Hi]]-Table13[[#This Row],[PM LO]])))))</f>
        <v>#DIV/0!</v>
      </c>
      <c r="AP120" s="18"/>
      <c r="AQ120" s="17">
        <f>390+Table13[[#This Row],[Time until ideal entry point (mins) from open]]</f>
        <v>390</v>
      </c>
      <c r="AR120" s="17">
        <f>Table13[[#This Row],[Time until ideal entry + 390 (6:30)]]+Table13[[#This Row],[Duration of frontside (mins)]]</f>
        <v>390</v>
      </c>
    </row>
    <row r="121" spans="1:44" hidden="1" x14ac:dyDescent="0.25">
      <c r="A121" s="24" t="s">
        <v>163</v>
      </c>
      <c r="B121" s="47">
        <v>43874</v>
      </c>
      <c r="C121" s="47" t="s">
        <v>71</v>
      </c>
      <c r="D121" s="12"/>
      <c r="E121" s="13"/>
      <c r="F121" s="12"/>
      <c r="G121" s="12"/>
      <c r="H121" s="12"/>
      <c r="I121" s="12"/>
      <c r="J121" s="12"/>
      <c r="K121" s="12"/>
      <c r="N121" s="13"/>
      <c r="P121" s="37"/>
      <c r="Q121" s="46"/>
      <c r="R121" s="37"/>
      <c r="S121" s="37"/>
      <c r="T121" s="37"/>
      <c r="U121" s="37"/>
      <c r="V121" s="38"/>
      <c r="W121" s="46"/>
      <c r="X121" s="37"/>
      <c r="Y121" s="46"/>
      <c r="Z121" s="41">
        <f>Table13[[#This Row],[Time until ideal entry + 390 (6:30)]]/(1440)</f>
        <v>0.27083333333333331</v>
      </c>
      <c r="AA121" s="18"/>
      <c r="AB121" s="18" t="e">
        <f>IF(Table13[[#This Row],[HOD AFTER PM HI]]&gt;=Table13[[#This Row],[PM Hi]],((Table13[[#This Row],[HOD AFTER PM HI]]-Table13[[#This Row],[Prior day close]])/Table13[[#This Row],[Prior day close]]),Table13[[#This Row],[Prior Close to PM Hi %]])</f>
        <v>#DIV/0!</v>
      </c>
      <c r="AC121" s="42" t="e">
        <f>(Table13[[#This Row],[Price at hi of squeeze]]-Table13[[#This Row],[MKT Open Price]])/Table13[[#This Row],[MKT Open Price]]</f>
        <v>#DIV/0!</v>
      </c>
      <c r="AD121" s="18" t="e">
        <f>(Table13[[#This Row],[Price at hi of squeeze]]-Table13[[#This Row],[PM Hi]])/Table13[[#This Row],[PM Hi]]</f>
        <v>#DIV/0!</v>
      </c>
      <c r="AE121" s="18"/>
      <c r="AF121" s="20" t="e">
        <f>Table13[[#This Row],[PM VOL]]/1000000/Table13[[#This Row],[FLOAT(M)]]</f>
        <v>#DIV/0!</v>
      </c>
      <c r="AG121" s="23" t="e">
        <f>(Table13[[#This Row],[Volume]]/1000000)/Table13[[#This Row],[FLOAT(M)]]</f>
        <v>#DIV/0!</v>
      </c>
      <c r="AI121" s="18" t="e">
        <f>(Table13[[#This Row],[PM Hi]]-Table13[[#This Row],[MKT Open Price]])/(Table13[[#This Row],[PM Hi]])</f>
        <v>#DIV/0!</v>
      </c>
      <c r="AJ121" s="18" t="e">
        <f>IF(Table13[[#This Row],[PM LO]]&gt;Table13[[#This Row],[Prior day close]],(Table13[[#This Row],[PM Hi]]-Table13[[#This Row],[MKT Open Price]])/(Table13[[#This Row],[PM Hi]]-Table13[[#This Row],[Prior day close]]),(Table13[[#This Row],[PM Hi]]-Table13[[#This Row],[MKT Open Price]])/(Table13[[#This Row],[PM Hi]]-Table13[[#This Row],[PM LO]]))</f>
        <v>#DIV/0!</v>
      </c>
      <c r="AK121" s="48" t="e">
        <f>IF(Table13[[#This Row],[Prior day close]]&lt;Table13[[#This Row],[PM LO]],(I121-K121)/(I121-Table13[[#This Row],[Prior day close]]),(I121-K121)/(I121-Table13[[#This Row],[PM LO]]))</f>
        <v>#DIV/0!</v>
      </c>
      <c r="AL121" s="48">
        <f>Table13[[#This Row],[Spike % on open before drop]]+AM121</f>
        <v>0</v>
      </c>
      <c r="AM121" s="16"/>
      <c r="AN121" s="16"/>
      <c r="AO121" s="48" t="e">
        <f>IF(Table13[[#This Row],[Prior day close]]&lt;=Table13[[#This Row],[PM LO]],IF($J121&gt;=$F121,($J121-$K121)/($J121-Table13[[#This Row],[Prior day close]]),(IF($H121&lt;=$K121,($F121-$H121)/($F121-Table13[[#This Row],[Prior day close]]),(Table13[[#This Row],[PM Hi]]-Table13[[#This Row],[Lowest lo from open to squeeze]])/(Table13[[#This Row],[PM Hi]]-Table13[[#This Row],[Prior day close]])))),IF($J121&gt;=$F121,($J121-$K121)/($J121-Table13[[#This Row],[PM LO]]),(IF($H121&lt;=$K121,($F121-$H121)/($F121-Table13[[#This Row],[PM LO]]),(Table13[[#This Row],[PM Hi]]-Table13[[#This Row],[Lowest lo from open to squeeze]])/(Table13[[#This Row],[PM Hi]]-Table13[[#This Row],[PM LO]])))))</f>
        <v>#DIV/0!</v>
      </c>
      <c r="AP121" s="18"/>
      <c r="AQ121" s="17">
        <f>390+Table13[[#This Row],[Time until ideal entry point (mins) from open]]</f>
        <v>390</v>
      </c>
      <c r="AR121" s="17">
        <f>Table13[[#This Row],[Time until ideal entry + 390 (6:30)]]+Table13[[#This Row],[Duration of frontside (mins)]]</f>
        <v>390</v>
      </c>
    </row>
    <row r="122" spans="1:44" hidden="1" x14ac:dyDescent="0.25">
      <c r="A122" s="49" t="s">
        <v>92</v>
      </c>
      <c r="B122" s="47">
        <v>43880</v>
      </c>
      <c r="C122" s="47" t="s">
        <v>71</v>
      </c>
      <c r="D122" s="12"/>
      <c r="E122" s="13"/>
      <c r="F122" s="12"/>
      <c r="G122" s="12"/>
      <c r="H122" s="12"/>
      <c r="I122" s="12"/>
      <c r="J122" s="12"/>
      <c r="K122" s="12"/>
      <c r="N122" s="13"/>
      <c r="P122" s="37"/>
      <c r="Q122" s="46"/>
      <c r="R122" s="37"/>
      <c r="S122" s="37"/>
      <c r="T122" s="37"/>
      <c r="U122" s="37"/>
      <c r="V122" s="38"/>
      <c r="W122" s="46"/>
      <c r="X122" s="37"/>
      <c r="Y122" s="46"/>
      <c r="Z122" s="41">
        <f>Table13[[#This Row],[Time until ideal entry + 390 (6:30)]]/(1440)</f>
        <v>0.27083333333333331</v>
      </c>
      <c r="AA122" s="18"/>
      <c r="AB122" s="18" t="e">
        <f>IF(Table13[[#This Row],[HOD AFTER PM HI]]&gt;=Table13[[#This Row],[PM Hi]],((Table13[[#This Row],[HOD AFTER PM HI]]-Table13[[#This Row],[Prior day close]])/Table13[[#This Row],[Prior day close]]),Table13[[#This Row],[Prior Close to PM Hi %]])</f>
        <v>#DIV/0!</v>
      </c>
      <c r="AC122" s="42" t="e">
        <f>(Table13[[#This Row],[Price at hi of squeeze]]-Table13[[#This Row],[MKT Open Price]])/Table13[[#This Row],[MKT Open Price]]</f>
        <v>#DIV/0!</v>
      </c>
      <c r="AD122" s="18" t="e">
        <f>(Table13[[#This Row],[Price at hi of squeeze]]-Table13[[#This Row],[PM Hi]])/Table13[[#This Row],[PM Hi]]</f>
        <v>#DIV/0!</v>
      </c>
      <c r="AE122" s="18"/>
      <c r="AF122" s="20" t="e">
        <f>Table13[[#This Row],[PM VOL]]/1000000/Table13[[#This Row],[FLOAT(M)]]</f>
        <v>#DIV/0!</v>
      </c>
      <c r="AG122" s="23" t="e">
        <f>(Table13[[#This Row],[Volume]]/1000000)/Table13[[#This Row],[FLOAT(M)]]</f>
        <v>#DIV/0!</v>
      </c>
      <c r="AI122" s="18" t="e">
        <f>(Table13[[#This Row],[PM Hi]]-Table13[[#This Row],[MKT Open Price]])/(Table13[[#This Row],[PM Hi]])</f>
        <v>#DIV/0!</v>
      </c>
      <c r="AJ122" s="18" t="e">
        <f>IF(Table13[[#This Row],[PM LO]]&gt;Table13[[#This Row],[Prior day close]],(Table13[[#This Row],[PM Hi]]-Table13[[#This Row],[MKT Open Price]])/(Table13[[#This Row],[PM Hi]]-Table13[[#This Row],[Prior day close]]),(Table13[[#This Row],[PM Hi]]-Table13[[#This Row],[MKT Open Price]])/(Table13[[#This Row],[PM Hi]]-Table13[[#This Row],[PM LO]]))</f>
        <v>#DIV/0!</v>
      </c>
      <c r="AK122" s="48" t="e">
        <f>IF(Table13[[#This Row],[Prior day close]]&lt;Table13[[#This Row],[PM LO]],(I122-K122)/(I122-Table13[[#This Row],[Prior day close]]),(I122-K122)/(I122-Table13[[#This Row],[PM LO]]))</f>
        <v>#DIV/0!</v>
      </c>
      <c r="AL122" s="48">
        <f>Table13[[#This Row],[Spike % on open before drop]]+AM122</f>
        <v>0</v>
      </c>
      <c r="AM122" s="16"/>
      <c r="AN122" s="16"/>
      <c r="AO122" s="48" t="e">
        <f>IF(Table13[[#This Row],[Prior day close]]&lt;=Table13[[#This Row],[PM LO]],IF($J122&gt;=$F122,($J122-$K122)/($J122-Table13[[#This Row],[Prior day close]]),(IF($H122&lt;=$K122,($F122-$H122)/($F122-Table13[[#This Row],[Prior day close]]),(Table13[[#This Row],[PM Hi]]-Table13[[#This Row],[Lowest lo from open to squeeze]])/(Table13[[#This Row],[PM Hi]]-Table13[[#This Row],[Prior day close]])))),IF($J122&gt;=$F122,($J122-$K122)/($J122-Table13[[#This Row],[PM LO]]),(IF($H122&lt;=$K122,($F122-$H122)/($F122-Table13[[#This Row],[PM LO]]),(Table13[[#This Row],[PM Hi]]-Table13[[#This Row],[Lowest lo from open to squeeze]])/(Table13[[#This Row],[PM Hi]]-Table13[[#This Row],[PM LO]])))))</f>
        <v>#DIV/0!</v>
      </c>
      <c r="AP122" s="18"/>
      <c r="AQ122" s="17">
        <f>390+Table13[[#This Row],[Time until ideal entry point (mins) from open]]</f>
        <v>390</v>
      </c>
      <c r="AR122" s="17">
        <f>Table13[[#This Row],[Time until ideal entry + 390 (6:30)]]+Table13[[#This Row],[Duration of frontside (mins)]]</f>
        <v>390</v>
      </c>
    </row>
    <row r="123" spans="1:44" hidden="1" x14ac:dyDescent="0.25">
      <c r="A123" s="24" t="s">
        <v>164</v>
      </c>
      <c r="B123" s="47">
        <v>43887</v>
      </c>
      <c r="C123" s="47" t="s">
        <v>71</v>
      </c>
      <c r="D123" s="12"/>
      <c r="E123" s="13"/>
      <c r="F123" s="12"/>
      <c r="G123" s="12"/>
      <c r="H123" s="12"/>
      <c r="I123" s="12"/>
      <c r="J123" s="12"/>
      <c r="K123" s="12"/>
      <c r="N123" s="13"/>
      <c r="P123" s="37"/>
      <c r="Q123" s="46"/>
      <c r="R123" s="37"/>
      <c r="S123" s="37"/>
      <c r="T123" s="37"/>
      <c r="U123" s="37"/>
      <c r="V123" s="38"/>
      <c r="W123" s="46"/>
      <c r="X123" s="37"/>
      <c r="Y123" s="46"/>
      <c r="Z123" s="41">
        <f>Table13[[#This Row],[Time until ideal entry + 390 (6:30)]]/(1440)</f>
        <v>0.27083333333333331</v>
      </c>
      <c r="AA123" s="18"/>
      <c r="AB123" s="18" t="e">
        <f>IF(Table13[[#This Row],[HOD AFTER PM HI]]&gt;=Table13[[#This Row],[PM Hi]],((Table13[[#This Row],[HOD AFTER PM HI]]-Table13[[#This Row],[Prior day close]])/Table13[[#This Row],[Prior day close]]),Table13[[#This Row],[Prior Close to PM Hi %]])</f>
        <v>#DIV/0!</v>
      </c>
      <c r="AC123" s="42" t="e">
        <f>(Table13[[#This Row],[Price at hi of squeeze]]-Table13[[#This Row],[MKT Open Price]])/Table13[[#This Row],[MKT Open Price]]</f>
        <v>#DIV/0!</v>
      </c>
      <c r="AD123" s="18" t="e">
        <f>(Table13[[#This Row],[Price at hi of squeeze]]-Table13[[#This Row],[PM Hi]])/Table13[[#This Row],[PM Hi]]</f>
        <v>#DIV/0!</v>
      </c>
      <c r="AE123" s="18"/>
      <c r="AF123" s="20" t="e">
        <f>Table13[[#This Row],[PM VOL]]/1000000/Table13[[#This Row],[FLOAT(M)]]</f>
        <v>#DIV/0!</v>
      </c>
      <c r="AG123" s="23" t="e">
        <f>(Table13[[#This Row],[Volume]]/1000000)/Table13[[#This Row],[FLOAT(M)]]</f>
        <v>#DIV/0!</v>
      </c>
      <c r="AI123" s="18" t="e">
        <f>(Table13[[#This Row],[PM Hi]]-Table13[[#This Row],[MKT Open Price]])/(Table13[[#This Row],[PM Hi]])</f>
        <v>#DIV/0!</v>
      </c>
      <c r="AJ123" s="18" t="e">
        <f>IF(Table13[[#This Row],[PM LO]]&gt;Table13[[#This Row],[Prior day close]],(Table13[[#This Row],[PM Hi]]-Table13[[#This Row],[MKT Open Price]])/(Table13[[#This Row],[PM Hi]]-Table13[[#This Row],[Prior day close]]),(Table13[[#This Row],[PM Hi]]-Table13[[#This Row],[MKT Open Price]])/(Table13[[#This Row],[PM Hi]]-Table13[[#This Row],[PM LO]]))</f>
        <v>#DIV/0!</v>
      </c>
      <c r="AK123" s="48" t="e">
        <f>IF(Table13[[#This Row],[Prior day close]]&lt;Table13[[#This Row],[PM LO]],(I123-K123)/(I123-Table13[[#This Row],[Prior day close]]),(I123-K123)/(I123-Table13[[#This Row],[PM LO]]))</f>
        <v>#DIV/0!</v>
      </c>
      <c r="AL123" s="48">
        <f>Table13[[#This Row],[Spike % on open before drop]]+AM123</f>
        <v>0</v>
      </c>
      <c r="AM123" s="16"/>
      <c r="AN123" s="16"/>
      <c r="AO123" s="48" t="e">
        <f>IF(Table13[[#This Row],[Prior day close]]&lt;=Table13[[#This Row],[PM LO]],IF($J123&gt;=$F123,($J123-$K123)/($J123-Table13[[#This Row],[Prior day close]]),(IF($H123&lt;=$K123,($F123-$H123)/($F123-Table13[[#This Row],[Prior day close]]),(Table13[[#This Row],[PM Hi]]-Table13[[#This Row],[Lowest lo from open to squeeze]])/(Table13[[#This Row],[PM Hi]]-Table13[[#This Row],[Prior day close]])))),IF($J123&gt;=$F123,($J123-$K123)/($J123-Table13[[#This Row],[PM LO]]),(IF($H123&lt;=$K123,($F123-$H123)/($F123-Table13[[#This Row],[PM LO]]),(Table13[[#This Row],[PM Hi]]-Table13[[#This Row],[Lowest lo from open to squeeze]])/(Table13[[#This Row],[PM Hi]]-Table13[[#This Row],[PM LO]])))))</f>
        <v>#DIV/0!</v>
      </c>
      <c r="AP123" s="18"/>
      <c r="AQ123" s="17">
        <f>390+Table13[[#This Row],[Time until ideal entry point (mins) from open]]</f>
        <v>390</v>
      </c>
      <c r="AR123" s="17">
        <f>Table13[[#This Row],[Time until ideal entry + 390 (6:30)]]+Table13[[#This Row],[Duration of frontside (mins)]]</f>
        <v>390</v>
      </c>
    </row>
    <row r="124" spans="1:44" hidden="1" x14ac:dyDescent="0.25">
      <c r="A124" s="24" t="s">
        <v>165</v>
      </c>
      <c r="B124" s="47">
        <v>43888</v>
      </c>
      <c r="C124" s="47" t="s">
        <v>143</v>
      </c>
      <c r="D124" s="12"/>
      <c r="E124" s="13"/>
      <c r="F124" s="12"/>
      <c r="G124" s="12"/>
      <c r="H124" s="12"/>
      <c r="I124" s="12"/>
      <c r="J124" s="12"/>
      <c r="K124" s="12"/>
      <c r="N124" s="13"/>
      <c r="P124" s="37"/>
      <c r="Q124" s="46"/>
      <c r="R124" s="37"/>
      <c r="S124" s="37"/>
      <c r="T124" s="37"/>
      <c r="U124" s="37"/>
      <c r="V124" s="38"/>
      <c r="W124" s="46"/>
      <c r="X124" s="37"/>
      <c r="Y124" s="46"/>
      <c r="Z124" s="41">
        <f>Table13[[#This Row],[Time until ideal entry + 390 (6:30)]]/(1440)</f>
        <v>0.27083333333333331</v>
      </c>
      <c r="AA124" s="18"/>
      <c r="AB124" s="18" t="e">
        <f>IF(Table13[[#This Row],[HOD AFTER PM HI]]&gt;=Table13[[#This Row],[PM Hi]],((Table13[[#This Row],[HOD AFTER PM HI]]-Table13[[#This Row],[Prior day close]])/Table13[[#This Row],[Prior day close]]),Table13[[#This Row],[Prior Close to PM Hi %]])</f>
        <v>#DIV/0!</v>
      </c>
      <c r="AC124" s="42" t="e">
        <f>(Table13[[#This Row],[Price at hi of squeeze]]-Table13[[#This Row],[MKT Open Price]])/Table13[[#This Row],[MKT Open Price]]</f>
        <v>#DIV/0!</v>
      </c>
      <c r="AD124" s="18" t="e">
        <f>(Table13[[#This Row],[Price at hi of squeeze]]-Table13[[#This Row],[PM Hi]])/Table13[[#This Row],[PM Hi]]</f>
        <v>#DIV/0!</v>
      </c>
      <c r="AE124" s="18"/>
      <c r="AF124" s="20" t="e">
        <f>Table13[[#This Row],[PM VOL]]/1000000/Table13[[#This Row],[FLOAT(M)]]</f>
        <v>#DIV/0!</v>
      </c>
      <c r="AG124" s="23" t="e">
        <f>(Table13[[#This Row],[Volume]]/1000000)/Table13[[#This Row],[FLOAT(M)]]</f>
        <v>#DIV/0!</v>
      </c>
      <c r="AI124" s="18" t="e">
        <f>(Table13[[#This Row],[PM Hi]]-Table13[[#This Row],[MKT Open Price]])/(Table13[[#This Row],[PM Hi]])</f>
        <v>#DIV/0!</v>
      </c>
      <c r="AJ124" s="18" t="e">
        <f>IF(Table13[[#This Row],[PM LO]]&gt;Table13[[#This Row],[Prior day close]],(Table13[[#This Row],[PM Hi]]-Table13[[#This Row],[MKT Open Price]])/(Table13[[#This Row],[PM Hi]]-Table13[[#This Row],[Prior day close]]),(Table13[[#This Row],[PM Hi]]-Table13[[#This Row],[MKT Open Price]])/(Table13[[#This Row],[PM Hi]]-Table13[[#This Row],[PM LO]]))</f>
        <v>#DIV/0!</v>
      </c>
      <c r="AK124" s="48" t="e">
        <f>IF(Table13[[#This Row],[Prior day close]]&lt;Table13[[#This Row],[PM LO]],(I124-K124)/(I124-Table13[[#This Row],[Prior day close]]),(I124-K124)/(I124-Table13[[#This Row],[PM LO]]))</f>
        <v>#DIV/0!</v>
      </c>
      <c r="AL124" s="48">
        <f>Table13[[#This Row],[Spike % on open before drop]]+AM124</f>
        <v>0</v>
      </c>
      <c r="AM124" s="16"/>
      <c r="AN124" s="16"/>
      <c r="AO124" s="48" t="e">
        <f>IF(Table13[[#This Row],[Prior day close]]&lt;=Table13[[#This Row],[PM LO]],IF($J124&gt;=$F124,($J124-$K124)/($J124-Table13[[#This Row],[Prior day close]]),(IF($H124&lt;=$K124,($F124-$H124)/($F124-Table13[[#This Row],[Prior day close]]),(Table13[[#This Row],[PM Hi]]-Table13[[#This Row],[Lowest lo from open to squeeze]])/(Table13[[#This Row],[PM Hi]]-Table13[[#This Row],[Prior day close]])))),IF($J124&gt;=$F124,($J124-$K124)/($J124-Table13[[#This Row],[PM LO]]),(IF($H124&lt;=$K124,($F124-$H124)/($F124-Table13[[#This Row],[PM LO]]),(Table13[[#This Row],[PM Hi]]-Table13[[#This Row],[Lowest lo from open to squeeze]])/(Table13[[#This Row],[PM Hi]]-Table13[[#This Row],[PM LO]])))))</f>
        <v>#DIV/0!</v>
      </c>
      <c r="AP124" s="18"/>
      <c r="AQ124" s="17">
        <f>390+Table13[[#This Row],[Time until ideal entry point (mins) from open]]</f>
        <v>390</v>
      </c>
      <c r="AR124" s="17">
        <f>Table13[[#This Row],[Time until ideal entry + 390 (6:30)]]+Table13[[#This Row],[Duration of frontside (mins)]]</f>
        <v>390</v>
      </c>
    </row>
    <row r="125" spans="1:44" hidden="1" x14ac:dyDescent="0.25">
      <c r="A125" s="24" t="s">
        <v>166</v>
      </c>
      <c r="B125" s="47">
        <v>43888</v>
      </c>
      <c r="C125" s="47" t="s">
        <v>71</v>
      </c>
      <c r="D125" s="12"/>
      <c r="E125" s="13"/>
      <c r="F125" s="12"/>
      <c r="G125" s="12"/>
      <c r="H125" s="12"/>
      <c r="I125" s="12"/>
      <c r="J125" s="12"/>
      <c r="K125" s="12"/>
      <c r="N125" s="13"/>
      <c r="P125" s="37"/>
      <c r="Q125" s="46"/>
      <c r="R125" s="37"/>
      <c r="S125" s="37"/>
      <c r="T125" s="37"/>
      <c r="U125" s="37"/>
      <c r="V125" s="38"/>
      <c r="W125" s="46"/>
      <c r="X125" s="37"/>
      <c r="Y125" s="46"/>
      <c r="Z125" s="41">
        <f>Table13[[#This Row],[Time until ideal entry + 390 (6:30)]]/(1440)</f>
        <v>0.27083333333333331</v>
      </c>
      <c r="AA125" s="18"/>
      <c r="AB125" s="18" t="e">
        <f>IF(Table13[[#This Row],[HOD AFTER PM HI]]&gt;=Table13[[#This Row],[PM Hi]],((Table13[[#This Row],[HOD AFTER PM HI]]-Table13[[#This Row],[Prior day close]])/Table13[[#This Row],[Prior day close]]),Table13[[#This Row],[Prior Close to PM Hi %]])</f>
        <v>#DIV/0!</v>
      </c>
      <c r="AC125" s="42" t="e">
        <f>(Table13[[#This Row],[Price at hi of squeeze]]-Table13[[#This Row],[MKT Open Price]])/Table13[[#This Row],[MKT Open Price]]</f>
        <v>#DIV/0!</v>
      </c>
      <c r="AD125" s="18" t="e">
        <f>(Table13[[#This Row],[Price at hi of squeeze]]-Table13[[#This Row],[PM Hi]])/Table13[[#This Row],[PM Hi]]</f>
        <v>#DIV/0!</v>
      </c>
      <c r="AE125" s="18"/>
      <c r="AF125" s="20" t="e">
        <f>Table13[[#This Row],[PM VOL]]/1000000/Table13[[#This Row],[FLOAT(M)]]</f>
        <v>#DIV/0!</v>
      </c>
      <c r="AG125" s="23" t="e">
        <f>(Table13[[#This Row],[Volume]]/1000000)/Table13[[#This Row],[FLOAT(M)]]</f>
        <v>#DIV/0!</v>
      </c>
      <c r="AI125" s="18" t="e">
        <f>(Table13[[#This Row],[PM Hi]]-Table13[[#This Row],[MKT Open Price]])/(Table13[[#This Row],[PM Hi]])</f>
        <v>#DIV/0!</v>
      </c>
      <c r="AJ125" s="18" t="e">
        <f>IF(Table13[[#This Row],[PM LO]]&gt;Table13[[#This Row],[Prior day close]],(Table13[[#This Row],[PM Hi]]-Table13[[#This Row],[MKT Open Price]])/(Table13[[#This Row],[PM Hi]]-Table13[[#This Row],[Prior day close]]),(Table13[[#This Row],[PM Hi]]-Table13[[#This Row],[MKT Open Price]])/(Table13[[#This Row],[PM Hi]]-Table13[[#This Row],[PM LO]]))</f>
        <v>#DIV/0!</v>
      </c>
      <c r="AK125" s="48" t="e">
        <f>IF(Table13[[#This Row],[Prior day close]]&lt;Table13[[#This Row],[PM LO]],(I125-K125)/(I125-Table13[[#This Row],[Prior day close]]),(I125-K125)/(I125-Table13[[#This Row],[PM LO]]))</f>
        <v>#DIV/0!</v>
      </c>
      <c r="AL125" s="48">
        <f>Table13[[#This Row],[Spike % on open before drop]]+AM125</f>
        <v>0</v>
      </c>
      <c r="AM125" s="16"/>
      <c r="AN125" s="16"/>
      <c r="AO125" s="48" t="e">
        <f>IF(Table13[[#This Row],[Prior day close]]&lt;=Table13[[#This Row],[PM LO]],IF($J125&gt;=$F125,($J125-$K125)/($J125-Table13[[#This Row],[Prior day close]]),(IF($H125&lt;=$K125,($F125-$H125)/($F125-Table13[[#This Row],[Prior day close]]),(Table13[[#This Row],[PM Hi]]-Table13[[#This Row],[Lowest lo from open to squeeze]])/(Table13[[#This Row],[PM Hi]]-Table13[[#This Row],[Prior day close]])))),IF($J125&gt;=$F125,($J125-$K125)/($J125-Table13[[#This Row],[PM LO]]),(IF($H125&lt;=$K125,($F125-$H125)/($F125-Table13[[#This Row],[PM LO]]),(Table13[[#This Row],[PM Hi]]-Table13[[#This Row],[Lowest lo from open to squeeze]])/(Table13[[#This Row],[PM Hi]]-Table13[[#This Row],[PM LO]])))))</f>
        <v>#DIV/0!</v>
      </c>
      <c r="AP125" s="18"/>
      <c r="AQ125" s="17">
        <f>390+Table13[[#This Row],[Time until ideal entry point (mins) from open]]</f>
        <v>390</v>
      </c>
      <c r="AR125" s="17">
        <f>Table13[[#This Row],[Time until ideal entry + 390 (6:30)]]+Table13[[#This Row],[Duration of frontside (mins)]]</f>
        <v>390</v>
      </c>
    </row>
    <row r="126" spans="1:44" hidden="1" x14ac:dyDescent="0.25">
      <c r="A126" s="24" t="s">
        <v>167</v>
      </c>
      <c r="B126" s="47">
        <v>43888</v>
      </c>
      <c r="C126" s="47" t="s">
        <v>71</v>
      </c>
      <c r="D126" s="12"/>
      <c r="E126" s="13"/>
      <c r="F126" s="12"/>
      <c r="G126" s="12"/>
      <c r="H126" s="12"/>
      <c r="I126" s="12"/>
      <c r="J126" s="12"/>
      <c r="K126" s="12"/>
      <c r="N126" s="13"/>
      <c r="P126" s="37"/>
      <c r="Q126" s="46"/>
      <c r="R126" s="37"/>
      <c r="S126" s="37"/>
      <c r="T126" s="37"/>
      <c r="U126" s="37"/>
      <c r="V126" s="38"/>
      <c r="W126" s="46"/>
      <c r="X126" s="37"/>
      <c r="Y126" s="46"/>
      <c r="Z126" s="41">
        <f>Table13[[#This Row],[Time until ideal entry + 390 (6:30)]]/(1440)</f>
        <v>0.27083333333333331</v>
      </c>
      <c r="AA126" s="18"/>
      <c r="AB126" s="18" t="e">
        <f>IF(Table13[[#This Row],[HOD AFTER PM HI]]&gt;=Table13[[#This Row],[PM Hi]],((Table13[[#This Row],[HOD AFTER PM HI]]-Table13[[#This Row],[Prior day close]])/Table13[[#This Row],[Prior day close]]),Table13[[#This Row],[Prior Close to PM Hi %]])</f>
        <v>#DIV/0!</v>
      </c>
      <c r="AC126" s="42" t="e">
        <f>(Table13[[#This Row],[Price at hi of squeeze]]-Table13[[#This Row],[MKT Open Price]])/Table13[[#This Row],[MKT Open Price]]</f>
        <v>#DIV/0!</v>
      </c>
      <c r="AD126" s="18" t="e">
        <f>(Table13[[#This Row],[Price at hi of squeeze]]-Table13[[#This Row],[PM Hi]])/Table13[[#This Row],[PM Hi]]</f>
        <v>#DIV/0!</v>
      </c>
      <c r="AE126" s="18"/>
      <c r="AF126" s="20" t="e">
        <f>Table13[[#This Row],[PM VOL]]/1000000/Table13[[#This Row],[FLOAT(M)]]</f>
        <v>#DIV/0!</v>
      </c>
      <c r="AG126" s="23" t="e">
        <f>(Table13[[#This Row],[Volume]]/1000000)/Table13[[#This Row],[FLOAT(M)]]</f>
        <v>#DIV/0!</v>
      </c>
      <c r="AI126" s="18" t="e">
        <f>(Table13[[#This Row],[PM Hi]]-Table13[[#This Row],[MKT Open Price]])/(Table13[[#This Row],[PM Hi]])</f>
        <v>#DIV/0!</v>
      </c>
      <c r="AJ126" s="18" t="e">
        <f>IF(Table13[[#This Row],[PM LO]]&gt;Table13[[#This Row],[Prior day close]],(Table13[[#This Row],[PM Hi]]-Table13[[#This Row],[MKT Open Price]])/(Table13[[#This Row],[PM Hi]]-Table13[[#This Row],[Prior day close]]),(Table13[[#This Row],[PM Hi]]-Table13[[#This Row],[MKT Open Price]])/(Table13[[#This Row],[PM Hi]]-Table13[[#This Row],[PM LO]]))</f>
        <v>#DIV/0!</v>
      </c>
      <c r="AK126" s="48" t="e">
        <f>IF(Table13[[#This Row],[Prior day close]]&lt;Table13[[#This Row],[PM LO]],(I126-K126)/(I126-Table13[[#This Row],[Prior day close]]),(I126-K126)/(I126-Table13[[#This Row],[PM LO]]))</f>
        <v>#DIV/0!</v>
      </c>
      <c r="AL126" s="48">
        <f>Table13[[#This Row],[Spike % on open before drop]]+AM126</f>
        <v>0</v>
      </c>
      <c r="AM126" s="16"/>
      <c r="AN126" s="16"/>
      <c r="AO126" s="48" t="e">
        <f>IF(Table13[[#This Row],[Prior day close]]&lt;=Table13[[#This Row],[PM LO]],IF($J126&gt;=$F126,($J126-$K126)/($J126-Table13[[#This Row],[Prior day close]]),(IF($H126&lt;=$K126,($F126-$H126)/($F126-Table13[[#This Row],[Prior day close]]),(Table13[[#This Row],[PM Hi]]-Table13[[#This Row],[Lowest lo from open to squeeze]])/(Table13[[#This Row],[PM Hi]]-Table13[[#This Row],[Prior day close]])))),IF($J126&gt;=$F126,($J126-$K126)/($J126-Table13[[#This Row],[PM LO]]),(IF($H126&lt;=$K126,($F126-$H126)/($F126-Table13[[#This Row],[PM LO]]),(Table13[[#This Row],[PM Hi]]-Table13[[#This Row],[Lowest lo from open to squeeze]])/(Table13[[#This Row],[PM Hi]]-Table13[[#This Row],[PM LO]])))))</f>
        <v>#DIV/0!</v>
      </c>
      <c r="AP126" s="18"/>
      <c r="AQ126" s="17">
        <f>390+Table13[[#This Row],[Time until ideal entry point (mins) from open]]</f>
        <v>390</v>
      </c>
      <c r="AR126" s="17">
        <f>Table13[[#This Row],[Time until ideal entry + 390 (6:30)]]+Table13[[#This Row],[Duration of frontside (mins)]]</f>
        <v>390</v>
      </c>
    </row>
    <row r="127" spans="1:44" hidden="1" x14ac:dyDescent="0.25">
      <c r="A127" s="24" t="s">
        <v>168</v>
      </c>
      <c r="B127" s="47">
        <v>43892</v>
      </c>
      <c r="C127" s="47" t="s">
        <v>71</v>
      </c>
      <c r="D127" s="12"/>
      <c r="E127" s="13"/>
      <c r="F127" s="12"/>
      <c r="G127" s="12"/>
      <c r="H127" s="12"/>
      <c r="I127" s="12"/>
      <c r="J127" s="12"/>
      <c r="K127" s="12"/>
      <c r="N127" s="13"/>
      <c r="P127" s="37"/>
      <c r="Q127" s="46"/>
      <c r="R127" s="37"/>
      <c r="S127" s="37"/>
      <c r="T127" s="37"/>
      <c r="U127" s="37"/>
      <c r="V127" s="38"/>
      <c r="W127" s="46"/>
      <c r="X127" s="37"/>
      <c r="Y127" s="46"/>
      <c r="Z127" s="41">
        <f>Table13[[#This Row],[Time until ideal entry + 390 (6:30)]]/(1440)</f>
        <v>0.27083333333333331</v>
      </c>
      <c r="AA127" s="18"/>
      <c r="AB127" s="18" t="e">
        <f>IF(Table13[[#This Row],[HOD AFTER PM HI]]&gt;=Table13[[#This Row],[PM Hi]],((Table13[[#This Row],[HOD AFTER PM HI]]-Table13[[#This Row],[Prior day close]])/Table13[[#This Row],[Prior day close]]),Table13[[#This Row],[Prior Close to PM Hi %]])</f>
        <v>#DIV/0!</v>
      </c>
      <c r="AC127" s="42" t="e">
        <f>(Table13[[#This Row],[Price at hi of squeeze]]-Table13[[#This Row],[MKT Open Price]])/Table13[[#This Row],[MKT Open Price]]</f>
        <v>#DIV/0!</v>
      </c>
      <c r="AD127" s="18" t="e">
        <f>(Table13[[#This Row],[Price at hi of squeeze]]-Table13[[#This Row],[PM Hi]])/Table13[[#This Row],[PM Hi]]</f>
        <v>#DIV/0!</v>
      </c>
      <c r="AE127" s="18"/>
      <c r="AF127" s="20" t="e">
        <f>Table13[[#This Row],[PM VOL]]/1000000/Table13[[#This Row],[FLOAT(M)]]</f>
        <v>#DIV/0!</v>
      </c>
      <c r="AG127" s="23" t="e">
        <f>(Table13[[#This Row],[Volume]]/1000000)/Table13[[#This Row],[FLOAT(M)]]</f>
        <v>#DIV/0!</v>
      </c>
      <c r="AI127" s="18" t="e">
        <f>(Table13[[#This Row],[PM Hi]]-Table13[[#This Row],[MKT Open Price]])/(Table13[[#This Row],[PM Hi]])</f>
        <v>#DIV/0!</v>
      </c>
      <c r="AJ127" s="18" t="e">
        <f>IF(Table13[[#This Row],[PM LO]]&gt;Table13[[#This Row],[Prior day close]],(Table13[[#This Row],[PM Hi]]-Table13[[#This Row],[MKT Open Price]])/(Table13[[#This Row],[PM Hi]]-Table13[[#This Row],[Prior day close]]),(Table13[[#This Row],[PM Hi]]-Table13[[#This Row],[MKT Open Price]])/(Table13[[#This Row],[PM Hi]]-Table13[[#This Row],[PM LO]]))</f>
        <v>#DIV/0!</v>
      </c>
      <c r="AK127" s="48" t="e">
        <f>IF(Table13[[#This Row],[Prior day close]]&lt;Table13[[#This Row],[PM LO]],(I127-K127)/(I127-Table13[[#This Row],[Prior day close]]),(I127-K127)/(I127-Table13[[#This Row],[PM LO]]))</f>
        <v>#DIV/0!</v>
      </c>
      <c r="AL127" s="48">
        <f>Table13[[#This Row],[Spike % on open before drop]]+AM127</f>
        <v>0</v>
      </c>
      <c r="AM127" s="16"/>
      <c r="AN127" s="16"/>
      <c r="AO127" s="48" t="e">
        <f>IF(Table13[[#This Row],[Prior day close]]&lt;=Table13[[#This Row],[PM LO]],IF($J127&gt;=$F127,($J127-$K127)/($J127-Table13[[#This Row],[Prior day close]]),(IF($H127&lt;=$K127,($F127-$H127)/($F127-Table13[[#This Row],[Prior day close]]),(Table13[[#This Row],[PM Hi]]-Table13[[#This Row],[Lowest lo from open to squeeze]])/(Table13[[#This Row],[PM Hi]]-Table13[[#This Row],[Prior day close]])))),IF($J127&gt;=$F127,($J127-$K127)/($J127-Table13[[#This Row],[PM LO]]),(IF($H127&lt;=$K127,($F127-$H127)/($F127-Table13[[#This Row],[PM LO]]),(Table13[[#This Row],[PM Hi]]-Table13[[#This Row],[Lowest lo from open to squeeze]])/(Table13[[#This Row],[PM Hi]]-Table13[[#This Row],[PM LO]])))))</f>
        <v>#DIV/0!</v>
      </c>
      <c r="AP127" s="18"/>
      <c r="AQ127" s="17">
        <f>390+Table13[[#This Row],[Time until ideal entry point (mins) from open]]</f>
        <v>390</v>
      </c>
      <c r="AR127" s="17">
        <f>Table13[[#This Row],[Time until ideal entry + 390 (6:30)]]+Table13[[#This Row],[Duration of frontside (mins)]]</f>
        <v>390</v>
      </c>
    </row>
    <row r="128" spans="1:44" hidden="1" x14ac:dyDescent="0.25">
      <c r="A128" s="24" t="s">
        <v>169</v>
      </c>
      <c r="B128" s="47">
        <v>43895</v>
      </c>
      <c r="C128" s="47" t="s">
        <v>71</v>
      </c>
      <c r="D128" s="12"/>
      <c r="E128" s="13"/>
      <c r="F128" s="12"/>
      <c r="G128" s="12"/>
      <c r="H128" s="12"/>
      <c r="I128" s="12"/>
      <c r="J128" s="12"/>
      <c r="K128" s="12"/>
      <c r="N128" s="13"/>
      <c r="P128" s="37"/>
      <c r="Q128" s="46"/>
      <c r="R128" s="37"/>
      <c r="S128" s="37"/>
      <c r="T128" s="37"/>
      <c r="U128" s="37"/>
      <c r="V128" s="38"/>
      <c r="W128" s="46"/>
      <c r="X128" s="37"/>
      <c r="Y128" s="46"/>
      <c r="Z128" s="41">
        <f>Table13[[#This Row],[Time until ideal entry + 390 (6:30)]]/(1440)</f>
        <v>0.27083333333333331</v>
      </c>
      <c r="AA128" s="18"/>
      <c r="AB128" s="18" t="e">
        <f>IF(Table13[[#This Row],[HOD AFTER PM HI]]&gt;=Table13[[#This Row],[PM Hi]],((Table13[[#This Row],[HOD AFTER PM HI]]-Table13[[#This Row],[Prior day close]])/Table13[[#This Row],[Prior day close]]),Table13[[#This Row],[Prior Close to PM Hi %]])</f>
        <v>#DIV/0!</v>
      </c>
      <c r="AC128" s="42" t="e">
        <f>(Table13[[#This Row],[Price at hi of squeeze]]-Table13[[#This Row],[MKT Open Price]])/Table13[[#This Row],[MKT Open Price]]</f>
        <v>#DIV/0!</v>
      </c>
      <c r="AD128" s="18" t="e">
        <f>(Table13[[#This Row],[Price at hi of squeeze]]-Table13[[#This Row],[PM Hi]])/Table13[[#This Row],[PM Hi]]</f>
        <v>#DIV/0!</v>
      </c>
      <c r="AE128" s="18"/>
      <c r="AF128" s="20" t="e">
        <f>Table13[[#This Row],[PM VOL]]/1000000/Table13[[#This Row],[FLOAT(M)]]</f>
        <v>#DIV/0!</v>
      </c>
      <c r="AG128" s="23" t="e">
        <f>(Table13[[#This Row],[Volume]]/1000000)/Table13[[#This Row],[FLOAT(M)]]</f>
        <v>#DIV/0!</v>
      </c>
      <c r="AI128" s="18" t="e">
        <f>(Table13[[#This Row],[PM Hi]]-Table13[[#This Row],[MKT Open Price]])/(Table13[[#This Row],[PM Hi]])</f>
        <v>#DIV/0!</v>
      </c>
      <c r="AJ128" s="18" t="e">
        <f>IF(Table13[[#This Row],[PM LO]]&gt;Table13[[#This Row],[Prior day close]],(Table13[[#This Row],[PM Hi]]-Table13[[#This Row],[MKT Open Price]])/(Table13[[#This Row],[PM Hi]]-Table13[[#This Row],[Prior day close]]),(Table13[[#This Row],[PM Hi]]-Table13[[#This Row],[MKT Open Price]])/(Table13[[#This Row],[PM Hi]]-Table13[[#This Row],[PM LO]]))</f>
        <v>#DIV/0!</v>
      </c>
      <c r="AK128" s="48" t="e">
        <f>IF(Table13[[#This Row],[Prior day close]]&lt;Table13[[#This Row],[PM LO]],(I128-K128)/(I128-Table13[[#This Row],[Prior day close]]),(I128-K128)/(I128-Table13[[#This Row],[PM LO]]))</f>
        <v>#DIV/0!</v>
      </c>
      <c r="AL128" s="48">
        <f>Table13[[#This Row],[Spike % on open before drop]]+AM128</f>
        <v>0</v>
      </c>
      <c r="AM128" s="16"/>
      <c r="AN128" s="16"/>
      <c r="AO128" s="48" t="e">
        <f>IF(Table13[[#This Row],[Prior day close]]&lt;=Table13[[#This Row],[PM LO]],IF($J128&gt;=$F128,($J128-$K128)/($J128-Table13[[#This Row],[Prior day close]]),(IF($H128&lt;=$K128,($F128-$H128)/($F128-Table13[[#This Row],[Prior day close]]),(Table13[[#This Row],[PM Hi]]-Table13[[#This Row],[Lowest lo from open to squeeze]])/(Table13[[#This Row],[PM Hi]]-Table13[[#This Row],[Prior day close]])))),IF($J128&gt;=$F128,($J128-$K128)/($J128-Table13[[#This Row],[PM LO]]),(IF($H128&lt;=$K128,($F128-$H128)/($F128-Table13[[#This Row],[PM LO]]),(Table13[[#This Row],[PM Hi]]-Table13[[#This Row],[Lowest lo from open to squeeze]])/(Table13[[#This Row],[PM Hi]]-Table13[[#This Row],[PM LO]])))))</f>
        <v>#DIV/0!</v>
      </c>
      <c r="AP128" s="18"/>
      <c r="AQ128" s="17">
        <f>390+Table13[[#This Row],[Time until ideal entry point (mins) from open]]</f>
        <v>390</v>
      </c>
      <c r="AR128" s="17">
        <f>Table13[[#This Row],[Time until ideal entry + 390 (6:30)]]+Table13[[#This Row],[Duration of frontside (mins)]]</f>
        <v>390</v>
      </c>
    </row>
    <row r="129" spans="1:44" hidden="1" x14ac:dyDescent="0.25">
      <c r="A129" s="24" t="s">
        <v>170</v>
      </c>
      <c r="B129" s="47">
        <v>43899</v>
      </c>
      <c r="C129" s="47" t="s">
        <v>71</v>
      </c>
      <c r="D129" s="12"/>
      <c r="E129" s="13"/>
      <c r="F129" s="12"/>
      <c r="G129" s="12"/>
      <c r="H129" s="12"/>
      <c r="I129" s="12"/>
      <c r="J129" s="12"/>
      <c r="K129" s="12"/>
      <c r="N129" s="13"/>
      <c r="P129" s="37"/>
      <c r="Q129" s="46"/>
      <c r="R129" s="37"/>
      <c r="S129" s="37"/>
      <c r="T129" s="37"/>
      <c r="U129" s="37"/>
      <c r="V129" s="38"/>
      <c r="W129" s="46"/>
      <c r="X129" s="37"/>
      <c r="Y129" s="46"/>
      <c r="Z129" s="41">
        <f>Table13[[#This Row],[Time until ideal entry + 390 (6:30)]]/(1440)</f>
        <v>0.27083333333333331</v>
      </c>
      <c r="AA129" s="18"/>
      <c r="AB129" s="18" t="e">
        <f>IF(Table13[[#This Row],[HOD AFTER PM HI]]&gt;=Table13[[#This Row],[PM Hi]],((Table13[[#This Row],[HOD AFTER PM HI]]-Table13[[#This Row],[Prior day close]])/Table13[[#This Row],[Prior day close]]),Table13[[#This Row],[Prior Close to PM Hi %]])</f>
        <v>#DIV/0!</v>
      </c>
      <c r="AC129" s="42" t="e">
        <f>(Table13[[#This Row],[Price at hi of squeeze]]-Table13[[#This Row],[MKT Open Price]])/Table13[[#This Row],[MKT Open Price]]</f>
        <v>#DIV/0!</v>
      </c>
      <c r="AD129" s="18" t="e">
        <f>(Table13[[#This Row],[Price at hi of squeeze]]-Table13[[#This Row],[PM Hi]])/Table13[[#This Row],[PM Hi]]</f>
        <v>#DIV/0!</v>
      </c>
      <c r="AE129" s="18"/>
      <c r="AF129" s="20" t="e">
        <f>Table13[[#This Row],[PM VOL]]/1000000/Table13[[#This Row],[FLOAT(M)]]</f>
        <v>#DIV/0!</v>
      </c>
      <c r="AG129" s="23" t="e">
        <f>(Table13[[#This Row],[Volume]]/1000000)/Table13[[#This Row],[FLOAT(M)]]</f>
        <v>#DIV/0!</v>
      </c>
      <c r="AI129" s="18" t="e">
        <f>(Table13[[#This Row],[PM Hi]]-Table13[[#This Row],[MKT Open Price]])/(Table13[[#This Row],[PM Hi]])</f>
        <v>#DIV/0!</v>
      </c>
      <c r="AJ129" s="18" t="e">
        <f>IF(Table13[[#This Row],[PM LO]]&gt;Table13[[#This Row],[Prior day close]],(Table13[[#This Row],[PM Hi]]-Table13[[#This Row],[MKT Open Price]])/(Table13[[#This Row],[PM Hi]]-Table13[[#This Row],[Prior day close]]),(Table13[[#This Row],[PM Hi]]-Table13[[#This Row],[MKT Open Price]])/(Table13[[#This Row],[PM Hi]]-Table13[[#This Row],[PM LO]]))</f>
        <v>#DIV/0!</v>
      </c>
      <c r="AK129" s="48" t="e">
        <f>IF(Table13[[#This Row],[Prior day close]]&lt;Table13[[#This Row],[PM LO]],(I129-K129)/(I129-Table13[[#This Row],[Prior day close]]),(I129-K129)/(I129-Table13[[#This Row],[PM LO]]))</f>
        <v>#DIV/0!</v>
      </c>
      <c r="AL129" s="48">
        <f>Table13[[#This Row],[Spike % on open before drop]]+AM129</f>
        <v>0</v>
      </c>
      <c r="AM129" s="16"/>
      <c r="AN129" s="16"/>
      <c r="AO129" s="48" t="e">
        <f>IF(Table13[[#This Row],[Prior day close]]&lt;=Table13[[#This Row],[PM LO]],IF($J129&gt;=$F129,($J129-$K129)/($J129-Table13[[#This Row],[Prior day close]]),(IF($H129&lt;=$K129,($F129-$H129)/($F129-Table13[[#This Row],[Prior day close]]),(Table13[[#This Row],[PM Hi]]-Table13[[#This Row],[Lowest lo from open to squeeze]])/(Table13[[#This Row],[PM Hi]]-Table13[[#This Row],[Prior day close]])))),IF($J129&gt;=$F129,($J129-$K129)/($J129-Table13[[#This Row],[PM LO]]),(IF($H129&lt;=$K129,($F129-$H129)/($F129-Table13[[#This Row],[PM LO]]),(Table13[[#This Row],[PM Hi]]-Table13[[#This Row],[Lowest lo from open to squeeze]])/(Table13[[#This Row],[PM Hi]]-Table13[[#This Row],[PM LO]])))))</f>
        <v>#DIV/0!</v>
      </c>
      <c r="AP129" s="18"/>
      <c r="AQ129" s="17">
        <f>390+Table13[[#This Row],[Time until ideal entry point (mins) from open]]</f>
        <v>390</v>
      </c>
      <c r="AR129" s="17">
        <f>Table13[[#This Row],[Time until ideal entry + 390 (6:30)]]+Table13[[#This Row],[Duration of frontside (mins)]]</f>
        <v>390</v>
      </c>
    </row>
    <row r="130" spans="1:44" hidden="1" x14ac:dyDescent="0.25">
      <c r="A130" s="24" t="s">
        <v>171</v>
      </c>
      <c r="B130" s="47">
        <v>43901</v>
      </c>
      <c r="C130" s="47" t="s">
        <v>71</v>
      </c>
      <c r="D130" s="12"/>
      <c r="E130" s="13"/>
      <c r="F130" s="12"/>
      <c r="G130" s="12"/>
      <c r="H130" s="12"/>
      <c r="I130" s="12"/>
      <c r="J130" s="12"/>
      <c r="K130" s="12"/>
      <c r="N130" s="13"/>
      <c r="P130" s="37"/>
      <c r="Q130" s="46"/>
      <c r="R130" s="37"/>
      <c r="S130" s="37"/>
      <c r="T130" s="37"/>
      <c r="U130" s="37"/>
      <c r="V130" s="38"/>
      <c r="W130" s="46"/>
      <c r="X130" s="37"/>
      <c r="Y130" s="46"/>
      <c r="Z130" s="41">
        <f>Table13[[#This Row],[Time until ideal entry + 390 (6:30)]]/(1440)</f>
        <v>0.27083333333333331</v>
      </c>
      <c r="AA130" s="18"/>
      <c r="AB130" s="18" t="e">
        <f>IF(Table13[[#This Row],[HOD AFTER PM HI]]&gt;=Table13[[#This Row],[PM Hi]],((Table13[[#This Row],[HOD AFTER PM HI]]-Table13[[#This Row],[Prior day close]])/Table13[[#This Row],[Prior day close]]),Table13[[#This Row],[Prior Close to PM Hi %]])</f>
        <v>#DIV/0!</v>
      </c>
      <c r="AC130" s="42" t="e">
        <f>(Table13[[#This Row],[Price at hi of squeeze]]-Table13[[#This Row],[MKT Open Price]])/Table13[[#This Row],[MKT Open Price]]</f>
        <v>#DIV/0!</v>
      </c>
      <c r="AD130" s="18" t="e">
        <f>(Table13[[#This Row],[Price at hi of squeeze]]-Table13[[#This Row],[PM Hi]])/Table13[[#This Row],[PM Hi]]</f>
        <v>#DIV/0!</v>
      </c>
      <c r="AE130" s="18"/>
      <c r="AF130" s="20" t="e">
        <f>Table13[[#This Row],[PM VOL]]/1000000/Table13[[#This Row],[FLOAT(M)]]</f>
        <v>#DIV/0!</v>
      </c>
      <c r="AG130" s="23" t="e">
        <f>(Table13[[#This Row],[Volume]]/1000000)/Table13[[#This Row],[FLOAT(M)]]</f>
        <v>#DIV/0!</v>
      </c>
      <c r="AI130" s="18" t="e">
        <f>(Table13[[#This Row],[PM Hi]]-Table13[[#This Row],[MKT Open Price]])/(Table13[[#This Row],[PM Hi]])</f>
        <v>#DIV/0!</v>
      </c>
      <c r="AJ130" s="18" t="e">
        <f>IF(Table13[[#This Row],[PM LO]]&gt;Table13[[#This Row],[Prior day close]],(Table13[[#This Row],[PM Hi]]-Table13[[#This Row],[MKT Open Price]])/(Table13[[#This Row],[PM Hi]]-Table13[[#This Row],[Prior day close]]),(Table13[[#This Row],[PM Hi]]-Table13[[#This Row],[MKT Open Price]])/(Table13[[#This Row],[PM Hi]]-Table13[[#This Row],[PM LO]]))</f>
        <v>#DIV/0!</v>
      </c>
      <c r="AK130" s="48" t="e">
        <f>IF(Table13[[#This Row],[Prior day close]]&lt;Table13[[#This Row],[PM LO]],(I130-K130)/(I130-Table13[[#This Row],[Prior day close]]),(I130-K130)/(I130-Table13[[#This Row],[PM LO]]))</f>
        <v>#DIV/0!</v>
      </c>
      <c r="AL130" s="48">
        <f>Table13[[#This Row],[Spike % on open before drop]]+AM130</f>
        <v>0</v>
      </c>
      <c r="AM130" s="16"/>
      <c r="AN130" s="16"/>
      <c r="AO130" s="48" t="e">
        <f>IF(Table13[[#This Row],[Prior day close]]&lt;=Table13[[#This Row],[PM LO]],IF($J130&gt;=$F130,($J130-$K130)/($J130-Table13[[#This Row],[Prior day close]]),(IF($H130&lt;=$K130,($F130-$H130)/($F130-Table13[[#This Row],[Prior day close]]),(Table13[[#This Row],[PM Hi]]-Table13[[#This Row],[Lowest lo from open to squeeze]])/(Table13[[#This Row],[PM Hi]]-Table13[[#This Row],[Prior day close]])))),IF($J130&gt;=$F130,($J130-$K130)/($J130-Table13[[#This Row],[PM LO]]),(IF($H130&lt;=$K130,($F130-$H130)/($F130-Table13[[#This Row],[PM LO]]),(Table13[[#This Row],[PM Hi]]-Table13[[#This Row],[Lowest lo from open to squeeze]])/(Table13[[#This Row],[PM Hi]]-Table13[[#This Row],[PM LO]])))))</f>
        <v>#DIV/0!</v>
      </c>
      <c r="AP130" s="18"/>
      <c r="AQ130" s="17">
        <f>390+Table13[[#This Row],[Time until ideal entry point (mins) from open]]</f>
        <v>390</v>
      </c>
      <c r="AR130" s="17">
        <f>Table13[[#This Row],[Time until ideal entry + 390 (6:30)]]+Table13[[#This Row],[Duration of frontside (mins)]]</f>
        <v>390</v>
      </c>
    </row>
    <row r="131" spans="1:44" hidden="1" x14ac:dyDescent="0.25">
      <c r="A131" s="24" t="s">
        <v>171</v>
      </c>
      <c r="B131" s="47">
        <v>43902</v>
      </c>
      <c r="C131" s="47" t="s">
        <v>143</v>
      </c>
      <c r="D131" s="12"/>
      <c r="E131" s="13"/>
      <c r="F131" s="12"/>
      <c r="G131" s="12"/>
      <c r="H131" s="12"/>
      <c r="I131" s="12"/>
      <c r="J131" s="12"/>
      <c r="K131" s="12"/>
      <c r="N131" s="13"/>
      <c r="P131" s="37"/>
      <c r="Q131" s="46"/>
      <c r="R131" s="37"/>
      <c r="S131" s="37"/>
      <c r="T131" s="37"/>
      <c r="U131" s="37"/>
      <c r="V131" s="38"/>
      <c r="W131" s="46"/>
      <c r="X131" s="37"/>
      <c r="Y131" s="46"/>
      <c r="Z131" s="41">
        <f>Table13[[#This Row],[Time until ideal entry + 390 (6:30)]]/(1440)</f>
        <v>0.27083333333333331</v>
      </c>
      <c r="AA131" s="18"/>
      <c r="AB131" s="18" t="e">
        <f>IF(Table13[[#This Row],[HOD AFTER PM HI]]&gt;=Table13[[#This Row],[PM Hi]],((Table13[[#This Row],[HOD AFTER PM HI]]-Table13[[#This Row],[Prior day close]])/Table13[[#This Row],[Prior day close]]),Table13[[#This Row],[Prior Close to PM Hi %]])</f>
        <v>#DIV/0!</v>
      </c>
      <c r="AC131" s="42" t="e">
        <f>(Table13[[#This Row],[Price at hi of squeeze]]-Table13[[#This Row],[MKT Open Price]])/Table13[[#This Row],[MKT Open Price]]</f>
        <v>#DIV/0!</v>
      </c>
      <c r="AD131" s="18" t="e">
        <f>(Table13[[#This Row],[Price at hi of squeeze]]-Table13[[#This Row],[PM Hi]])/Table13[[#This Row],[PM Hi]]</f>
        <v>#DIV/0!</v>
      </c>
      <c r="AE131" s="18"/>
      <c r="AF131" s="20" t="e">
        <f>Table13[[#This Row],[PM VOL]]/1000000/Table13[[#This Row],[FLOAT(M)]]</f>
        <v>#DIV/0!</v>
      </c>
      <c r="AG131" s="23" t="e">
        <f>(Table13[[#This Row],[Volume]]/1000000)/Table13[[#This Row],[FLOAT(M)]]</f>
        <v>#DIV/0!</v>
      </c>
      <c r="AI131" s="18" t="e">
        <f>(Table13[[#This Row],[PM Hi]]-Table13[[#This Row],[MKT Open Price]])/(Table13[[#This Row],[PM Hi]])</f>
        <v>#DIV/0!</v>
      </c>
      <c r="AJ131" s="18" t="e">
        <f>IF(Table13[[#This Row],[PM LO]]&gt;Table13[[#This Row],[Prior day close]],(Table13[[#This Row],[PM Hi]]-Table13[[#This Row],[MKT Open Price]])/(Table13[[#This Row],[PM Hi]]-Table13[[#This Row],[Prior day close]]),(Table13[[#This Row],[PM Hi]]-Table13[[#This Row],[MKT Open Price]])/(Table13[[#This Row],[PM Hi]]-Table13[[#This Row],[PM LO]]))</f>
        <v>#DIV/0!</v>
      </c>
      <c r="AK131" s="48" t="e">
        <f>IF(Table13[[#This Row],[Prior day close]]&lt;Table13[[#This Row],[PM LO]],(I131-K131)/(I131-Table13[[#This Row],[Prior day close]]),(I131-K131)/(I131-Table13[[#This Row],[PM LO]]))</f>
        <v>#DIV/0!</v>
      </c>
      <c r="AL131" s="48">
        <f>Table13[[#This Row],[Spike % on open before drop]]+AM131</f>
        <v>0</v>
      </c>
      <c r="AM131" s="16"/>
      <c r="AN131" s="16"/>
      <c r="AO131" s="48" t="e">
        <f>IF(Table13[[#This Row],[Prior day close]]&lt;=Table13[[#This Row],[PM LO]],IF($J131&gt;=$F131,($J131-$K131)/($J131-Table13[[#This Row],[Prior day close]]),(IF($H131&lt;=$K131,($F131-$H131)/($F131-Table13[[#This Row],[Prior day close]]),(Table13[[#This Row],[PM Hi]]-Table13[[#This Row],[Lowest lo from open to squeeze]])/(Table13[[#This Row],[PM Hi]]-Table13[[#This Row],[Prior day close]])))),IF($J131&gt;=$F131,($J131-$K131)/($J131-Table13[[#This Row],[PM LO]]),(IF($H131&lt;=$K131,($F131-$H131)/($F131-Table13[[#This Row],[PM LO]]),(Table13[[#This Row],[PM Hi]]-Table13[[#This Row],[Lowest lo from open to squeeze]])/(Table13[[#This Row],[PM Hi]]-Table13[[#This Row],[PM LO]])))))</f>
        <v>#DIV/0!</v>
      </c>
      <c r="AP131" s="18"/>
      <c r="AQ131" s="17">
        <f>390+Table13[[#This Row],[Time until ideal entry point (mins) from open]]</f>
        <v>390</v>
      </c>
      <c r="AR131" s="17">
        <f>Table13[[#This Row],[Time until ideal entry + 390 (6:30)]]+Table13[[#This Row],[Duration of frontside (mins)]]</f>
        <v>390</v>
      </c>
    </row>
    <row r="132" spans="1:44" hidden="1" x14ac:dyDescent="0.25">
      <c r="A132" s="24" t="s">
        <v>162</v>
      </c>
      <c r="B132" s="47">
        <v>43902</v>
      </c>
      <c r="C132" s="47" t="s">
        <v>143</v>
      </c>
      <c r="D132" s="12"/>
      <c r="E132" s="13"/>
      <c r="F132" s="12"/>
      <c r="G132" s="12"/>
      <c r="H132" s="12"/>
      <c r="I132" s="12"/>
      <c r="J132" s="12"/>
      <c r="K132" s="12"/>
      <c r="N132" s="13"/>
      <c r="P132" s="37"/>
      <c r="Q132" s="46"/>
      <c r="R132" s="37"/>
      <c r="S132" s="37"/>
      <c r="T132" s="37"/>
      <c r="U132" s="37"/>
      <c r="V132" s="38"/>
      <c r="W132" s="46"/>
      <c r="X132" s="37"/>
      <c r="Y132" s="46"/>
      <c r="Z132" s="41">
        <f>Table13[[#This Row],[Time until ideal entry + 390 (6:30)]]/(1440)</f>
        <v>0.27083333333333331</v>
      </c>
      <c r="AA132" s="18"/>
      <c r="AB132" s="18" t="e">
        <f>IF(Table13[[#This Row],[HOD AFTER PM HI]]&gt;=Table13[[#This Row],[PM Hi]],((Table13[[#This Row],[HOD AFTER PM HI]]-Table13[[#This Row],[Prior day close]])/Table13[[#This Row],[Prior day close]]),Table13[[#This Row],[Prior Close to PM Hi %]])</f>
        <v>#DIV/0!</v>
      </c>
      <c r="AC132" s="42" t="e">
        <f>(Table13[[#This Row],[Price at hi of squeeze]]-Table13[[#This Row],[MKT Open Price]])/Table13[[#This Row],[MKT Open Price]]</f>
        <v>#DIV/0!</v>
      </c>
      <c r="AD132" s="18" t="e">
        <f>(Table13[[#This Row],[Price at hi of squeeze]]-Table13[[#This Row],[PM Hi]])/Table13[[#This Row],[PM Hi]]</f>
        <v>#DIV/0!</v>
      </c>
      <c r="AE132" s="18"/>
      <c r="AF132" s="20" t="e">
        <f>Table13[[#This Row],[PM VOL]]/1000000/Table13[[#This Row],[FLOAT(M)]]</f>
        <v>#DIV/0!</v>
      </c>
      <c r="AG132" s="23" t="e">
        <f>(Table13[[#This Row],[Volume]]/1000000)/Table13[[#This Row],[FLOAT(M)]]</f>
        <v>#DIV/0!</v>
      </c>
      <c r="AI132" s="18" t="e">
        <f>(Table13[[#This Row],[PM Hi]]-Table13[[#This Row],[MKT Open Price]])/(Table13[[#This Row],[PM Hi]])</f>
        <v>#DIV/0!</v>
      </c>
      <c r="AJ132" s="18" t="e">
        <f>IF(Table13[[#This Row],[PM LO]]&gt;Table13[[#This Row],[Prior day close]],(Table13[[#This Row],[PM Hi]]-Table13[[#This Row],[MKT Open Price]])/(Table13[[#This Row],[PM Hi]]-Table13[[#This Row],[Prior day close]]),(Table13[[#This Row],[PM Hi]]-Table13[[#This Row],[MKT Open Price]])/(Table13[[#This Row],[PM Hi]]-Table13[[#This Row],[PM LO]]))</f>
        <v>#DIV/0!</v>
      </c>
      <c r="AK132" s="48" t="e">
        <f>IF(Table13[[#This Row],[Prior day close]]&lt;Table13[[#This Row],[PM LO]],(I132-K132)/(I132-Table13[[#This Row],[Prior day close]]),(I132-K132)/(I132-Table13[[#This Row],[PM LO]]))</f>
        <v>#DIV/0!</v>
      </c>
      <c r="AL132" s="48">
        <f>Table13[[#This Row],[Spike % on open before drop]]+AM132</f>
        <v>0</v>
      </c>
      <c r="AM132" s="16"/>
      <c r="AN132" s="16"/>
      <c r="AO132" s="48" t="e">
        <f>IF(Table13[[#This Row],[Prior day close]]&lt;=Table13[[#This Row],[PM LO]],IF($J132&gt;=$F132,($J132-$K132)/($J132-Table13[[#This Row],[Prior day close]]),(IF($H132&lt;=$K132,($F132-$H132)/($F132-Table13[[#This Row],[Prior day close]]),(Table13[[#This Row],[PM Hi]]-Table13[[#This Row],[Lowest lo from open to squeeze]])/(Table13[[#This Row],[PM Hi]]-Table13[[#This Row],[Prior day close]])))),IF($J132&gt;=$F132,($J132-$K132)/($J132-Table13[[#This Row],[PM LO]]),(IF($H132&lt;=$K132,($F132-$H132)/($F132-Table13[[#This Row],[PM LO]]),(Table13[[#This Row],[PM Hi]]-Table13[[#This Row],[Lowest lo from open to squeeze]])/(Table13[[#This Row],[PM Hi]]-Table13[[#This Row],[PM LO]])))))</f>
        <v>#DIV/0!</v>
      </c>
      <c r="AP132" s="18"/>
      <c r="AQ132" s="17">
        <f>390+Table13[[#This Row],[Time until ideal entry point (mins) from open]]</f>
        <v>390</v>
      </c>
      <c r="AR132" s="17">
        <f>Table13[[#This Row],[Time until ideal entry + 390 (6:30)]]+Table13[[#This Row],[Duration of frontside (mins)]]</f>
        <v>390</v>
      </c>
    </row>
    <row r="133" spans="1:44" hidden="1" x14ac:dyDescent="0.25">
      <c r="A133" s="24" t="s">
        <v>172</v>
      </c>
      <c r="B133" s="47">
        <v>43910</v>
      </c>
      <c r="C133" s="47" t="s">
        <v>143</v>
      </c>
      <c r="D133" s="12"/>
      <c r="E133" s="13"/>
      <c r="F133" s="12"/>
      <c r="G133" s="12"/>
      <c r="H133" s="12"/>
      <c r="I133" s="12"/>
      <c r="J133" s="12"/>
      <c r="K133" s="12"/>
      <c r="N133" s="13"/>
      <c r="P133" s="37"/>
      <c r="Q133" s="46"/>
      <c r="R133" s="37"/>
      <c r="S133" s="37"/>
      <c r="T133" s="37"/>
      <c r="U133" s="37"/>
      <c r="V133" s="38"/>
      <c r="W133" s="46"/>
      <c r="X133" s="37"/>
      <c r="Y133" s="46"/>
      <c r="Z133" s="41">
        <f>Table13[[#This Row],[Time until ideal entry + 390 (6:30)]]/(1440)</f>
        <v>0.27083333333333331</v>
      </c>
      <c r="AA133" s="18"/>
      <c r="AB133" s="18" t="e">
        <f>IF(Table13[[#This Row],[HOD AFTER PM HI]]&gt;=Table13[[#This Row],[PM Hi]],((Table13[[#This Row],[HOD AFTER PM HI]]-Table13[[#This Row],[Prior day close]])/Table13[[#This Row],[Prior day close]]),Table13[[#This Row],[Prior Close to PM Hi %]])</f>
        <v>#DIV/0!</v>
      </c>
      <c r="AC133" s="42" t="e">
        <f>(Table13[[#This Row],[Price at hi of squeeze]]-Table13[[#This Row],[MKT Open Price]])/Table13[[#This Row],[MKT Open Price]]</f>
        <v>#DIV/0!</v>
      </c>
      <c r="AD133" s="18" t="e">
        <f>(Table13[[#This Row],[Price at hi of squeeze]]-Table13[[#This Row],[PM Hi]])/Table13[[#This Row],[PM Hi]]</f>
        <v>#DIV/0!</v>
      </c>
      <c r="AE133" s="18"/>
      <c r="AF133" s="20" t="e">
        <f>Table13[[#This Row],[PM VOL]]/1000000/Table13[[#This Row],[FLOAT(M)]]</f>
        <v>#DIV/0!</v>
      </c>
      <c r="AG133" s="23" t="e">
        <f>(Table13[[#This Row],[Volume]]/1000000)/Table13[[#This Row],[FLOAT(M)]]</f>
        <v>#DIV/0!</v>
      </c>
      <c r="AI133" s="18" t="e">
        <f>(Table13[[#This Row],[PM Hi]]-Table13[[#This Row],[MKT Open Price]])/(Table13[[#This Row],[PM Hi]])</f>
        <v>#DIV/0!</v>
      </c>
      <c r="AJ133" s="18" t="e">
        <f>IF(Table13[[#This Row],[PM LO]]&gt;Table13[[#This Row],[Prior day close]],(Table13[[#This Row],[PM Hi]]-Table13[[#This Row],[MKT Open Price]])/(Table13[[#This Row],[PM Hi]]-Table13[[#This Row],[Prior day close]]),(Table13[[#This Row],[PM Hi]]-Table13[[#This Row],[MKT Open Price]])/(Table13[[#This Row],[PM Hi]]-Table13[[#This Row],[PM LO]]))</f>
        <v>#DIV/0!</v>
      </c>
      <c r="AK133" s="48" t="e">
        <f>IF(Table13[[#This Row],[Prior day close]]&lt;Table13[[#This Row],[PM LO]],(I133-K133)/(I133-Table13[[#This Row],[Prior day close]]),(I133-K133)/(I133-Table13[[#This Row],[PM LO]]))</f>
        <v>#DIV/0!</v>
      </c>
      <c r="AL133" s="48">
        <f>Table13[[#This Row],[Spike % on open before drop]]+AM133</f>
        <v>0</v>
      </c>
      <c r="AM133" s="16"/>
      <c r="AN133" s="16"/>
      <c r="AO133" s="48" t="e">
        <f>IF(Table13[[#This Row],[Prior day close]]&lt;=Table13[[#This Row],[PM LO]],IF($J133&gt;=$F133,($J133-$K133)/($J133-Table13[[#This Row],[Prior day close]]),(IF($H133&lt;=$K133,($F133-$H133)/($F133-Table13[[#This Row],[Prior day close]]),(Table13[[#This Row],[PM Hi]]-Table13[[#This Row],[Lowest lo from open to squeeze]])/(Table13[[#This Row],[PM Hi]]-Table13[[#This Row],[Prior day close]])))),IF($J133&gt;=$F133,($J133-$K133)/($J133-Table13[[#This Row],[PM LO]]),(IF($H133&lt;=$K133,($F133-$H133)/($F133-Table13[[#This Row],[PM LO]]),(Table13[[#This Row],[PM Hi]]-Table13[[#This Row],[Lowest lo from open to squeeze]])/(Table13[[#This Row],[PM Hi]]-Table13[[#This Row],[PM LO]])))))</f>
        <v>#DIV/0!</v>
      </c>
      <c r="AP133" s="18"/>
      <c r="AQ133" s="17">
        <f>390+Table13[[#This Row],[Time until ideal entry point (mins) from open]]</f>
        <v>390</v>
      </c>
      <c r="AR133" s="17">
        <f>Table13[[#This Row],[Time until ideal entry + 390 (6:30)]]+Table13[[#This Row],[Duration of frontside (mins)]]</f>
        <v>390</v>
      </c>
    </row>
    <row r="134" spans="1:44" hidden="1" x14ac:dyDescent="0.25">
      <c r="A134" s="24" t="s">
        <v>171</v>
      </c>
      <c r="B134" s="47">
        <v>43914</v>
      </c>
      <c r="C134" s="47" t="s">
        <v>143</v>
      </c>
      <c r="D134" s="12"/>
      <c r="E134" s="13"/>
      <c r="F134" s="12"/>
      <c r="G134" s="12"/>
      <c r="H134" s="12"/>
      <c r="I134" s="12"/>
      <c r="J134" s="12"/>
      <c r="K134" s="12"/>
      <c r="N134" s="13"/>
      <c r="P134" s="37"/>
      <c r="Q134" s="46"/>
      <c r="R134" s="37"/>
      <c r="S134" s="37"/>
      <c r="T134" s="37"/>
      <c r="U134" s="37"/>
      <c r="V134" s="38"/>
      <c r="W134" s="46"/>
      <c r="X134" s="37"/>
      <c r="Y134" s="46"/>
      <c r="Z134" s="41">
        <f>Table13[[#This Row],[Time until ideal entry + 390 (6:30)]]/(1440)</f>
        <v>0.27083333333333331</v>
      </c>
      <c r="AA134" s="18"/>
      <c r="AB134" s="18" t="e">
        <f>IF(Table13[[#This Row],[HOD AFTER PM HI]]&gt;=Table13[[#This Row],[PM Hi]],((Table13[[#This Row],[HOD AFTER PM HI]]-Table13[[#This Row],[Prior day close]])/Table13[[#This Row],[Prior day close]]),Table13[[#This Row],[Prior Close to PM Hi %]])</f>
        <v>#DIV/0!</v>
      </c>
      <c r="AC134" s="42" t="e">
        <f>(Table13[[#This Row],[Price at hi of squeeze]]-Table13[[#This Row],[MKT Open Price]])/Table13[[#This Row],[MKT Open Price]]</f>
        <v>#DIV/0!</v>
      </c>
      <c r="AD134" s="18" t="e">
        <f>(Table13[[#This Row],[Price at hi of squeeze]]-Table13[[#This Row],[PM Hi]])/Table13[[#This Row],[PM Hi]]</f>
        <v>#DIV/0!</v>
      </c>
      <c r="AE134" s="18"/>
      <c r="AF134" s="20" t="e">
        <f>Table13[[#This Row],[PM VOL]]/1000000/Table13[[#This Row],[FLOAT(M)]]</f>
        <v>#DIV/0!</v>
      </c>
      <c r="AG134" s="23" t="e">
        <f>(Table13[[#This Row],[Volume]]/1000000)/Table13[[#This Row],[FLOAT(M)]]</f>
        <v>#DIV/0!</v>
      </c>
      <c r="AI134" s="18" t="e">
        <f>(Table13[[#This Row],[PM Hi]]-Table13[[#This Row],[MKT Open Price]])/(Table13[[#This Row],[PM Hi]])</f>
        <v>#DIV/0!</v>
      </c>
      <c r="AJ134" s="18" t="e">
        <f>IF(Table13[[#This Row],[PM LO]]&gt;Table13[[#This Row],[Prior day close]],(Table13[[#This Row],[PM Hi]]-Table13[[#This Row],[MKT Open Price]])/(Table13[[#This Row],[PM Hi]]-Table13[[#This Row],[Prior day close]]),(Table13[[#This Row],[PM Hi]]-Table13[[#This Row],[MKT Open Price]])/(Table13[[#This Row],[PM Hi]]-Table13[[#This Row],[PM LO]]))</f>
        <v>#DIV/0!</v>
      </c>
      <c r="AK134" s="48" t="e">
        <f>IF(Table13[[#This Row],[Prior day close]]&lt;Table13[[#This Row],[PM LO]],(I134-K134)/(I134-Table13[[#This Row],[Prior day close]]),(I134-K134)/(I134-Table13[[#This Row],[PM LO]]))</f>
        <v>#DIV/0!</v>
      </c>
      <c r="AL134" s="48">
        <f>Table13[[#This Row],[Spike % on open before drop]]+AM134</f>
        <v>0</v>
      </c>
      <c r="AM134" s="16"/>
      <c r="AN134" s="16"/>
      <c r="AO134" s="48" t="e">
        <f>IF(Table13[[#This Row],[Prior day close]]&lt;=Table13[[#This Row],[PM LO]],IF($J134&gt;=$F134,($J134-$K134)/($J134-Table13[[#This Row],[Prior day close]]),(IF($H134&lt;=$K134,($F134-$H134)/($F134-Table13[[#This Row],[Prior day close]]),(Table13[[#This Row],[PM Hi]]-Table13[[#This Row],[Lowest lo from open to squeeze]])/(Table13[[#This Row],[PM Hi]]-Table13[[#This Row],[Prior day close]])))),IF($J134&gt;=$F134,($J134-$K134)/($J134-Table13[[#This Row],[PM LO]]),(IF($H134&lt;=$K134,($F134-$H134)/($F134-Table13[[#This Row],[PM LO]]),(Table13[[#This Row],[PM Hi]]-Table13[[#This Row],[Lowest lo from open to squeeze]])/(Table13[[#This Row],[PM Hi]]-Table13[[#This Row],[PM LO]])))))</f>
        <v>#DIV/0!</v>
      </c>
      <c r="AP134" s="18"/>
      <c r="AQ134" s="17">
        <f>390+Table13[[#This Row],[Time until ideal entry point (mins) from open]]</f>
        <v>390</v>
      </c>
      <c r="AR134" s="17">
        <f>Table13[[#This Row],[Time until ideal entry + 390 (6:30)]]+Table13[[#This Row],[Duration of frontside (mins)]]</f>
        <v>390</v>
      </c>
    </row>
    <row r="135" spans="1:44" hidden="1" x14ac:dyDescent="0.25">
      <c r="A135" s="24" t="s">
        <v>60</v>
      </c>
      <c r="B135" s="47">
        <v>43917</v>
      </c>
      <c r="C135" s="47" t="s">
        <v>143</v>
      </c>
      <c r="D135" s="12"/>
      <c r="E135" s="13"/>
      <c r="F135" s="12"/>
      <c r="G135" s="12"/>
      <c r="H135" s="12"/>
      <c r="I135" s="12"/>
      <c r="J135" s="12"/>
      <c r="K135" s="12"/>
      <c r="N135" s="13"/>
      <c r="P135" s="37"/>
      <c r="Q135" s="46"/>
      <c r="R135" s="37"/>
      <c r="S135" s="37"/>
      <c r="T135" s="37"/>
      <c r="U135" s="37"/>
      <c r="V135" s="38"/>
      <c r="W135" s="46"/>
      <c r="X135" s="37"/>
      <c r="Y135" s="46"/>
      <c r="Z135" s="41">
        <f>Table13[[#This Row],[Time until ideal entry + 390 (6:30)]]/(1440)</f>
        <v>0.27083333333333331</v>
      </c>
      <c r="AA135" s="18"/>
      <c r="AB135" s="18" t="e">
        <f>IF(Table13[[#This Row],[HOD AFTER PM HI]]&gt;=Table13[[#This Row],[PM Hi]],((Table13[[#This Row],[HOD AFTER PM HI]]-Table13[[#This Row],[Prior day close]])/Table13[[#This Row],[Prior day close]]),Table13[[#This Row],[Prior Close to PM Hi %]])</f>
        <v>#DIV/0!</v>
      </c>
      <c r="AC135" s="42" t="e">
        <f>(Table13[[#This Row],[Price at hi of squeeze]]-Table13[[#This Row],[MKT Open Price]])/Table13[[#This Row],[MKT Open Price]]</f>
        <v>#DIV/0!</v>
      </c>
      <c r="AD135" s="18" t="e">
        <f>(Table13[[#This Row],[Price at hi of squeeze]]-Table13[[#This Row],[PM Hi]])/Table13[[#This Row],[PM Hi]]</f>
        <v>#DIV/0!</v>
      </c>
      <c r="AE135" s="18"/>
      <c r="AF135" s="20" t="e">
        <f>Table13[[#This Row],[PM VOL]]/1000000/Table13[[#This Row],[FLOAT(M)]]</f>
        <v>#DIV/0!</v>
      </c>
      <c r="AG135" s="23" t="e">
        <f>(Table13[[#This Row],[Volume]]/1000000)/Table13[[#This Row],[FLOAT(M)]]</f>
        <v>#DIV/0!</v>
      </c>
      <c r="AI135" s="18" t="e">
        <f>(Table13[[#This Row],[PM Hi]]-Table13[[#This Row],[MKT Open Price]])/(Table13[[#This Row],[PM Hi]])</f>
        <v>#DIV/0!</v>
      </c>
      <c r="AJ135" s="18" t="e">
        <f>IF(Table13[[#This Row],[PM LO]]&gt;Table13[[#This Row],[Prior day close]],(Table13[[#This Row],[PM Hi]]-Table13[[#This Row],[MKT Open Price]])/(Table13[[#This Row],[PM Hi]]-Table13[[#This Row],[Prior day close]]),(Table13[[#This Row],[PM Hi]]-Table13[[#This Row],[MKT Open Price]])/(Table13[[#This Row],[PM Hi]]-Table13[[#This Row],[PM LO]]))</f>
        <v>#DIV/0!</v>
      </c>
      <c r="AK135" s="48" t="e">
        <f>IF(Table13[[#This Row],[Prior day close]]&lt;Table13[[#This Row],[PM LO]],(I135-K135)/(I135-Table13[[#This Row],[Prior day close]]),(I135-K135)/(I135-Table13[[#This Row],[PM LO]]))</f>
        <v>#DIV/0!</v>
      </c>
      <c r="AL135" s="48">
        <f>Table13[[#This Row],[Spike % on open before drop]]+AM135</f>
        <v>0</v>
      </c>
      <c r="AM135" s="16"/>
      <c r="AN135" s="16"/>
      <c r="AO135" s="48" t="e">
        <f>IF(Table13[[#This Row],[Prior day close]]&lt;=Table13[[#This Row],[PM LO]],IF($J135&gt;=$F135,($J135-$K135)/($J135-Table13[[#This Row],[Prior day close]]),(IF($H135&lt;=$K135,($F135-$H135)/($F135-Table13[[#This Row],[Prior day close]]),(Table13[[#This Row],[PM Hi]]-Table13[[#This Row],[Lowest lo from open to squeeze]])/(Table13[[#This Row],[PM Hi]]-Table13[[#This Row],[Prior day close]])))),IF($J135&gt;=$F135,($J135-$K135)/($J135-Table13[[#This Row],[PM LO]]),(IF($H135&lt;=$K135,($F135-$H135)/($F135-Table13[[#This Row],[PM LO]]),(Table13[[#This Row],[PM Hi]]-Table13[[#This Row],[Lowest lo from open to squeeze]])/(Table13[[#This Row],[PM Hi]]-Table13[[#This Row],[PM LO]])))))</f>
        <v>#DIV/0!</v>
      </c>
      <c r="AP135" s="18"/>
      <c r="AQ135" s="17">
        <f>390+Table13[[#This Row],[Time until ideal entry point (mins) from open]]</f>
        <v>390</v>
      </c>
      <c r="AR135" s="17">
        <f>Table13[[#This Row],[Time until ideal entry + 390 (6:30)]]+Table13[[#This Row],[Duration of frontside (mins)]]</f>
        <v>390</v>
      </c>
    </row>
    <row r="136" spans="1:44" hidden="1" x14ac:dyDescent="0.25">
      <c r="A136" s="24" t="s">
        <v>173</v>
      </c>
      <c r="B136" s="47">
        <v>43935</v>
      </c>
      <c r="C136" s="47" t="s">
        <v>71</v>
      </c>
      <c r="D136" s="12"/>
      <c r="E136" s="13"/>
      <c r="F136" s="12"/>
      <c r="G136" s="12"/>
      <c r="H136" s="12"/>
      <c r="I136" s="12"/>
      <c r="J136" s="12"/>
      <c r="K136" s="12"/>
      <c r="N136" s="13"/>
      <c r="P136" s="37"/>
      <c r="Q136" s="46"/>
      <c r="R136" s="37"/>
      <c r="S136" s="37"/>
      <c r="T136" s="37"/>
      <c r="U136" s="37"/>
      <c r="V136" s="38"/>
      <c r="W136" s="46"/>
      <c r="X136" s="37"/>
      <c r="Y136" s="46"/>
      <c r="Z136" s="41">
        <f>Table13[[#This Row],[Time until ideal entry + 390 (6:30)]]/(1440)</f>
        <v>0.27083333333333331</v>
      </c>
      <c r="AA136" s="18"/>
      <c r="AB136" s="18" t="e">
        <f>IF(Table13[[#This Row],[HOD AFTER PM HI]]&gt;=Table13[[#This Row],[PM Hi]],((Table13[[#This Row],[HOD AFTER PM HI]]-Table13[[#This Row],[Prior day close]])/Table13[[#This Row],[Prior day close]]),Table13[[#This Row],[Prior Close to PM Hi %]])</f>
        <v>#DIV/0!</v>
      </c>
      <c r="AC136" s="42" t="e">
        <f>(Table13[[#This Row],[Price at hi of squeeze]]-Table13[[#This Row],[MKT Open Price]])/Table13[[#This Row],[MKT Open Price]]</f>
        <v>#DIV/0!</v>
      </c>
      <c r="AD136" s="18" t="e">
        <f>(Table13[[#This Row],[Price at hi of squeeze]]-Table13[[#This Row],[PM Hi]])/Table13[[#This Row],[PM Hi]]</f>
        <v>#DIV/0!</v>
      </c>
      <c r="AE136" s="18"/>
      <c r="AF136" s="20" t="e">
        <f>Table13[[#This Row],[PM VOL]]/1000000/Table13[[#This Row],[FLOAT(M)]]</f>
        <v>#DIV/0!</v>
      </c>
      <c r="AG136" s="23" t="e">
        <f>(Table13[[#This Row],[Volume]]/1000000)/Table13[[#This Row],[FLOAT(M)]]</f>
        <v>#DIV/0!</v>
      </c>
      <c r="AI136" s="18" t="e">
        <f>(Table13[[#This Row],[PM Hi]]-Table13[[#This Row],[MKT Open Price]])/(Table13[[#This Row],[PM Hi]])</f>
        <v>#DIV/0!</v>
      </c>
      <c r="AJ136" s="18" t="e">
        <f>IF(Table13[[#This Row],[PM LO]]&gt;Table13[[#This Row],[Prior day close]],(Table13[[#This Row],[PM Hi]]-Table13[[#This Row],[MKT Open Price]])/(Table13[[#This Row],[PM Hi]]-Table13[[#This Row],[Prior day close]]),(Table13[[#This Row],[PM Hi]]-Table13[[#This Row],[MKT Open Price]])/(Table13[[#This Row],[PM Hi]]-Table13[[#This Row],[PM LO]]))</f>
        <v>#DIV/0!</v>
      </c>
      <c r="AK136" s="48" t="e">
        <f>IF(Table13[[#This Row],[Prior day close]]&lt;Table13[[#This Row],[PM LO]],(I136-K136)/(I136-Table13[[#This Row],[Prior day close]]),(I136-K136)/(I136-Table13[[#This Row],[PM LO]]))</f>
        <v>#DIV/0!</v>
      </c>
      <c r="AL136" s="48">
        <f>Table13[[#This Row],[Spike % on open before drop]]+AM136</f>
        <v>0</v>
      </c>
      <c r="AM136" s="16"/>
      <c r="AN136" s="16"/>
      <c r="AO136" s="48" t="e">
        <f>IF(Table13[[#This Row],[Prior day close]]&lt;=Table13[[#This Row],[PM LO]],IF($J136&gt;=$F136,($J136-$K136)/($J136-Table13[[#This Row],[Prior day close]]),(IF($H136&lt;=$K136,($F136-$H136)/($F136-Table13[[#This Row],[Prior day close]]),(Table13[[#This Row],[PM Hi]]-Table13[[#This Row],[Lowest lo from open to squeeze]])/(Table13[[#This Row],[PM Hi]]-Table13[[#This Row],[Prior day close]])))),IF($J136&gt;=$F136,($J136-$K136)/($J136-Table13[[#This Row],[PM LO]]),(IF($H136&lt;=$K136,($F136-$H136)/($F136-Table13[[#This Row],[PM LO]]),(Table13[[#This Row],[PM Hi]]-Table13[[#This Row],[Lowest lo from open to squeeze]])/(Table13[[#This Row],[PM Hi]]-Table13[[#This Row],[PM LO]])))))</f>
        <v>#DIV/0!</v>
      </c>
      <c r="AP136" s="18"/>
      <c r="AQ136" s="17">
        <f>390+Table13[[#This Row],[Time until ideal entry point (mins) from open]]</f>
        <v>390</v>
      </c>
      <c r="AR136" s="17">
        <f>Table13[[#This Row],[Time until ideal entry + 390 (6:30)]]+Table13[[#This Row],[Duration of frontside (mins)]]</f>
        <v>390</v>
      </c>
    </row>
    <row r="137" spans="1:44" hidden="1" x14ac:dyDescent="0.25">
      <c r="A137" s="24" t="s">
        <v>174</v>
      </c>
      <c r="B137" s="47">
        <v>43936</v>
      </c>
      <c r="C137" s="47" t="s">
        <v>143</v>
      </c>
      <c r="D137" s="12"/>
      <c r="E137" s="13"/>
      <c r="F137" s="12"/>
      <c r="G137" s="12"/>
      <c r="H137" s="12"/>
      <c r="I137" s="12"/>
      <c r="J137" s="12"/>
      <c r="K137" s="12"/>
      <c r="N137" s="13"/>
      <c r="P137" s="37"/>
      <c r="Q137" s="46"/>
      <c r="R137" s="37"/>
      <c r="S137" s="37"/>
      <c r="T137" s="37"/>
      <c r="U137" s="37"/>
      <c r="V137" s="38"/>
      <c r="W137" s="46"/>
      <c r="X137" s="37"/>
      <c r="Y137" s="46"/>
      <c r="Z137" s="41">
        <f>Table13[[#This Row],[Time until ideal entry + 390 (6:30)]]/(1440)</f>
        <v>0.27083333333333331</v>
      </c>
      <c r="AA137" s="18"/>
      <c r="AB137" s="18" t="e">
        <f>IF(Table13[[#This Row],[HOD AFTER PM HI]]&gt;=Table13[[#This Row],[PM Hi]],((Table13[[#This Row],[HOD AFTER PM HI]]-Table13[[#This Row],[Prior day close]])/Table13[[#This Row],[Prior day close]]),Table13[[#This Row],[Prior Close to PM Hi %]])</f>
        <v>#DIV/0!</v>
      </c>
      <c r="AC137" s="42" t="e">
        <f>(Table13[[#This Row],[Price at hi of squeeze]]-Table13[[#This Row],[MKT Open Price]])/Table13[[#This Row],[MKT Open Price]]</f>
        <v>#DIV/0!</v>
      </c>
      <c r="AD137" s="18" t="e">
        <f>(Table13[[#This Row],[Price at hi of squeeze]]-Table13[[#This Row],[PM Hi]])/Table13[[#This Row],[PM Hi]]</f>
        <v>#DIV/0!</v>
      </c>
      <c r="AE137" s="18"/>
      <c r="AF137" s="20" t="e">
        <f>Table13[[#This Row],[PM VOL]]/1000000/Table13[[#This Row],[FLOAT(M)]]</f>
        <v>#DIV/0!</v>
      </c>
      <c r="AG137" s="23" t="e">
        <f>(Table13[[#This Row],[Volume]]/1000000)/Table13[[#This Row],[FLOAT(M)]]</f>
        <v>#DIV/0!</v>
      </c>
      <c r="AI137" s="18" t="e">
        <f>(Table13[[#This Row],[PM Hi]]-Table13[[#This Row],[MKT Open Price]])/(Table13[[#This Row],[PM Hi]])</f>
        <v>#DIV/0!</v>
      </c>
      <c r="AJ137" s="18" t="e">
        <f>IF(Table13[[#This Row],[PM LO]]&gt;Table13[[#This Row],[Prior day close]],(Table13[[#This Row],[PM Hi]]-Table13[[#This Row],[MKT Open Price]])/(Table13[[#This Row],[PM Hi]]-Table13[[#This Row],[Prior day close]]),(Table13[[#This Row],[PM Hi]]-Table13[[#This Row],[MKT Open Price]])/(Table13[[#This Row],[PM Hi]]-Table13[[#This Row],[PM LO]]))</f>
        <v>#DIV/0!</v>
      </c>
      <c r="AK137" s="48" t="e">
        <f>IF(Table13[[#This Row],[Prior day close]]&lt;Table13[[#This Row],[PM LO]],(I137-K137)/(I137-Table13[[#This Row],[Prior day close]]),(I137-K137)/(I137-Table13[[#This Row],[PM LO]]))</f>
        <v>#DIV/0!</v>
      </c>
      <c r="AL137" s="48">
        <f>Table13[[#This Row],[Spike % on open before drop]]+AM137</f>
        <v>0</v>
      </c>
      <c r="AM137" s="16"/>
      <c r="AN137" s="16"/>
      <c r="AO137" s="48" t="e">
        <f>IF(Table13[[#This Row],[Prior day close]]&lt;=Table13[[#This Row],[PM LO]],IF($J137&gt;=$F137,($J137-$K137)/($J137-Table13[[#This Row],[Prior day close]]),(IF($H137&lt;=$K137,($F137-$H137)/($F137-Table13[[#This Row],[Prior day close]]),(Table13[[#This Row],[PM Hi]]-Table13[[#This Row],[Lowest lo from open to squeeze]])/(Table13[[#This Row],[PM Hi]]-Table13[[#This Row],[Prior day close]])))),IF($J137&gt;=$F137,($J137-$K137)/($J137-Table13[[#This Row],[PM LO]]),(IF($H137&lt;=$K137,($F137-$H137)/($F137-Table13[[#This Row],[PM LO]]),(Table13[[#This Row],[PM Hi]]-Table13[[#This Row],[Lowest lo from open to squeeze]])/(Table13[[#This Row],[PM Hi]]-Table13[[#This Row],[PM LO]])))))</f>
        <v>#DIV/0!</v>
      </c>
      <c r="AP137" s="18"/>
      <c r="AQ137" s="17">
        <f>390+Table13[[#This Row],[Time until ideal entry point (mins) from open]]</f>
        <v>390</v>
      </c>
      <c r="AR137" s="17">
        <f>Table13[[#This Row],[Time until ideal entry + 390 (6:30)]]+Table13[[#This Row],[Duration of frontside (mins)]]</f>
        <v>390</v>
      </c>
    </row>
    <row r="138" spans="1:44" hidden="1" x14ac:dyDescent="0.25">
      <c r="A138" s="24" t="s">
        <v>175</v>
      </c>
      <c r="B138" s="47">
        <v>43937</v>
      </c>
      <c r="C138" s="47" t="s">
        <v>143</v>
      </c>
      <c r="D138" s="12"/>
      <c r="E138" s="13"/>
      <c r="F138" s="12"/>
      <c r="G138" s="12"/>
      <c r="H138" s="12"/>
      <c r="I138" s="12"/>
      <c r="J138" s="12"/>
      <c r="K138" s="12"/>
      <c r="N138" s="13"/>
      <c r="P138" s="37"/>
      <c r="Q138" s="46"/>
      <c r="R138" s="37"/>
      <c r="S138" s="37"/>
      <c r="T138" s="37"/>
      <c r="U138" s="37"/>
      <c r="V138" s="38"/>
      <c r="W138" s="46"/>
      <c r="X138" s="37"/>
      <c r="Y138" s="46"/>
      <c r="Z138" s="41">
        <f>Table13[[#This Row],[Time until ideal entry + 390 (6:30)]]/(1440)</f>
        <v>0.27083333333333331</v>
      </c>
      <c r="AA138" s="18"/>
      <c r="AB138" s="18" t="e">
        <f>IF(Table13[[#This Row],[HOD AFTER PM HI]]&gt;=Table13[[#This Row],[PM Hi]],((Table13[[#This Row],[HOD AFTER PM HI]]-Table13[[#This Row],[Prior day close]])/Table13[[#This Row],[Prior day close]]),Table13[[#This Row],[Prior Close to PM Hi %]])</f>
        <v>#DIV/0!</v>
      </c>
      <c r="AC138" s="42" t="e">
        <f>(Table13[[#This Row],[Price at hi of squeeze]]-Table13[[#This Row],[MKT Open Price]])/Table13[[#This Row],[MKT Open Price]]</f>
        <v>#DIV/0!</v>
      </c>
      <c r="AD138" s="18" t="e">
        <f>(Table13[[#This Row],[Price at hi of squeeze]]-Table13[[#This Row],[PM Hi]])/Table13[[#This Row],[PM Hi]]</f>
        <v>#DIV/0!</v>
      </c>
      <c r="AE138" s="18"/>
      <c r="AF138" s="20" t="e">
        <f>Table13[[#This Row],[PM VOL]]/1000000/Table13[[#This Row],[FLOAT(M)]]</f>
        <v>#DIV/0!</v>
      </c>
      <c r="AG138" s="23" t="e">
        <f>(Table13[[#This Row],[Volume]]/1000000)/Table13[[#This Row],[FLOAT(M)]]</f>
        <v>#DIV/0!</v>
      </c>
      <c r="AI138" s="18" t="e">
        <f>(Table13[[#This Row],[PM Hi]]-Table13[[#This Row],[MKT Open Price]])/(Table13[[#This Row],[PM Hi]])</f>
        <v>#DIV/0!</v>
      </c>
      <c r="AJ138" s="18" t="e">
        <f>IF(Table13[[#This Row],[PM LO]]&gt;Table13[[#This Row],[Prior day close]],(Table13[[#This Row],[PM Hi]]-Table13[[#This Row],[MKT Open Price]])/(Table13[[#This Row],[PM Hi]]-Table13[[#This Row],[Prior day close]]),(Table13[[#This Row],[PM Hi]]-Table13[[#This Row],[MKT Open Price]])/(Table13[[#This Row],[PM Hi]]-Table13[[#This Row],[PM LO]]))</f>
        <v>#DIV/0!</v>
      </c>
      <c r="AK138" s="48" t="e">
        <f>IF(Table13[[#This Row],[Prior day close]]&lt;Table13[[#This Row],[PM LO]],(I138-K138)/(I138-Table13[[#This Row],[Prior day close]]),(I138-K138)/(I138-Table13[[#This Row],[PM LO]]))</f>
        <v>#DIV/0!</v>
      </c>
      <c r="AL138" s="48">
        <f>Table13[[#This Row],[Spike % on open before drop]]+AM138</f>
        <v>0</v>
      </c>
      <c r="AM138" s="16"/>
      <c r="AN138" s="16"/>
      <c r="AO138" s="48" t="e">
        <f>IF(Table13[[#This Row],[Prior day close]]&lt;=Table13[[#This Row],[PM LO]],IF($J138&gt;=$F138,($J138-$K138)/($J138-Table13[[#This Row],[Prior day close]]),(IF($H138&lt;=$K138,($F138-$H138)/($F138-Table13[[#This Row],[Prior day close]]),(Table13[[#This Row],[PM Hi]]-Table13[[#This Row],[Lowest lo from open to squeeze]])/(Table13[[#This Row],[PM Hi]]-Table13[[#This Row],[Prior day close]])))),IF($J138&gt;=$F138,($J138-$K138)/($J138-Table13[[#This Row],[PM LO]]),(IF($H138&lt;=$K138,($F138-$H138)/($F138-Table13[[#This Row],[PM LO]]),(Table13[[#This Row],[PM Hi]]-Table13[[#This Row],[Lowest lo from open to squeeze]])/(Table13[[#This Row],[PM Hi]]-Table13[[#This Row],[PM LO]])))))</f>
        <v>#DIV/0!</v>
      </c>
      <c r="AP138" s="18"/>
      <c r="AQ138" s="17">
        <f>390+Table13[[#This Row],[Time until ideal entry point (mins) from open]]</f>
        <v>390</v>
      </c>
      <c r="AR138" s="17">
        <f>Table13[[#This Row],[Time until ideal entry + 390 (6:30)]]+Table13[[#This Row],[Duration of frontside (mins)]]</f>
        <v>390</v>
      </c>
    </row>
    <row r="139" spans="1:44" hidden="1" x14ac:dyDescent="0.25">
      <c r="A139" s="24" t="s">
        <v>176</v>
      </c>
      <c r="B139" s="47">
        <v>43937</v>
      </c>
      <c r="C139" s="47" t="s">
        <v>71</v>
      </c>
      <c r="D139" s="12"/>
      <c r="E139" s="13"/>
      <c r="F139" s="12"/>
      <c r="G139" s="12"/>
      <c r="H139" s="12"/>
      <c r="I139" s="12"/>
      <c r="J139" s="12"/>
      <c r="K139" s="12"/>
      <c r="N139" s="13"/>
      <c r="P139" s="37"/>
      <c r="Q139" s="46"/>
      <c r="R139" s="37"/>
      <c r="S139" s="37"/>
      <c r="T139" s="37"/>
      <c r="U139" s="37"/>
      <c r="V139" s="38"/>
      <c r="W139" s="46"/>
      <c r="X139" s="37"/>
      <c r="Y139" s="46"/>
      <c r="Z139" s="41">
        <f>Table13[[#This Row],[Time until ideal entry + 390 (6:30)]]/(1440)</f>
        <v>0.27083333333333331</v>
      </c>
      <c r="AA139" s="18"/>
      <c r="AB139" s="18" t="e">
        <f>IF(Table13[[#This Row],[HOD AFTER PM HI]]&gt;=Table13[[#This Row],[PM Hi]],((Table13[[#This Row],[HOD AFTER PM HI]]-Table13[[#This Row],[Prior day close]])/Table13[[#This Row],[Prior day close]]),Table13[[#This Row],[Prior Close to PM Hi %]])</f>
        <v>#DIV/0!</v>
      </c>
      <c r="AC139" s="42" t="e">
        <f>(Table13[[#This Row],[Price at hi of squeeze]]-Table13[[#This Row],[MKT Open Price]])/Table13[[#This Row],[MKT Open Price]]</f>
        <v>#DIV/0!</v>
      </c>
      <c r="AD139" s="18" t="e">
        <f>(Table13[[#This Row],[Price at hi of squeeze]]-Table13[[#This Row],[PM Hi]])/Table13[[#This Row],[PM Hi]]</f>
        <v>#DIV/0!</v>
      </c>
      <c r="AE139" s="18"/>
      <c r="AF139" s="20" t="e">
        <f>Table13[[#This Row],[PM VOL]]/1000000/Table13[[#This Row],[FLOAT(M)]]</f>
        <v>#DIV/0!</v>
      </c>
      <c r="AG139" s="23" t="e">
        <f>(Table13[[#This Row],[Volume]]/1000000)/Table13[[#This Row],[FLOAT(M)]]</f>
        <v>#DIV/0!</v>
      </c>
      <c r="AI139" s="18" t="e">
        <f>(Table13[[#This Row],[PM Hi]]-Table13[[#This Row],[MKT Open Price]])/(Table13[[#This Row],[PM Hi]])</f>
        <v>#DIV/0!</v>
      </c>
      <c r="AJ139" s="18" t="e">
        <f>IF(Table13[[#This Row],[PM LO]]&gt;Table13[[#This Row],[Prior day close]],(Table13[[#This Row],[PM Hi]]-Table13[[#This Row],[MKT Open Price]])/(Table13[[#This Row],[PM Hi]]-Table13[[#This Row],[Prior day close]]),(Table13[[#This Row],[PM Hi]]-Table13[[#This Row],[MKT Open Price]])/(Table13[[#This Row],[PM Hi]]-Table13[[#This Row],[PM LO]]))</f>
        <v>#DIV/0!</v>
      </c>
      <c r="AK139" s="48" t="e">
        <f>IF(Table13[[#This Row],[Prior day close]]&lt;Table13[[#This Row],[PM LO]],(I139-K139)/(I139-Table13[[#This Row],[Prior day close]]),(I139-K139)/(I139-Table13[[#This Row],[PM LO]]))</f>
        <v>#DIV/0!</v>
      </c>
      <c r="AL139" s="48">
        <f>Table13[[#This Row],[Spike % on open before drop]]+AM139</f>
        <v>0</v>
      </c>
      <c r="AM139" s="16"/>
      <c r="AN139" s="16"/>
      <c r="AO139" s="48" t="e">
        <f>IF(Table13[[#This Row],[Prior day close]]&lt;=Table13[[#This Row],[PM LO]],IF($J139&gt;=$F139,($J139-$K139)/($J139-Table13[[#This Row],[Prior day close]]),(IF($H139&lt;=$K139,($F139-$H139)/($F139-Table13[[#This Row],[Prior day close]]),(Table13[[#This Row],[PM Hi]]-Table13[[#This Row],[Lowest lo from open to squeeze]])/(Table13[[#This Row],[PM Hi]]-Table13[[#This Row],[Prior day close]])))),IF($J139&gt;=$F139,($J139-$K139)/($J139-Table13[[#This Row],[PM LO]]),(IF($H139&lt;=$K139,($F139-$H139)/($F139-Table13[[#This Row],[PM LO]]),(Table13[[#This Row],[PM Hi]]-Table13[[#This Row],[Lowest lo from open to squeeze]])/(Table13[[#This Row],[PM Hi]]-Table13[[#This Row],[PM LO]])))))</f>
        <v>#DIV/0!</v>
      </c>
      <c r="AP139" s="18"/>
      <c r="AQ139" s="17">
        <f>390+Table13[[#This Row],[Time until ideal entry point (mins) from open]]</f>
        <v>390</v>
      </c>
      <c r="AR139" s="17">
        <f>Table13[[#This Row],[Time until ideal entry + 390 (6:30)]]+Table13[[#This Row],[Duration of frontside (mins)]]</f>
        <v>390</v>
      </c>
    </row>
    <row r="140" spans="1:44" hidden="1" x14ac:dyDescent="0.25">
      <c r="A140" s="24" t="s">
        <v>177</v>
      </c>
      <c r="B140" s="47">
        <v>43942</v>
      </c>
      <c r="C140" s="47" t="s">
        <v>71</v>
      </c>
      <c r="D140" s="12"/>
      <c r="E140" s="13"/>
      <c r="F140" s="12"/>
      <c r="G140" s="12"/>
      <c r="H140" s="12"/>
      <c r="I140" s="12"/>
      <c r="J140" s="12"/>
      <c r="K140" s="12"/>
      <c r="N140" s="13"/>
      <c r="P140" s="37"/>
      <c r="Q140" s="46"/>
      <c r="R140" s="37"/>
      <c r="S140" s="37"/>
      <c r="T140" s="37"/>
      <c r="U140" s="37"/>
      <c r="V140" s="38"/>
      <c r="W140" s="46"/>
      <c r="X140" s="37"/>
      <c r="Y140" s="46"/>
      <c r="Z140" s="41">
        <f>Table13[[#This Row],[Time until ideal entry + 390 (6:30)]]/(1440)</f>
        <v>0.27083333333333331</v>
      </c>
      <c r="AA140" s="18"/>
      <c r="AB140" s="18" t="e">
        <f>IF(Table13[[#This Row],[HOD AFTER PM HI]]&gt;=Table13[[#This Row],[PM Hi]],((Table13[[#This Row],[HOD AFTER PM HI]]-Table13[[#This Row],[Prior day close]])/Table13[[#This Row],[Prior day close]]),Table13[[#This Row],[Prior Close to PM Hi %]])</f>
        <v>#DIV/0!</v>
      </c>
      <c r="AC140" s="42" t="e">
        <f>(Table13[[#This Row],[Price at hi of squeeze]]-Table13[[#This Row],[MKT Open Price]])/Table13[[#This Row],[MKT Open Price]]</f>
        <v>#DIV/0!</v>
      </c>
      <c r="AD140" s="18" t="e">
        <f>(Table13[[#This Row],[Price at hi of squeeze]]-Table13[[#This Row],[PM Hi]])/Table13[[#This Row],[PM Hi]]</f>
        <v>#DIV/0!</v>
      </c>
      <c r="AE140" s="18"/>
      <c r="AF140" s="20" t="e">
        <f>Table13[[#This Row],[PM VOL]]/1000000/Table13[[#This Row],[FLOAT(M)]]</f>
        <v>#DIV/0!</v>
      </c>
      <c r="AG140" s="23" t="e">
        <f>(Table13[[#This Row],[Volume]]/1000000)/Table13[[#This Row],[FLOAT(M)]]</f>
        <v>#DIV/0!</v>
      </c>
      <c r="AI140" s="18" t="e">
        <f>(Table13[[#This Row],[PM Hi]]-Table13[[#This Row],[MKT Open Price]])/(Table13[[#This Row],[PM Hi]])</f>
        <v>#DIV/0!</v>
      </c>
      <c r="AJ140" s="18" t="e">
        <f>IF(Table13[[#This Row],[PM LO]]&gt;Table13[[#This Row],[Prior day close]],(Table13[[#This Row],[PM Hi]]-Table13[[#This Row],[MKT Open Price]])/(Table13[[#This Row],[PM Hi]]-Table13[[#This Row],[Prior day close]]),(Table13[[#This Row],[PM Hi]]-Table13[[#This Row],[MKT Open Price]])/(Table13[[#This Row],[PM Hi]]-Table13[[#This Row],[PM LO]]))</f>
        <v>#DIV/0!</v>
      </c>
      <c r="AK140" s="48" t="e">
        <f>IF(Table13[[#This Row],[Prior day close]]&lt;Table13[[#This Row],[PM LO]],(I140-K140)/(I140-Table13[[#This Row],[Prior day close]]),(I140-K140)/(I140-Table13[[#This Row],[PM LO]]))</f>
        <v>#DIV/0!</v>
      </c>
      <c r="AL140" s="48">
        <f>Table13[[#This Row],[Spike % on open before drop]]+AM140</f>
        <v>0</v>
      </c>
      <c r="AM140" s="16"/>
      <c r="AN140" s="16"/>
      <c r="AO140" s="48" t="e">
        <f>IF(Table13[[#This Row],[Prior day close]]&lt;=Table13[[#This Row],[PM LO]],IF($J140&gt;=$F140,($J140-$K140)/($J140-Table13[[#This Row],[Prior day close]]),(IF($H140&lt;=$K140,($F140-$H140)/($F140-Table13[[#This Row],[Prior day close]]),(Table13[[#This Row],[PM Hi]]-Table13[[#This Row],[Lowest lo from open to squeeze]])/(Table13[[#This Row],[PM Hi]]-Table13[[#This Row],[Prior day close]])))),IF($J140&gt;=$F140,($J140-$K140)/($J140-Table13[[#This Row],[PM LO]]),(IF($H140&lt;=$K140,($F140-$H140)/($F140-Table13[[#This Row],[PM LO]]),(Table13[[#This Row],[PM Hi]]-Table13[[#This Row],[Lowest lo from open to squeeze]])/(Table13[[#This Row],[PM Hi]]-Table13[[#This Row],[PM LO]])))))</f>
        <v>#DIV/0!</v>
      </c>
      <c r="AP140" s="18"/>
      <c r="AQ140" s="17">
        <f>390+Table13[[#This Row],[Time until ideal entry point (mins) from open]]</f>
        <v>390</v>
      </c>
      <c r="AR140" s="17">
        <f>Table13[[#This Row],[Time until ideal entry + 390 (6:30)]]+Table13[[#This Row],[Duration of frontside (mins)]]</f>
        <v>390</v>
      </c>
    </row>
    <row r="141" spans="1:44" hidden="1" x14ac:dyDescent="0.25">
      <c r="A141" s="24" t="s">
        <v>97</v>
      </c>
      <c r="B141" s="47">
        <v>43941</v>
      </c>
      <c r="C141" s="47" t="s">
        <v>143</v>
      </c>
      <c r="D141" s="12"/>
      <c r="E141" s="13"/>
      <c r="F141" s="12"/>
      <c r="G141" s="12"/>
      <c r="H141" s="12"/>
      <c r="I141" s="12"/>
      <c r="J141" s="12"/>
      <c r="K141" s="12"/>
      <c r="N141" s="13"/>
      <c r="P141" s="37"/>
      <c r="Q141" s="46"/>
      <c r="R141" s="37"/>
      <c r="S141" s="37"/>
      <c r="T141" s="37"/>
      <c r="U141" s="37"/>
      <c r="V141" s="38"/>
      <c r="W141" s="46"/>
      <c r="X141" s="37"/>
      <c r="Y141" s="46"/>
      <c r="Z141" s="41">
        <f>Table13[[#This Row],[Time until ideal entry + 390 (6:30)]]/(1440)</f>
        <v>0.27083333333333331</v>
      </c>
      <c r="AA141" s="18"/>
      <c r="AB141" s="18" t="e">
        <f>IF(Table13[[#This Row],[HOD AFTER PM HI]]&gt;=Table13[[#This Row],[PM Hi]],((Table13[[#This Row],[HOD AFTER PM HI]]-Table13[[#This Row],[Prior day close]])/Table13[[#This Row],[Prior day close]]),Table13[[#This Row],[Prior Close to PM Hi %]])</f>
        <v>#DIV/0!</v>
      </c>
      <c r="AC141" s="42" t="e">
        <f>(Table13[[#This Row],[Price at hi of squeeze]]-Table13[[#This Row],[MKT Open Price]])/Table13[[#This Row],[MKT Open Price]]</f>
        <v>#DIV/0!</v>
      </c>
      <c r="AD141" s="18" t="e">
        <f>(Table13[[#This Row],[Price at hi of squeeze]]-Table13[[#This Row],[PM Hi]])/Table13[[#This Row],[PM Hi]]</f>
        <v>#DIV/0!</v>
      </c>
      <c r="AE141" s="18"/>
      <c r="AF141" s="20" t="e">
        <f>Table13[[#This Row],[PM VOL]]/1000000/Table13[[#This Row],[FLOAT(M)]]</f>
        <v>#DIV/0!</v>
      </c>
      <c r="AG141" s="23" t="e">
        <f>(Table13[[#This Row],[Volume]]/1000000)/Table13[[#This Row],[FLOAT(M)]]</f>
        <v>#DIV/0!</v>
      </c>
      <c r="AI141" s="18" t="e">
        <f>(Table13[[#This Row],[PM Hi]]-Table13[[#This Row],[MKT Open Price]])/(Table13[[#This Row],[PM Hi]])</f>
        <v>#DIV/0!</v>
      </c>
      <c r="AJ141" s="18" t="e">
        <f>IF(Table13[[#This Row],[PM LO]]&gt;Table13[[#This Row],[Prior day close]],(Table13[[#This Row],[PM Hi]]-Table13[[#This Row],[MKT Open Price]])/(Table13[[#This Row],[PM Hi]]-Table13[[#This Row],[Prior day close]]),(Table13[[#This Row],[PM Hi]]-Table13[[#This Row],[MKT Open Price]])/(Table13[[#This Row],[PM Hi]]-Table13[[#This Row],[PM LO]]))</f>
        <v>#DIV/0!</v>
      </c>
      <c r="AK141" s="48" t="e">
        <f>IF(Table13[[#This Row],[Prior day close]]&lt;Table13[[#This Row],[PM LO]],(I141-K141)/(I141-Table13[[#This Row],[Prior day close]]),(I141-K141)/(I141-Table13[[#This Row],[PM LO]]))</f>
        <v>#DIV/0!</v>
      </c>
      <c r="AL141" s="48">
        <f>Table13[[#This Row],[Spike % on open before drop]]+AM141</f>
        <v>0</v>
      </c>
      <c r="AM141" s="16"/>
      <c r="AN141" s="16"/>
      <c r="AO141" s="48" t="e">
        <f>IF(Table13[[#This Row],[Prior day close]]&lt;=Table13[[#This Row],[PM LO]],IF($J141&gt;=$F141,($J141-$K141)/($J141-Table13[[#This Row],[Prior day close]]),(IF($H141&lt;=$K141,($F141-$H141)/($F141-Table13[[#This Row],[Prior day close]]),(Table13[[#This Row],[PM Hi]]-Table13[[#This Row],[Lowest lo from open to squeeze]])/(Table13[[#This Row],[PM Hi]]-Table13[[#This Row],[Prior day close]])))),IF($J141&gt;=$F141,($J141-$K141)/($J141-Table13[[#This Row],[PM LO]]),(IF($H141&lt;=$K141,($F141-$H141)/($F141-Table13[[#This Row],[PM LO]]),(Table13[[#This Row],[PM Hi]]-Table13[[#This Row],[Lowest lo from open to squeeze]])/(Table13[[#This Row],[PM Hi]]-Table13[[#This Row],[PM LO]])))))</f>
        <v>#DIV/0!</v>
      </c>
      <c r="AP141" s="18"/>
      <c r="AQ141" s="17">
        <f>390+Table13[[#This Row],[Time until ideal entry point (mins) from open]]</f>
        <v>390</v>
      </c>
      <c r="AR141" s="17">
        <f>Table13[[#This Row],[Time until ideal entry + 390 (6:30)]]+Table13[[#This Row],[Duration of frontside (mins)]]</f>
        <v>390</v>
      </c>
    </row>
    <row r="142" spans="1:44" hidden="1" x14ac:dyDescent="0.25">
      <c r="A142" s="24" t="s">
        <v>178</v>
      </c>
      <c r="B142" s="47">
        <v>43941</v>
      </c>
      <c r="C142" s="47" t="s">
        <v>71</v>
      </c>
      <c r="D142" s="12"/>
      <c r="E142" s="13"/>
      <c r="F142" s="12"/>
      <c r="G142" s="12"/>
      <c r="H142" s="12"/>
      <c r="I142" s="12"/>
      <c r="J142" s="12"/>
      <c r="K142" s="12"/>
      <c r="N142" s="13"/>
      <c r="P142" s="37"/>
      <c r="Q142" s="46"/>
      <c r="R142" s="37"/>
      <c r="S142" s="37"/>
      <c r="T142" s="37"/>
      <c r="U142" s="37"/>
      <c r="V142" s="38"/>
      <c r="W142" s="46"/>
      <c r="X142" s="37"/>
      <c r="Y142" s="46"/>
      <c r="Z142" s="41">
        <f>Table13[[#This Row],[Time until ideal entry + 390 (6:30)]]/(1440)</f>
        <v>0.27083333333333331</v>
      </c>
      <c r="AA142" s="18"/>
      <c r="AB142" s="18" t="e">
        <f>IF(Table13[[#This Row],[HOD AFTER PM HI]]&gt;=Table13[[#This Row],[PM Hi]],((Table13[[#This Row],[HOD AFTER PM HI]]-Table13[[#This Row],[Prior day close]])/Table13[[#This Row],[Prior day close]]),Table13[[#This Row],[Prior Close to PM Hi %]])</f>
        <v>#DIV/0!</v>
      </c>
      <c r="AC142" s="42" t="e">
        <f>(Table13[[#This Row],[Price at hi of squeeze]]-Table13[[#This Row],[MKT Open Price]])/Table13[[#This Row],[MKT Open Price]]</f>
        <v>#DIV/0!</v>
      </c>
      <c r="AD142" s="18" t="e">
        <f>(Table13[[#This Row],[Price at hi of squeeze]]-Table13[[#This Row],[PM Hi]])/Table13[[#This Row],[PM Hi]]</f>
        <v>#DIV/0!</v>
      </c>
      <c r="AE142" s="18"/>
      <c r="AF142" s="20" t="e">
        <f>Table13[[#This Row],[PM VOL]]/1000000/Table13[[#This Row],[FLOAT(M)]]</f>
        <v>#DIV/0!</v>
      </c>
      <c r="AG142" s="23" t="e">
        <f>(Table13[[#This Row],[Volume]]/1000000)/Table13[[#This Row],[FLOAT(M)]]</f>
        <v>#DIV/0!</v>
      </c>
      <c r="AI142" s="18" t="e">
        <f>(Table13[[#This Row],[PM Hi]]-Table13[[#This Row],[MKT Open Price]])/(Table13[[#This Row],[PM Hi]])</f>
        <v>#DIV/0!</v>
      </c>
      <c r="AJ142" s="18" t="e">
        <f>IF(Table13[[#This Row],[PM LO]]&gt;Table13[[#This Row],[Prior day close]],(Table13[[#This Row],[PM Hi]]-Table13[[#This Row],[MKT Open Price]])/(Table13[[#This Row],[PM Hi]]-Table13[[#This Row],[Prior day close]]),(Table13[[#This Row],[PM Hi]]-Table13[[#This Row],[MKT Open Price]])/(Table13[[#This Row],[PM Hi]]-Table13[[#This Row],[PM LO]]))</f>
        <v>#DIV/0!</v>
      </c>
      <c r="AK142" s="48" t="e">
        <f>IF(Table13[[#This Row],[Prior day close]]&lt;Table13[[#This Row],[PM LO]],(I142-K142)/(I142-Table13[[#This Row],[Prior day close]]),(I142-K142)/(I142-Table13[[#This Row],[PM LO]]))</f>
        <v>#DIV/0!</v>
      </c>
      <c r="AL142" s="48">
        <f>Table13[[#This Row],[Spike % on open before drop]]+AM142</f>
        <v>0</v>
      </c>
      <c r="AM142" s="16"/>
      <c r="AN142" s="16"/>
      <c r="AO142" s="48" t="e">
        <f>IF(Table13[[#This Row],[Prior day close]]&lt;=Table13[[#This Row],[PM LO]],IF($J142&gt;=$F142,($J142-$K142)/($J142-Table13[[#This Row],[Prior day close]]),(IF($H142&lt;=$K142,($F142-$H142)/($F142-Table13[[#This Row],[Prior day close]]),(Table13[[#This Row],[PM Hi]]-Table13[[#This Row],[Lowest lo from open to squeeze]])/(Table13[[#This Row],[PM Hi]]-Table13[[#This Row],[Prior day close]])))),IF($J142&gt;=$F142,($J142-$K142)/($J142-Table13[[#This Row],[PM LO]]),(IF($H142&lt;=$K142,($F142-$H142)/($F142-Table13[[#This Row],[PM LO]]),(Table13[[#This Row],[PM Hi]]-Table13[[#This Row],[Lowest lo from open to squeeze]])/(Table13[[#This Row],[PM Hi]]-Table13[[#This Row],[PM LO]])))))</f>
        <v>#DIV/0!</v>
      </c>
      <c r="AP142" s="18"/>
      <c r="AQ142" s="17">
        <f>390+Table13[[#This Row],[Time until ideal entry point (mins) from open]]</f>
        <v>390</v>
      </c>
      <c r="AR142" s="17">
        <f>Table13[[#This Row],[Time until ideal entry + 390 (6:30)]]+Table13[[#This Row],[Duration of frontside (mins)]]</f>
        <v>390</v>
      </c>
    </row>
    <row r="143" spans="1:44" hidden="1" x14ac:dyDescent="0.25">
      <c r="A143" s="24" t="s">
        <v>179</v>
      </c>
      <c r="B143" s="47">
        <v>43944</v>
      </c>
      <c r="C143" s="47" t="s">
        <v>143</v>
      </c>
      <c r="D143" s="12"/>
      <c r="E143" s="13"/>
      <c r="F143" s="12"/>
      <c r="G143" s="12"/>
      <c r="H143" s="12"/>
      <c r="I143" s="12"/>
      <c r="J143" s="12"/>
      <c r="K143" s="12"/>
      <c r="N143" s="13"/>
      <c r="P143" s="37"/>
      <c r="Q143" s="46"/>
      <c r="R143" s="37"/>
      <c r="S143" s="37"/>
      <c r="T143" s="37"/>
      <c r="U143" s="37"/>
      <c r="V143" s="38"/>
      <c r="W143" s="46"/>
      <c r="X143" s="37"/>
      <c r="Y143" s="46"/>
      <c r="Z143" s="41">
        <f>Table13[[#This Row],[Time until ideal entry + 390 (6:30)]]/(1440)</f>
        <v>0.27083333333333331</v>
      </c>
      <c r="AA143" s="18"/>
      <c r="AB143" s="18" t="e">
        <f>IF(Table13[[#This Row],[HOD AFTER PM HI]]&gt;=Table13[[#This Row],[PM Hi]],((Table13[[#This Row],[HOD AFTER PM HI]]-Table13[[#This Row],[Prior day close]])/Table13[[#This Row],[Prior day close]]),Table13[[#This Row],[Prior Close to PM Hi %]])</f>
        <v>#DIV/0!</v>
      </c>
      <c r="AC143" s="42" t="e">
        <f>(Table13[[#This Row],[Price at hi of squeeze]]-Table13[[#This Row],[MKT Open Price]])/Table13[[#This Row],[MKT Open Price]]</f>
        <v>#DIV/0!</v>
      </c>
      <c r="AD143" s="18" t="e">
        <f>(Table13[[#This Row],[Price at hi of squeeze]]-Table13[[#This Row],[PM Hi]])/Table13[[#This Row],[PM Hi]]</f>
        <v>#DIV/0!</v>
      </c>
      <c r="AE143" s="18"/>
      <c r="AF143" s="20" t="e">
        <f>Table13[[#This Row],[PM VOL]]/1000000/Table13[[#This Row],[FLOAT(M)]]</f>
        <v>#DIV/0!</v>
      </c>
      <c r="AG143" s="23" t="e">
        <f>(Table13[[#This Row],[Volume]]/1000000)/Table13[[#This Row],[FLOAT(M)]]</f>
        <v>#DIV/0!</v>
      </c>
      <c r="AI143" s="18" t="e">
        <f>(Table13[[#This Row],[PM Hi]]-Table13[[#This Row],[MKT Open Price]])/(Table13[[#This Row],[PM Hi]])</f>
        <v>#DIV/0!</v>
      </c>
      <c r="AJ143" s="18" t="e">
        <f>IF(Table13[[#This Row],[PM LO]]&gt;Table13[[#This Row],[Prior day close]],(Table13[[#This Row],[PM Hi]]-Table13[[#This Row],[MKT Open Price]])/(Table13[[#This Row],[PM Hi]]-Table13[[#This Row],[Prior day close]]),(Table13[[#This Row],[PM Hi]]-Table13[[#This Row],[MKT Open Price]])/(Table13[[#This Row],[PM Hi]]-Table13[[#This Row],[PM LO]]))</f>
        <v>#DIV/0!</v>
      </c>
      <c r="AK143" s="48" t="e">
        <f>IF(Table13[[#This Row],[Prior day close]]&lt;Table13[[#This Row],[PM LO]],(I143-K143)/(I143-Table13[[#This Row],[Prior day close]]),(I143-K143)/(I143-Table13[[#This Row],[PM LO]]))</f>
        <v>#DIV/0!</v>
      </c>
      <c r="AL143" s="48">
        <f>Table13[[#This Row],[Spike % on open before drop]]+AM143</f>
        <v>0</v>
      </c>
      <c r="AM143" s="16"/>
      <c r="AN143" s="16"/>
      <c r="AO143" s="48" t="e">
        <f>IF(Table13[[#This Row],[Prior day close]]&lt;=Table13[[#This Row],[PM LO]],IF($J143&gt;=$F143,($J143-$K143)/($J143-Table13[[#This Row],[Prior day close]]),(IF($H143&lt;=$K143,($F143-$H143)/($F143-Table13[[#This Row],[Prior day close]]),(Table13[[#This Row],[PM Hi]]-Table13[[#This Row],[Lowest lo from open to squeeze]])/(Table13[[#This Row],[PM Hi]]-Table13[[#This Row],[Prior day close]])))),IF($J143&gt;=$F143,($J143-$K143)/($J143-Table13[[#This Row],[PM LO]]),(IF($H143&lt;=$K143,($F143-$H143)/($F143-Table13[[#This Row],[PM LO]]),(Table13[[#This Row],[PM Hi]]-Table13[[#This Row],[Lowest lo from open to squeeze]])/(Table13[[#This Row],[PM Hi]]-Table13[[#This Row],[PM LO]])))))</f>
        <v>#DIV/0!</v>
      </c>
      <c r="AP143" s="18"/>
      <c r="AQ143" s="17">
        <f>390+Table13[[#This Row],[Time until ideal entry point (mins) from open]]</f>
        <v>390</v>
      </c>
      <c r="AR143" s="17">
        <f>Table13[[#This Row],[Time until ideal entry + 390 (6:30)]]+Table13[[#This Row],[Duration of frontside (mins)]]</f>
        <v>390</v>
      </c>
    </row>
    <row r="144" spans="1:44" hidden="1" x14ac:dyDescent="0.25">
      <c r="A144" s="24" t="s">
        <v>67</v>
      </c>
      <c r="B144" s="47">
        <v>43948</v>
      </c>
      <c r="C144" s="47" t="s">
        <v>71</v>
      </c>
      <c r="D144" s="12"/>
      <c r="E144" s="13"/>
      <c r="F144" s="12"/>
      <c r="G144" s="12"/>
      <c r="H144" s="12"/>
      <c r="I144" s="12"/>
      <c r="J144" s="12"/>
      <c r="K144" s="12"/>
      <c r="N144" s="13"/>
      <c r="P144" s="37"/>
      <c r="Q144" s="46"/>
      <c r="R144" s="37"/>
      <c r="S144" s="37"/>
      <c r="T144" s="37"/>
      <c r="U144" s="37"/>
      <c r="V144" s="38"/>
      <c r="W144" s="46"/>
      <c r="X144" s="37"/>
      <c r="Y144" s="46"/>
      <c r="Z144" s="41">
        <f>Table13[[#This Row],[Time until ideal entry + 390 (6:30)]]/(1440)</f>
        <v>0.27083333333333331</v>
      </c>
      <c r="AA144" s="18"/>
      <c r="AB144" s="18" t="e">
        <f>IF(Table13[[#This Row],[HOD AFTER PM HI]]&gt;=Table13[[#This Row],[PM Hi]],((Table13[[#This Row],[HOD AFTER PM HI]]-Table13[[#This Row],[Prior day close]])/Table13[[#This Row],[Prior day close]]),Table13[[#This Row],[Prior Close to PM Hi %]])</f>
        <v>#DIV/0!</v>
      </c>
      <c r="AC144" s="42" t="e">
        <f>(Table13[[#This Row],[Price at hi of squeeze]]-Table13[[#This Row],[MKT Open Price]])/Table13[[#This Row],[MKT Open Price]]</f>
        <v>#DIV/0!</v>
      </c>
      <c r="AD144" s="18" t="e">
        <f>(Table13[[#This Row],[Price at hi of squeeze]]-Table13[[#This Row],[PM Hi]])/Table13[[#This Row],[PM Hi]]</f>
        <v>#DIV/0!</v>
      </c>
      <c r="AE144" s="18"/>
      <c r="AF144" s="20" t="e">
        <f>Table13[[#This Row],[PM VOL]]/1000000/Table13[[#This Row],[FLOAT(M)]]</f>
        <v>#DIV/0!</v>
      </c>
      <c r="AG144" s="23" t="e">
        <f>(Table13[[#This Row],[Volume]]/1000000)/Table13[[#This Row],[FLOAT(M)]]</f>
        <v>#DIV/0!</v>
      </c>
      <c r="AI144" s="18" t="e">
        <f>(Table13[[#This Row],[PM Hi]]-Table13[[#This Row],[MKT Open Price]])/(Table13[[#This Row],[PM Hi]])</f>
        <v>#DIV/0!</v>
      </c>
      <c r="AJ144" s="18" t="e">
        <f>IF(Table13[[#This Row],[PM LO]]&gt;Table13[[#This Row],[Prior day close]],(Table13[[#This Row],[PM Hi]]-Table13[[#This Row],[MKT Open Price]])/(Table13[[#This Row],[PM Hi]]-Table13[[#This Row],[Prior day close]]),(Table13[[#This Row],[PM Hi]]-Table13[[#This Row],[MKT Open Price]])/(Table13[[#This Row],[PM Hi]]-Table13[[#This Row],[PM LO]]))</f>
        <v>#DIV/0!</v>
      </c>
      <c r="AK144" s="48" t="e">
        <f>IF(Table13[[#This Row],[Prior day close]]&lt;Table13[[#This Row],[PM LO]],(I144-K144)/(I144-Table13[[#This Row],[Prior day close]]),(I144-K144)/(I144-Table13[[#This Row],[PM LO]]))</f>
        <v>#DIV/0!</v>
      </c>
      <c r="AL144" s="48">
        <f>Table13[[#This Row],[Spike % on open before drop]]+AM144</f>
        <v>0</v>
      </c>
      <c r="AM144" s="16"/>
      <c r="AN144" s="16"/>
      <c r="AO144" s="48" t="e">
        <f>IF(Table13[[#This Row],[Prior day close]]&lt;=Table13[[#This Row],[PM LO]],IF($J144&gt;=$F144,($J144-$K144)/($J144-Table13[[#This Row],[Prior day close]]),(IF($H144&lt;=$K144,($F144-$H144)/($F144-Table13[[#This Row],[Prior day close]]),(Table13[[#This Row],[PM Hi]]-Table13[[#This Row],[Lowest lo from open to squeeze]])/(Table13[[#This Row],[PM Hi]]-Table13[[#This Row],[Prior day close]])))),IF($J144&gt;=$F144,($J144-$K144)/($J144-Table13[[#This Row],[PM LO]]),(IF($H144&lt;=$K144,($F144-$H144)/($F144-Table13[[#This Row],[PM LO]]),(Table13[[#This Row],[PM Hi]]-Table13[[#This Row],[Lowest lo from open to squeeze]])/(Table13[[#This Row],[PM Hi]]-Table13[[#This Row],[PM LO]])))))</f>
        <v>#DIV/0!</v>
      </c>
      <c r="AP144" s="18"/>
      <c r="AQ144" s="17">
        <f>390+Table13[[#This Row],[Time until ideal entry point (mins) from open]]</f>
        <v>390</v>
      </c>
      <c r="AR144" s="17">
        <f>Table13[[#This Row],[Time until ideal entry + 390 (6:30)]]+Table13[[#This Row],[Duration of frontside (mins)]]</f>
        <v>390</v>
      </c>
    </row>
    <row r="145" spans="1:44" hidden="1" x14ac:dyDescent="0.25">
      <c r="A145" s="24" t="s">
        <v>180</v>
      </c>
      <c r="B145" s="47">
        <v>43951</v>
      </c>
      <c r="C145" s="47" t="s">
        <v>143</v>
      </c>
      <c r="D145" s="12"/>
      <c r="E145" s="13"/>
      <c r="F145" s="12"/>
      <c r="G145" s="12"/>
      <c r="H145" s="12"/>
      <c r="I145" s="12"/>
      <c r="J145" s="12"/>
      <c r="K145" s="12"/>
      <c r="N145" s="13"/>
      <c r="P145" s="37"/>
      <c r="Q145" s="46"/>
      <c r="R145" s="37"/>
      <c r="S145" s="37"/>
      <c r="T145" s="37"/>
      <c r="U145" s="37"/>
      <c r="V145" s="38"/>
      <c r="W145" s="46"/>
      <c r="X145" s="37"/>
      <c r="Y145" s="46"/>
      <c r="Z145" s="41">
        <f>Table13[[#This Row],[Time until ideal entry + 390 (6:30)]]/(1440)</f>
        <v>0.27083333333333331</v>
      </c>
      <c r="AA145" s="18"/>
      <c r="AB145" s="18" t="e">
        <f>IF(Table13[[#This Row],[HOD AFTER PM HI]]&gt;=Table13[[#This Row],[PM Hi]],((Table13[[#This Row],[HOD AFTER PM HI]]-Table13[[#This Row],[Prior day close]])/Table13[[#This Row],[Prior day close]]),Table13[[#This Row],[Prior Close to PM Hi %]])</f>
        <v>#DIV/0!</v>
      </c>
      <c r="AC145" s="42" t="e">
        <f>(Table13[[#This Row],[Price at hi of squeeze]]-Table13[[#This Row],[MKT Open Price]])/Table13[[#This Row],[MKT Open Price]]</f>
        <v>#DIV/0!</v>
      </c>
      <c r="AD145" s="18" t="e">
        <f>(Table13[[#This Row],[Price at hi of squeeze]]-Table13[[#This Row],[PM Hi]])/Table13[[#This Row],[PM Hi]]</f>
        <v>#DIV/0!</v>
      </c>
      <c r="AE145" s="18"/>
      <c r="AF145" s="20" t="e">
        <f>Table13[[#This Row],[PM VOL]]/1000000/Table13[[#This Row],[FLOAT(M)]]</f>
        <v>#DIV/0!</v>
      </c>
      <c r="AG145" s="23" t="e">
        <f>(Table13[[#This Row],[Volume]]/1000000)/Table13[[#This Row],[FLOAT(M)]]</f>
        <v>#DIV/0!</v>
      </c>
      <c r="AI145" s="18" t="e">
        <f>(Table13[[#This Row],[PM Hi]]-Table13[[#This Row],[MKT Open Price]])/(Table13[[#This Row],[PM Hi]])</f>
        <v>#DIV/0!</v>
      </c>
      <c r="AJ145" s="18" t="e">
        <f>IF(Table13[[#This Row],[PM LO]]&gt;Table13[[#This Row],[Prior day close]],(Table13[[#This Row],[PM Hi]]-Table13[[#This Row],[MKT Open Price]])/(Table13[[#This Row],[PM Hi]]-Table13[[#This Row],[Prior day close]]),(Table13[[#This Row],[PM Hi]]-Table13[[#This Row],[MKT Open Price]])/(Table13[[#This Row],[PM Hi]]-Table13[[#This Row],[PM LO]]))</f>
        <v>#DIV/0!</v>
      </c>
      <c r="AK145" s="48" t="e">
        <f>IF(Table13[[#This Row],[Prior day close]]&lt;Table13[[#This Row],[PM LO]],(I145-K145)/(I145-Table13[[#This Row],[Prior day close]]),(I145-K145)/(I145-Table13[[#This Row],[PM LO]]))</f>
        <v>#DIV/0!</v>
      </c>
      <c r="AL145" s="48">
        <f>Table13[[#This Row],[Spike % on open before drop]]+AM145</f>
        <v>0</v>
      </c>
      <c r="AM145" s="16"/>
      <c r="AN145" s="16"/>
      <c r="AO145" s="48" t="e">
        <f>IF(Table13[[#This Row],[Prior day close]]&lt;=Table13[[#This Row],[PM LO]],IF($J145&gt;=$F145,($J145-$K145)/($J145-Table13[[#This Row],[Prior day close]]),(IF($H145&lt;=$K145,($F145-$H145)/($F145-Table13[[#This Row],[Prior day close]]),(Table13[[#This Row],[PM Hi]]-Table13[[#This Row],[Lowest lo from open to squeeze]])/(Table13[[#This Row],[PM Hi]]-Table13[[#This Row],[Prior day close]])))),IF($J145&gt;=$F145,($J145-$K145)/($J145-Table13[[#This Row],[PM LO]]),(IF($H145&lt;=$K145,($F145-$H145)/($F145-Table13[[#This Row],[PM LO]]),(Table13[[#This Row],[PM Hi]]-Table13[[#This Row],[Lowest lo from open to squeeze]])/(Table13[[#This Row],[PM Hi]]-Table13[[#This Row],[PM LO]])))))</f>
        <v>#DIV/0!</v>
      </c>
      <c r="AP145" s="18"/>
      <c r="AQ145" s="17">
        <f>390+Table13[[#This Row],[Time until ideal entry point (mins) from open]]</f>
        <v>390</v>
      </c>
      <c r="AR145" s="17">
        <f>Table13[[#This Row],[Time until ideal entry + 390 (6:30)]]+Table13[[#This Row],[Duration of frontside (mins)]]</f>
        <v>390</v>
      </c>
    </row>
    <row r="146" spans="1:44" hidden="1" x14ac:dyDescent="0.25">
      <c r="A146" s="24" t="s">
        <v>181</v>
      </c>
      <c r="B146" s="47">
        <v>43952</v>
      </c>
      <c r="C146" s="47" t="s">
        <v>71</v>
      </c>
      <c r="D146" s="12"/>
      <c r="E146" s="13"/>
      <c r="F146" s="12"/>
      <c r="G146" s="12"/>
      <c r="H146" s="12"/>
      <c r="I146" s="12"/>
      <c r="J146" s="12"/>
      <c r="K146" s="12"/>
      <c r="N146" s="13"/>
      <c r="P146" s="37"/>
      <c r="Q146" s="46"/>
      <c r="R146" s="37"/>
      <c r="S146" s="37"/>
      <c r="T146" s="37"/>
      <c r="U146" s="37"/>
      <c r="V146" s="38"/>
      <c r="W146" s="46"/>
      <c r="X146" s="37"/>
      <c r="Y146" s="46"/>
      <c r="Z146" s="41">
        <f>Table13[[#This Row],[Time until ideal entry + 390 (6:30)]]/(1440)</f>
        <v>0.27083333333333331</v>
      </c>
      <c r="AA146" s="18"/>
      <c r="AB146" s="18" t="e">
        <f>IF(Table13[[#This Row],[HOD AFTER PM HI]]&gt;=Table13[[#This Row],[PM Hi]],((Table13[[#This Row],[HOD AFTER PM HI]]-Table13[[#This Row],[Prior day close]])/Table13[[#This Row],[Prior day close]]),Table13[[#This Row],[Prior Close to PM Hi %]])</f>
        <v>#DIV/0!</v>
      </c>
      <c r="AC146" s="42" t="e">
        <f>(Table13[[#This Row],[Price at hi of squeeze]]-Table13[[#This Row],[MKT Open Price]])/Table13[[#This Row],[MKT Open Price]]</f>
        <v>#DIV/0!</v>
      </c>
      <c r="AD146" s="18" t="e">
        <f>(Table13[[#This Row],[Price at hi of squeeze]]-Table13[[#This Row],[PM Hi]])/Table13[[#This Row],[PM Hi]]</f>
        <v>#DIV/0!</v>
      </c>
      <c r="AE146" s="18"/>
      <c r="AF146" s="20" t="e">
        <f>Table13[[#This Row],[PM VOL]]/1000000/Table13[[#This Row],[FLOAT(M)]]</f>
        <v>#DIV/0!</v>
      </c>
      <c r="AG146" s="23" t="e">
        <f>(Table13[[#This Row],[Volume]]/1000000)/Table13[[#This Row],[FLOAT(M)]]</f>
        <v>#DIV/0!</v>
      </c>
      <c r="AI146" s="18" t="e">
        <f>(Table13[[#This Row],[PM Hi]]-Table13[[#This Row],[MKT Open Price]])/(Table13[[#This Row],[PM Hi]])</f>
        <v>#DIV/0!</v>
      </c>
      <c r="AJ146" s="18" t="e">
        <f>IF(Table13[[#This Row],[PM LO]]&gt;Table13[[#This Row],[Prior day close]],(Table13[[#This Row],[PM Hi]]-Table13[[#This Row],[MKT Open Price]])/(Table13[[#This Row],[PM Hi]]-Table13[[#This Row],[Prior day close]]),(Table13[[#This Row],[PM Hi]]-Table13[[#This Row],[MKT Open Price]])/(Table13[[#This Row],[PM Hi]]-Table13[[#This Row],[PM LO]]))</f>
        <v>#DIV/0!</v>
      </c>
      <c r="AK146" s="48" t="e">
        <f>IF(Table13[[#This Row],[Prior day close]]&lt;Table13[[#This Row],[PM LO]],(I146-K146)/(I146-Table13[[#This Row],[Prior day close]]),(I146-K146)/(I146-Table13[[#This Row],[PM LO]]))</f>
        <v>#DIV/0!</v>
      </c>
      <c r="AL146" s="48">
        <f>Table13[[#This Row],[Spike % on open before drop]]+AM146</f>
        <v>0</v>
      </c>
      <c r="AM146" s="16"/>
      <c r="AN146" s="16"/>
      <c r="AO146" s="48" t="e">
        <f>IF(Table13[[#This Row],[Prior day close]]&lt;=Table13[[#This Row],[PM LO]],IF($J146&gt;=$F146,($J146-$K146)/($J146-Table13[[#This Row],[Prior day close]]),(IF($H146&lt;=$K146,($F146-$H146)/($F146-Table13[[#This Row],[Prior day close]]),(Table13[[#This Row],[PM Hi]]-Table13[[#This Row],[Lowest lo from open to squeeze]])/(Table13[[#This Row],[PM Hi]]-Table13[[#This Row],[Prior day close]])))),IF($J146&gt;=$F146,($J146-$K146)/($J146-Table13[[#This Row],[PM LO]]),(IF($H146&lt;=$K146,($F146-$H146)/($F146-Table13[[#This Row],[PM LO]]),(Table13[[#This Row],[PM Hi]]-Table13[[#This Row],[Lowest lo from open to squeeze]])/(Table13[[#This Row],[PM Hi]]-Table13[[#This Row],[PM LO]])))))</f>
        <v>#DIV/0!</v>
      </c>
      <c r="AP146" s="18"/>
      <c r="AQ146" s="17">
        <f>390+Table13[[#This Row],[Time until ideal entry point (mins) from open]]</f>
        <v>390</v>
      </c>
      <c r="AR146" s="17">
        <f>Table13[[#This Row],[Time until ideal entry + 390 (6:30)]]+Table13[[#This Row],[Duration of frontside (mins)]]</f>
        <v>390</v>
      </c>
    </row>
    <row r="147" spans="1:44" hidden="1" x14ac:dyDescent="0.25">
      <c r="A147" s="24" t="s">
        <v>182</v>
      </c>
      <c r="B147" s="47">
        <v>43956</v>
      </c>
      <c r="C147" s="47" t="s">
        <v>71</v>
      </c>
      <c r="D147" s="12"/>
      <c r="E147" s="13"/>
      <c r="F147" s="12"/>
      <c r="G147" s="12"/>
      <c r="H147" s="12"/>
      <c r="I147" s="12"/>
      <c r="J147" s="12"/>
      <c r="K147" s="12"/>
      <c r="N147" s="13"/>
      <c r="P147" s="37"/>
      <c r="Q147" s="46"/>
      <c r="R147" s="37"/>
      <c r="S147" s="37"/>
      <c r="T147" s="37"/>
      <c r="U147" s="37"/>
      <c r="V147" s="38"/>
      <c r="W147" s="46"/>
      <c r="X147" s="37"/>
      <c r="Y147" s="46"/>
      <c r="Z147" s="41">
        <f>Table13[[#This Row],[Time until ideal entry + 390 (6:30)]]/(1440)</f>
        <v>0.27083333333333331</v>
      </c>
      <c r="AA147" s="18"/>
      <c r="AB147" s="18" t="e">
        <f>IF(Table13[[#This Row],[HOD AFTER PM HI]]&gt;=Table13[[#This Row],[PM Hi]],((Table13[[#This Row],[HOD AFTER PM HI]]-Table13[[#This Row],[Prior day close]])/Table13[[#This Row],[Prior day close]]),Table13[[#This Row],[Prior Close to PM Hi %]])</f>
        <v>#DIV/0!</v>
      </c>
      <c r="AC147" s="42" t="e">
        <f>(Table13[[#This Row],[Price at hi of squeeze]]-Table13[[#This Row],[MKT Open Price]])/Table13[[#This Row],[MKT Open Price]]</f>
        <v>#DIV/0!</v>
      </c>
      <c r="AD147" s="18" t="e">
        <f>(Table13[[#This Row],[Price at hi of squeeze]]-Table13[[#This Row],[PM Hi]])/Table13[[#This Row],[PM Hi]]</f>
        <v>#DIV/0!</v>
      </c>
      <c r="AE147" s="18"/>
      <c r="AF147" s="20" t="e">
        <f>Table13[[#This Row],[PM VOL]]/1000000/Table13[[#This Row],[FLOAT(M)]]</f>
        <v>#DIV/0!</v>
      </c>
      <c r="AG147" s="23" t="e">
        <f>(Table13[[#This Row],[Volume]]/1000000)/Table13[[#This Row],[FLOAT(M)]]</f>
        <v>#DIV/0!</v>
      </c>
      <c r="AI147" s="18" t="e">
        <f>(Table13[[#This Row],[PM Hi]]-Table13[[#This Row],[MKT Open Price]])/(Table13[[#This Row],[PM Hi]])</f>
        <v>#DIV/0!</v>
      </c>
      <c r="AJ147" s="18" t="e">
        <f>IF(Table13[[#This Row],[PM LO]]&gt;Table13[[#This Row],[Prior day close]],(Table13[[#This Row],[PM Hi]]-Table13[[#This Row],[MKT Open Price]])/(Table13[[#This Row],[PM Hi]]-Table13[[#This Row],[Prior day close]]),(Table13[[#This Row],[PM Hi]]-Table13[[#This Row],[MKT Open Price]])/(Table13[[#This Row],[PM Hi]]-Table13[[#This Row],[PM LO]]))</f>
        <v>#DIV/0!</v>
      </c>
      <c r="AK147" s="48" t="e">
        <f>IF(Table13[[#This Row],[Prior day close]]&lt;Table13[[#This Row],[PM LO]],(I147-K147)/(I147-Table13[[#This Row],[Prior day close]]),(I147-K147)/(I147-Table13[[#This Row],[PM LO]]))</f>
        <v>#DIV/0!</v>
      </c>
      <c r="AL147" s="48">
        <f>Table13[[#This Row],[Spike % on open before drop]]+AM147</f>
        <v>0</v>
      </c>
      <c r="AM147" s="16"/>
      <c r="AN147" s="16"/>
      <c r="AO147" s="48" t="e">
        <f>IF(Table13[[#This Row],[Prior day close]]&lt;=Table13[[#This Row],[PM LO]],IF($J147&gt;=$F147,($J147-$K147)/($J147-Table13[[#This Row],[Prior day close]]),(IF($H147&lt;=$K147,($F147-$H147)/($F147-Table13[[#This Row],[Prior day close]]),(Table13[[#This Row],[PM Hi]]-Table13[[#This Row],[Lowest lo from open to squeeze]])/(Table13[[#This Row],[PM Hi]]-Table13[[#This Row],[Prior day close]])))),IF($J147&gt;=$F147,($J147-$K147)/($J147-Table13[[#This Row],[PM LO]]),(IF($H147&lt;=$K147,($F147-$H147)/($F147-Table13[[#This Row],[PM LO]]),(Table13[[#This Row],[PM Hi]]-Table13[[#This Row],[Lowest lo from open to squeeze]])/(Table13[[#This Row],[PM Hi]]-Table13[[#This Row],[PM LO]])))))</f>
        <v>#DIV/0!</v>
      </c>
      <c r="AP147" s="18"/>
      <c r="AQ147" s="17">
        <f>390+Table13[[#This Row],[Time until ideal entry point (mins) from open]]</f>
        <v>390</v>
      </c>
      <c r="AR147" s="17">
        <f>Table13[[#This Row],[Time until ideal entry + 390 (6:30)]]+Table13[[#This Row],[Duration of frontside (mins)]]</f>
        <v>390</v>
      </c>
    </row>
    <row r="148" spans="1:44" hidden="1" x14ac:dyDescent="0.25">
      <c r="A148" s="24" t="s">
        <v>183</v>
      </c>
      <c r="B148" s="47">
        <v>43962</v>
      </c>
      <c r="C148" s="47" t="s">
        <v>71</v>
      </c>
      <c r="D148" s="12"/>
      <c r="E148" s="13"/>
      <c r="F148" s="12"/>
      <c r="G148" s="12"/>
      <c r="H148" s="12"/>
      <c r="I148" s="12"/>
      <c r="J148" s="12"/>
      <c r="K148" s="12"/>
      <c r="N148" s="13"/>
      <c r="P148" s="37"/>
      <c r="Q148" s="46"/>
      <c r="R148" s="37"/>
      <c r="S148" s="37"/>
      <c r="T148" s="37"/>
      <c r="U148" s="37"/>
      <c r="V148" s="38"/>
      <c r="W148" s="46"/>
      <c r="X148" s="37"/>
      <c r="Y148" s="46"/>
      <c r="Z148" s="41">
        <f>Table13[[#This Row],[Time until ideal entry + 390 (6:30)]]/(1440)</f>
        <v>0.27083333333333331</v>
      </c>
      <c r="AA148" s="18"/>
      <c r="AB148" s="18" t="e">
        <f>IF(Table13[[#This Row],[HOD AFTER PM HI]]&gt;=Table13[[#This Row],[PM Hi]],((Table13[[#This Row],[HOD AFTER PM HI]]-Table13[[#This Row],[Prior day close]])/Table13[[#This Row],[Prior day close]]),Table13[[#This Row],[Prior Close to PM Hi %]])</f>
        <v>#DIV/0!</v>
      </c>
      <c r="AC148" s="42" t="e">
        <f>(Table13[[#This Row],[Price at hi of squeeze]]-Table13[[#This Row],[MKT Open Price]])/Table13[[#This Row],[MKT Open Price]]</f>
        <v>#DIV/0!</v>
      </c>
      <c r="AD148" s="18" t="e">
        <f>(Table13[[#This Row],[Price at hi of squeeze]]-Table13[[#This Row],[PM Hi]])/Table13[[#This Row],[PM Hi]]</f>
        <v>#DIV/0!</v>
      </c>
      <c r="AE148" s="18"/>
      <c r="AF148" s="20" t="e">
        <f>Table13[[#This Row],[PM VOL]]/1000000/Table13[[#This Row],[FLOAT(M)]]</f>
        <v>#DIV/0!</v>
      </c>
      <c r="AG148" s="23" t="e">
        <f>(Table13[[#This Row],[Volume]]/1000000)/Table13[[#This Row],[FLOAT(M)]]</f>
        <v>#DIV/0!</v>
      </c>
      <c r="AI148" s="18" t="e">
        <f>(Table13[[#This Row],[PM Hi]]-Table13[[#This Row],[MKT Open Price]])/(Table13[[#This Row],[PM Hi]])</f>
        <v>#DIV/0!</v>
      </c>
      <c r="AJ148" s="18" t="e">
        <f>IF(Table13[[#This Row],[PM LO]]&gt;Table13[[#This Row],[Prior day close]],(Table13[[#This Row],[PM Hi]]-Table13[[#This Row],[MKT Open Price]])/(Table13[[#This Row],[PM Hi]]-Table13[[#This Row],[Prior day close]]),(Table13[[#This Row],[PM Hi]]-Table13[[#This Row],[MKT Open Price]])/(Table13[[#This Row],[PM Hi]]-Table13[[#This Row],[PM LO]]))</f>
        <v>#DIV/0!</v>
      </c>
      <c r="AK148" s="48" t="e">
        <f>IF(Table13[[#This Row],[Prior day close]]&lt;Table13[[#This Row],[PM LO]],(I148-K148)/(I148-Table13[[#This Row],[Prior day close]]),(I148-K148)/(I148-Table13[[#This Row],[PM LO]]))</f>
        <v>#DIV/0!</v>
      </c>
      <c r="AL148" s="48">
        <f>Table13[[#This Row],[Spike % on open before drop]]+AM148</f>
        <v>0</v>
      </c>
      <c r="AM148" s="16"/>
      <c r="AN148" s="16"/>
      <c r="AO148" s="48" t="e">
        <f>IF(Table13[[#This Row],[Prior day close]]&lt;=Table13[[#This Row],[PM LO]],IF($J148&gt;=$F148,($J148-$K148)/($J148-Table13[[#This Row],[Prior day close]]),(IF($H148&lt;=$K148,($F148-$H148)/($F148-Table13[[#This Row],[Prior day close]]),(Table13[[#This Row],[PM Hi]]-Table13[[#This Row],[Lowest lo from open to squeeze]])/(Table13[[#This Row],[PM Hi]]-Table13[[#This Row],[Prior day close]])))),IF($J148&gt;=$F148,($J148-$K148)/($J148-Table13[[#This Row],[PM LO]]),(IF($H148&lt;=$K148,($F148-$H148)/($F148-Table13[[#This Row],[PM LO]]),(Table13[[#This Row],[PM Hi]]-Table13[[#This Row],[Lowest lo from open to squeeze]])/(Table13[[#This Row],[PM Hi]]-Table13[[#This Row],[PM LO]])))))</f>
        <v>#DIV/0!</v>
      </c>
      <c r="AP148" s="18"/>
      <c r="AQ148" s="17">
        <f>390+Table13[[#This Row],[Time until ideal entry point (mins) from open]]</f>
        <v>390</v>
      </c>
      <c r="AR148" s="17">
        <f>Table13[[#This Row],[Time until ideal entry + 390 (6:30)]]+Table13[[#This Row],[Duration of frontside (mins)]]</f>
        <v>390</v>
      </c>
    </row>
    <row r="149" spans="1:44" hidden="1" x14ac:dyDescent="0.25">
      <c r="A149" s="24" t="s">
        <v>184</v>
      </c>
      <c r="B149" s="47">
        <v>43963</v>
      </c>
      <c r="C149" s="47" t="s">
        <v>71</v>
      </c>
      <c r="D149" s="12"/>
      <c r="E149" s="13"/>
      <c r="F149" s="12"/>
      <c r="G149" s="12"/>
      <c r="H149" s="12"/>
      <c r="I149" s="12"/>
      <c r="J149" s="12"/>
      <c r="K149" s="12"/>
      <c r="N149" s="13"/>
      <c r="P149" s="37"/>
      <c r="Q149" s="46"/>
      <c r="R149" s="37"/>
      <c r="S149" s="37"/>
      <c r="T149" s="37"/>
      <c r="U149" s="37"/>
      <c r="V149" s="38"/>
      <c r="W149" s="46"/>
      <c r="X149" s="37"/>
      <c r="Y149" s="46"/>
      <c r="Z149" s="41">
        <f>Table13[[#This Row],[Time until ideal entry + 390 (6:30)]]/(1440)</f>
        <v>0.27083333333333331</v>
      </c>
      <c r="AA149" s="18"/>
      <c r="AB149" s="18" t="e">
        <f>IF(Table13[[#This Row],[HOD AFTER PM HI]]&gt;=Table13[[#This Row],[PM Hi]],((Table13[[#This Row],[HOD AFTER PM HI]]-Table13[[#This Row],[Prior day close]])/Table13[[#This Row],[Prior day close]]),Table13[[#This Row],[Prior Close to PM Hi %]])</f>
        <v>#DIV/0!</v>
      </c>
      <c r="AC149" s="42" t="e">
        <f>(Table13[[#This Row],[Price at hi of squeeze]]-Table13[[#This Row],[MKT Open Price]])/Table13[[#This Row],[MKT Open Price]]</f>
        <v>#DIV/0!</v>
      </c>
      <c r="AD149" s="18" t="e">
        <f>(Table13[[#This Row],[Price at hi of squeeze]]-Table13[[#This Row],[PM Hi]])/Table13[[#This Row],[PM Hi]]</f>
        <v>#DIV/0!</v>
      </c>
      <c r="AE149" s="18"/>
      <c r="AF149" s="20" t="e">
        <f>Table13[[#This Row],[PM VOL]]/1000000/Table13[[#This Row],[FLOAT(M)]]</f>
        <v>#DIV/0!</v>
      </c>
      <c r="AG149" s="23" t="e">
        <f>(Table13[[#This Row],[Volume]]/1000000)/Table13[[#This Row],[FLOAT(M)]]</f>
        <v>#DIV/0!</v>
      </c>
      <c r="AI149" s="18" t="e">
        <f>(Table13[[#This Row],[PM Hi]]-Table13[[#This Row],[MKT Open Price]])/(Table13[[#This Row],[PM Hi]])</f>
        <v>#DIV/0!</v>
      </c>
      <c r="AJ149" s="18" t="e">
        <f>IF(Table13[[#This Row],[PM LO]]&gt;Table13[[#This Row],[Prior day close]],(Table13[[#This Row],[PM Hi]]-Table13[[#This Row],[MKT Open Price]])/(Table13[[#This Row],[PM Hi]]-Table13[[#This Row],[Prior day close]]),(Table13[[#This Row],[PM Hi]]-Table13[[#This Row],[MKT Open Price]])/(Table13[[#This Row],[PM Hi]]-Table13[[#This Row],[PM LO]]))</f>
        <v>#DIV/0!</v>
      </c>
      <c r="AK149" s="48" t="e">
        <f>IF(Table13[[#This Row],[Prior day close]]&lt;Table13[[#This Row],[PM LO]],(I149-K149)/(I149-Table13[[#This Row],[Prior day close]]),(I149-K149)/(I149-Table13[[#This Row],[PM LO]]))</f>
        <v>#DIV/0!</v>
      </c>
      <c r="AL149" s="48">
        <f>Table13[[#This Row],[Spike % on open before drop]]+AM149</f>
        <v>0</v>
      </c>
      <c r="AM149" s="16"/>
      <c r="AN149" s="16"/>
      <c r="AO149" s="48" t="e">
        <f>IF(Table13[[#This Row],[Prior day close]]&lt;=Table13[[#This Row],[PM LO]],IF($J149&gt;=$F149,($J149-$K149)/($J149-Table13[[#This Row],[Prior day close]]),(IF($H149&lt;=$K149,($F149-$H149)/($F149-Table13[[#This Row],[Prior day close]]),(Table13[[#This Row],[PM Hi]]-Table13[[#This Row],[Lowest lo from open to squeeze]])/(Table13[[#This Row],[PM Hi]]-Table13[[#This Row],[Prior day close]])))),IF($J149&gt;=$F149,($J149-$K149)/($J149-Table13[[#This Row],[PM LO]]),(IF($H149&lt;=$K149,($F149-$H149)/($F149-Table13[[#This Row],[PM LO]]),(Table13[[#This Row],[PM Hi]]-Table13[[#This Row],[Lowest lo from open to squeeze]])/(Table13[[#This Row],[PM Hi]]-Table13[[#This Row],[PM LO]])))))</f>
        <v>#DIV/0!</v>
      </c>
      <c r="AP149" s="18"/>
      <c r="AQ149" s="17">
        <f>390+Table13[[#This Row],[Time until ideal entry point (mins) from open]]</f>
        <v>390</v>
      </c>
      <c r="AR149" s="17">
        <f>Table13[[#This Row],[Time until ideal entry + 390 (6:30)]]+Table13[[#This Row],[Duration of frontside (mins)]]</f>
        <v>390</v>
      </c>
    </row>
    <row r="150" spans="1:44" hidden="1" x14ac:dyDescent="0.25">
      <c r="A150" s="24" t="s">
        <v>185</v>
      </c>
      <c r="B150" s="47">
        <v>43963</v>
      </c>
      <c r="C150" s="47" t="s">
        <v>71</v>
      </c>
      <c r="D150" s="12"/>
      <c r="E150" s="13"/>
      <c r="F150" s="12"/>
      <c r="G150" s="12"/>
      <c r="H150" s="12"/>
      <c r="I150" s="12"/>
      <c r="J150" s="12"/>
      <c r="K150" s="12"/>
      <c r="N150" s="13"/>
      <c r="P150" s="37"/>
      <c r="Q150" s="46"/>
      <c r="R150" s="37"/>
      <c r="S150" s="37"/>
      <c r="T150" s="37"/>
      <c r="U150" s="37"/>
      <c r="V150" s="38"/>
      <c r="W150" s="46"/>
      <c r="X150" s="37"/>
      <c r="Y150" s="46"/>
      <c r="Z150" s="41">
        <f>Table13[[#This Row],[Time until ideal entry + 390 (6:30)]]/(1440)</f>
        <v>0.27083333333333331</v>
      </c>
      <c r="AA150" s="18"/>
      <c r="AB150" s="18" t="e">
        <f>IF(Table13[[#This Row],[HOD AFTER PM HI]]&gt;=Table13[[#This Row],[PM Hi]],((Table13[[#This Row],[HOD AFTER PM HI]]-Table13[[#This Row],[Prior day close]])/Table13[[#This Row],[Prior day close]]),Table13[[#This Row],[Prior Close to PM Hi %]])</f>
        <v>#DIV/0!</v>
      </c>
      <c r="AC150" s="42" t="e">
        <f>(Table13[[#This Row],[Price at hi of squeeze]]-Table13[[#This Row],[MKT Open Price]])/Table13[[#This Row],[MKT Open Price]]</f>
        <v>#DIV/0!</v>
      </c>
      <c r="AD150" s="18" t="e">
        <f>(Table13[[#This Row],[Price at hi of squeeze]]-Table13[[#This Row],[PM Hi]])/Table13[[#This Row],[PM Hi]]</f>
        <v>#DIV/0!</v>
      </c>
      <c r="AE150" s="18"/>
      <c r="AF150" s="20" t="e">
        <f>Table13[[#This Row],[PM VOL]]/1000000/Table13[[#This Row],[FLOAT(M)]]</f>
        <v>#DIV/0!</v>
      </c>
      <c r="AG150" s="23" t="e">
        <f>(Table13[[#This Row],[Volume]]/1000000)/Table13[[#This Row],[FLOAT(M)]]</f>
        <v>#DIV/0!</v>
      </c>
      <c r="AI150" s="18" t="e">
        <f>(Table13[[#This Row],[PM Hi]]-Table13[[#This Row],[MKT Open Price]])/(Table13[[#This Row],[PM Hi]])</f>
        <v>#DIV/0!</v>
      </c>
      <c r="AJ150" s="18" t="e">
        <f>IF(Table13[[#This Row],[PM LO]]&gt;Table13[[#This Row],[Prior day close]],(Table13[[#This Row],[PM Hi]]-Table13[[#This Row],[MKT Open Price]])/(Table13[[#This Row],[PM Hi]]-Table13[[#This Row],[Prior day close]]),(Table13[[#This Row],[PM Hi]]-Table13[[#This Row],[MKT Open Price]])/(Table13[[#This Row],[PM Hi]]-Table13[[#This Row],[PM LO]]))</f>
        <v>#DIV/0!</v>
      </c>
      <c r="AK150" s="48" t="e">
        <f>IF(Table13[[#This Row],[Prior day close]]&lt;Table13[[#This Row],[PM LO]],(I150-K150)/(I150-Table13[[#This Row],[Prior day close]]),(I150-K150)/(I150-Table13[[#This Row],[PM LO]]))</f>
        <v>#DIV/0!</v>
      </c>
      <c r="AL150" s="48">
        <f>Table13[[#This Row],[Spike % on open before drop]]+AM150</f>
        <v>0</v>
      </c>
      <c r="AM150" s="16"/>
      <c r="AN150" s="16"/>
      <c r="AO150" s="48" t="e">
        <f>IF(Table13[[#This Row],[Prior day close]]&lt;=Table13[[#This Row],[PM LO]],IF($J150&gt;=$F150,($J150-$K150)/($J150-Table13[[#This Row],[Prior day close]]),(IF($H150&lt;=$K150,($F150-$H150)/($F150-Table13[[#This Row],[Prior day close]]),(Table13[[#This Row],[PM Hi]]-Table13[[#This Row],[Lowest lo from open to squeeze]])/(Table13[[#This Row],[PM Hi]]-Table13[[#This Row],[Prior day close]])))),IF($J150&gt;=$F150,($J150-$K150)/($J150-Table13[[#This Row],[PM LO]]),(IF($H150&lt;=$K150,($F150-$H150)/($F150-Table13[[#This Row],[PM LO]]),(Table13[[#This Row],[PM Hi]]-Table13[[#This Row],[Lowest lo from open to squeeze]])/(Table13[[#This Row],[PM Hi]]-Table13[[#This Row],[PM LO]])))))</f>
        <v>#DIV/0!</v>
      </c>
      <c r="AP150" s="18"/>
      <c r="AQ150" s="17">
        <f>390+Table13[[#This Row],[Time until ideal entry point (mins) from open]]</f>
        <v>390</v>
      </c>
      <c r="AR150" s="17">
        <f>Table13[[#This Row],[Time until ideal entry + 390 (6:30)]]+Table13[[#This Row],[Duration of frontside (mins)]]</f>
        <v>390</v>
      </c>
    </row>
    <row r="151" spans="1:44" hidden="1" x14ac:dyDescent="0.25">
      <c r="A151" s="24" t="s">
        <v>170</v>
      </c>
      <c r="B151" s="47">
        <v>43965</v>
      </c>
      <c r="C151" s="47" t="s">
        <v>71</v>
      </c>
      <c r="D151" s="12"/>
      <c r="E151" s="13"/>
      <c r="F151" s="12"/>
      <c r="G151" s="12"/>
      <c r="H151" s="12"/>
      <c r="I151" s="12"/>
      <c r="J151" s="12"/>
      <c r="K151" s="12"/>
      <c r="N151" s="13"/>
      <c r="P151" s="37"/>
      <c r="Q151" s="46"/>
      <c r="R151" s="37"/>
      <c r="S151" s="37"/>
      <c r="T151" s="37"/>
      <c r="U151" s="37"/>
      <c r="V151" s="38"/>
      <c r="W151" s="46"/>
      <c r="X151" s="37"/>
      <c r="Y151" s="46"/>
      <c r="Z151" s="41">
        <f>Table13[[#This Row],[Time until ideal entry + 390 (6:30)]]/(1440)</f>
        <v>0.27083333333333331</v>
      </c>
      <c r="AA151" s="18"/>
      <c r="AB151" s="18" t="e">
        <f>IF(Table13[[#This Row],[HOD AFTER PM HI]]&gt;=Table13[[#This Row],[PM Hi]],((Table13[[#This Row],[HOD AFTER PM HI]]-Table13[[#This Row],[Prior day close]])/Table13[[#This Row],[Prior day close]]),Table13[[#This Row],[Prior Close to PM Hi %]])</f>
        <v>#DIV/0!</v>
      </c>
      <c r="AC151" s="42" t="e">
        <f>(Table13[[#This Row],[Price at hi of squeeze]]-Table13[[#This Row],[MKT Open Price]])/Table13[[#This Row],[MKT Open Price]]</f>
        <v>#DIV/0!</v>
      </c>
      <c r="AD151" s="18" t="e">
        <f>(Table13[[#This Row],[Price at hi of squeeze]]-Table13[[#This Row],[PM Hi]])/Table13[[#This Row],[PM Hi]]</f>
        <v>#DIV/0!</v>
      </c>
      <c r="AE151" s="18"/>
      <c r="AF151" s="20" t="e">
        <f>Table13[[#This Row],[PM VOL]]/1000000/Table13[[#This Row],[FLOAT(M)]]</f>
        <v>#DIV/0!</v>
      </c>
      <c r="AG151" s="23" t="e">
        <f>(Table13[[#This Row],[Volume]]/1000000)/Table13[[#This Row],[FLOAT(M)]]</f>
        <v>#DIV/0!</v>
      </c>
      <c r="AI151" s="18" t="e">
        <f>(Table13[[#This Row],[PM Hi]]-Table13[[#This Row],[MKT Open Price]])/(Table13[[#This Row],[PM Hi]])</f>
        <v>#DIV/0!</v>
      </c>
      <c r="AJ151" s="18" t="e">
        <f>IF(Table13[[#This Row],[PM LO]]&gt;Table13[[#This Row],[Prior day close]],(Table13[[#This Row],[PM Hi]]-Table13[[#This Row],[MKT Open Price]])/(Table13[[#This Row],[PM Hi]]-Table13[[#This Row],[Prior day close]]),(Table13[[#This Row],[PM Hi]]-Table13[[#This Row],[MKT Open Price]])/(Table13[[#This Row],[PM Hi]]-Table13[[#This Row],[PM LO]]))</f>
        <v>#DIV/0!</v>
      </c>
      <c r="AK151" s="48" t="e">
        <f>IF(Table13[[#This Row],[Prior day close]]&lt;Table13[[#This Row],[PM LO]],(I151-K151)/(I151-Table13[[#This Row],[Prior day close]]),(I151-K151)/(I151-Table13[[#This Row],[PM LO]]))</f>
        <v>#DIV/0!</v>
      </c>
      <c r="AL151" s="48">
        <f>Table13[[#This Row],[Spike % on open before drop]]+AM151</f>
        <v>0</v>
      </c>
      <c r="AM151" s="16"/>
      <c r="AN151" s="16"/>
      <c r="AO151" s="48" t="e">
        <f>IF(Table13[[#This Row],[Prior day close]]&lt;=Table13[[#This Row],[PM LO]],IF($J151&gt;=$F151,($J151-$K151)/($J151-Table13[[#This Row],[Prior day close]]),(IF($H151&lt;=$K151,($F151-$H151)/($F151-Table13[[#This Row],[Prior day close]]),(Table13[[#This Row],[PM Hi]]-Table13[[#This Row],[Lowest lo from open to squeeze]])/(Table13[[#This Row],[PM Hi]]-Table13[[#This Row],[Prior day close]])))),IF($J151&gt;=$F151,($J151-$K151)/($J151-Table13[[#This Row],[PM LO]]),(IF($H151&lt;=$K151,($F151-$H151)/($F151-Table13[[#This Row],[PM LO]]),(Table13[[#This Row],[PM Hi]]-Table13[[#This Row],[Lowest lo from open to squeeze]])/(Table13[[#This Row],[PM Hi]]-Table13[[#This Row],[PM LO]])))))</f>
        <v>#DIV/0!</v>
      </c>
      <c r="AP151" s="18"/>
      <c r="AQ151" s="17">
        <f>390+Table13[[#This Row],[Time until ideal entry point (mins) from open]]</f>
        <v>390</v>
      </c>
      <c r="AR151" s="17">
        <f>Table13[[#This Row],[Time until ideal entry + 390 (6:30)]]+Table13[[#This Row],[Duration of frontside (mins)]]</f>
        <v>390</v>
      </c>
    </row>
    <row r="152" spans="1:44" hidden="1" x14ac:dyDescent="0.25">
      <c r="A152" s="24" t="s">
        <v>186</v>
      </c>
      <c r="B152" s="47">
        <v>43970</v>
      </c>
      <c r="C152" s="47" t="s">
        <v>143</v>
      </c>
      <c r="D152" s="12"/>
      <c r="E152" s="13"/>
      <c r="F152" s="12"/>
      <c r="G152" s="12"/>
      <c r="H152" s="12"/>
      <c r="I152" s="12"/>
      <c r="J152" s="12"/>
      <c r="K152" s="12"/>
      <c r="N152" s="13"/>
      <c r="P152" s="37"/>
      <c r="Q152" s="46"/>
      <c r="R152" s="37"/>
      <c r="S152" s="37"/>
      <c r="T152" s="37"/>
      <c r="U152" s="37"/>
      <c r="V152" s="38"/>
      <c r="W152" s="46"/>
      <c r="X152" s="37"/>
      <c r="Y152" s="46"/>
      <c r="Z152" s="41">
        <f>Table13[[#This Row],[Time until ideal entry + 390 (6:30)]]/(1440)</f>
        <v>0.27083333333333331</v>
      </c>
      <c r="AA152" s="18"/>
      <c r="AB152" s="18" t="e">
        <f>IF(Table13[[#This Row],[HOD AFTER PM HI]]&gt;=Table13[[#This Row],[PM Hi]],((Table13[[#This Row],[HOD AFTER PM HI]]-Table13[[#This Row],[Prior day close]])/Table13[[#This Row],[Prior day close]]),Table13[[#This Row],[Prior Close to PM Hi %]])</f>
        <v>#DIV/0!</v>
      </c>
      <c r="AC152" s="42" t="e">
        <f>(Table13[[#This Row],[Price at hi of squeeze]]-Table13[[#This Row],[MKT Open Price]])/Table13[[#This Row],[MKT Open Price]]</f>
        <v>#DIV/0!</v>
      </c>
      <c r="AD152" s="18" t="e">
        <f>(Table13[[#This Row],[Price at hi of squeeze]]-Table13[[#This Row],[PM Hi]])/Table13[[#This Row],[PM Hi]]</f>
        <v>#DIV/0!</v>
      </c>
      <c r="AE152" s="18"/>
      <c r="AF152" s="20" t="e">
        <f>Table13[[#This Row],[PM VOL]]/1000000/Table13[[#This Row],[FLOAT(M)]]</f>
        <v>#DIV/0!</v>
      </c>
      <c r="AG152" s="23" t="e">
        <f>(Table13[[#This Row],[Volume]]/1000000)/Table13[[#This Row],[FLOAT(M)]]</f>
        <v>#DIV/0!</v>
      </c>
      <c r="AI152" s="18" t="e">
        <f>(Table13[[#This Row],[PM Hi]]-Table13[[#This Row],[MKT Open Price]])/(Table13[[#This Row],[PM Hi]])</f>
        <v>#DIV/0!</v>
      </c>
      <c r="AJ152" s="18" t="e">
        <f>IF(Table13[[#This Row],[PM LO]]&gt;Table13[[#This Row],[Prior day close]],(Table13[[#This Row],[PM Hi]]-Table13[[#This Row],[MKT Open Price]])/(Table13[[#This Row],[PM Hi]]-Table13[[#This Row],[Prior day close]]),(Table13[[#This Row],[PM Hi]]-Table13[[#This Row],[MKT Open Price]])/(Table13[[#This Row],[PM Hi]]-Table13[[#This Row],[PM LO]]))</f>
        <v>#DIV/0!</v>
      </c>
      <c r="AK152" s="48" t="e">
        <f>IF(Table13[[#This Row],[Prior day close]]&lt;Table13[[#This Row],[PM LO]],(I152-K152)/(I152-Table13[[#This Row],[Prior day close]]),(I152-K152)/(I152-Table13[[#This Row],[PM LO]]))</f>
        <v>#DIV/0!</v>
      </c>
      <c r="AL152" s="48">
        <f>Table13[[#This Row],[Spike % on open before drop]]+AM152</f>
        <v>0</v>
      </c>
      <c r="AM152" s="16"/>
      <c r="AN152" s="16"/>
      <c r="AO152" s="48" t="e">
        <f>IF(Table13[[#This Row],[Prior day close]]&lt;=Table13[[#This Row],[PM LO]],IF($J152&gt;=$F152,($J152-$K152)/($J152-Table13[[#This Row],[Prior day close]]),(IF($H152&lt;=$K152,($F152-$H152)/($F152-Table13[[#This Row],[Prior day close]]),(Table13[[#This Row],[PM Hi]]-Table13[[#This Row],[Lowest lo from open to squeeze]])/(Table13[[#This Row],[PM Hi]]-Table13[[#This Row],[Prior day close]])))),IF($J152&gt;=$F152,($J152-$K152)/($J152-Table13[[#This Row],[PM LO]]),(IF($H152&lt;=$K152,($F152-$H152)/($F152-Table13[[#This Row],[PM LO]]),(Table13[[#This Row],[PM Hi]]-Table13[[#This Row],[Lowest lo from open to squeeze]])/(Table13[[#This Row],[PM Hi]]-Table13[[#This Row],[PM LO]])))))</f>
        <v>#DIV/0!</v>
      </c>
      <c r="AP152" s="18"/>
      <c r="AQ152" s="17">
        <f>390+Table13[[#This Row],[Time until ideal entry point (mins) from open]]</f>
        <v>390</v>
      </c>
      <c r="AR152" s="17">
        <f>Table13[[#This Row],[Time until ideal entry + 390 (6:30)]]+Table13[[#This Row],[Duration of frontside (mins)]]</f>
        <v>390</v>
      </c>
    </row>
    <row r="153" spans="1:44" hidden="1" x14ac:dyDescent="0.25">
      <c r="A153" s="24" t="s">
        <v>187</v>
      </c>
      <c r="B153" s="45">
        <v>43971</v>
      </c>
      <c r="C153" s="47" t="s">
        <v>71</v>
      </c>
      <c r="D153" s="12"/>
      <c r="E153" s="13"/>
      <c r="F153" s="12"/>
      <c r="G153" s="12"/>
      <c r="H153" s="12"/>
      <c r="I153" s="12"/>
      <c r="J153" s="12"/>
      <c r="K153" s="12"/>
      <c r="N153" s="13"/>
      <c r="P153" s="37"/>
      <c r="Q153" s="46"/>
      <c r="R153" s="37"/>
      <c r="S153" s="37"/>
      <c r="T153" s="37"/>
      <c r="U153" s="37"/>
      <c r="V153" s="38"/>
      <c r="W153" s="46"/>
      <c r="X153" s="37"/>
      <c r="Y153" s="46"/>
      <c r="Z153" s="41">
        <f>Table13[[#This Row],[Time until ideal entry + 390 (6:30)]]/(1440)</f>
        <v>0.27083333333333331</v>
      </c>
      <c r="AA153" s="18"/>
      <c r="AB153" s="18" t="e">
        <f>IF(Table13[[#This Row],[HOD AFTER PM HI]]&gt;=Table13[[#This Row],[PM Hi]],((Table13[[#This Row],[HOD AFTER PM HI]]-Table13[[#This Row],[Prior day close]])/Table13[[#This Row],[Prior day close]]),Table13[[#This Row],[Prior Close to PM Hi %]])</f>
        <v>#DIV/0!</v>
      </c>
      <c r="AC153" s="42" t="e">
        <f>(Table13[[#This Row],[Price at hi of squeeze]]-Table13[[#This Row],[MKT Open Price]])/Table13[[#This Row],[MKT Open Price]]</f>
        <v>#DIV/0!</v>
      </c>
      <c r="AD153" s="18" t="e">
        <f>(Table13[[#This Row],[Price at hi of squeeze]]-Table13[[#This Row],[PM Hi]])/Table13[[#This Row],[PM Hi]]</f>
        <v>#DIV/0!</v>
      </c>
      <c r="AE153" s="18"/>
      <c r="AF153" s="20" t="e">
        <f>Table13[[#This Row],[PM VOL]]/1000000/Table13[[#This Row],[FLOAT(M)]]</f>
        <v>#DIV/0!</v>
      </c>
      <c r="AG153" s="23" t="e">
        <f>(Table13[[#This Row],[Volume]]/1000000)/Table13[[#This Row],[FLOAT(M)]]</f>
        <v>#DIV/0!</v>
      </c>
      <c r="AI153" s="18" t="e">
        <f>(Table13[[#This Row],[PM Hi]]-Table13[[#This Row],[MKT Open Price]])/(Table13[[#This Row],[PM Hi]])</f>
        <v>#DIV/0!</v>
      </c>
      <c r="AJ153" s="18" t="e">
        <f>IF(Table13[[#This Row],[PM LO]]&gt;Table13[[#This Row],[Prior day close]],(Table13[[#This Row],[PM Hi]]-Table13[[#This Row],[MKT Open Price]])/(Table13[[#This Row],[PM Hi]]-Table13[[#This Row],[Prior day close]]),(Table13[[#This Row],[PM Hi]]-Table13[[#This Row],[MKT Open Price]])/(Table13[[#This Row],[PM Hi]]-Table13[[#This Row],[PM LO]]))</f>
        <v>#DIV/0!</v>
      </c>
      <c r="AK153" s="48" t="e">
        <f>IF(Table13[[#This Row],[Prior day close]]&lt;Table13[[#This Row],[PM LO]],(I153-K153)/(I153-Table13[[#This Row],[Prior day close]]),(I153-K153)/(I153-Table13[[#This Row],[PM LO]]))</f>
        <v>#DIV/0!</v>
      </c>
      <c r="AL153" s="48">
        <f>Table13[[#This Row],[Spike % on open before drop]]+AM153</f>
        <v>0</v>
      </c>
      <c r="AM153" s="16"/>
      <c r="AN153" s="16"/>
      <c r="AO153" s="48" t="e">
        <f>IF(Table13[[#This Row],[Prior day close]]&lt;=Table13[[#This Row],[PM LO]],IF($J153&gt;=$F153,($J153-$K153)/($J153-Table13[[#This Row],[Prior day close]]),(IF($H153&lt;=$K153,($F153-$H153)/($F153-Table13[[#This Row],[Prior day close]]),(Table13[[#This Row],[PM Hi]]-Table13[[#This Row],[Lowest lo from open to squeeze]])/(Table13[[#This Row],[PM Hi]]-Table13[[#This Row],[Prior day close]])))),IF($J153&gt;=$F153,($J153-$K153)/($J153-Table13[[#This Row],[PM LO]]),(IF($H153&lt;=$K153,($F153-$H153)/($F153-Table13[[#This Row],[PM LO]]),(Table13[[#This Row],[PM Hi]]-Table13[[#This Row],[Lowest lo from open to squeeze]])/(Table13[[#This Row],[PM Hi]]-Table13[[#This Row],[PM LO]])))))</f>
        <v>#DIV/0!</v>
      </c>
      <c r="AP153" s="18"/>
      <c r="AQ153" s="17">
        <f>390+Table13[[#This Row],[Time until ideal entry point (mins) from open]]</f>
        <v>390</v>
      </c>
      <c r="AR153" s="17">
        <f>Table13[[#This Row],[Time until ideal entry + 390 (6:30)]]+Table13[[#This Row],[Duration of frontside (mins)]]</f>
        <v>390</v>
      </c>
    </row>
    <row r="154" spans="1:44" hidden="1" x14ac:dyDescent="0.25">
      <c r="A154" s="24" t="s">
        <v>144</v>
      </c>
      <c r="B154" s="47">
        <v>43978</v>
      </c>
      <c r="C154" s="47" t="s">
        <v>143</v>
      </c>
      <c r="D154" s="12"/>
      <c r="E154" s="13"/>
      <c r="F154" s="12"/>
      <c r="G154" s="12"/>
      <c r="H154" s="12"/>
      <c r="I154" s="12"/>
      <c r="J154" s="12"/>
      <c r="K154" s="12"/>
      <c r="N154" s="13"/>
      <c r="P154" s="37"/>
      <c r="Q154" s="46"/>
      <c r="R154" s="37"/>
      <c r="S154" s="37"/>
      <c r="T154" s="37"/>
      <c r="U154" s="37"/>
      <c r="V154" s="38"/>
      <c r="W154" s="46"/>
      <c r="X154" s="37"/>
      <c r="Y154" s="46"/>
      <c r="Z154" s="41">
        <f>Table13[[#This Row],[Time until ideal entry + 390 (6:30)]]/(1440)</f>
        <v>0.27083333333333331</v>
      </c>
      <c r="AA154" s="18"/>
      <c r="AB154" s="18" t="e">
        <f>IF(Table13[[#This Row],[HOD AFTER PM HI]]&gt;=Table13[[#This Row],[PM Hi]],((Table13[[#This Row],[HOD AFTER PM HI]]-Table13[[#This Row],[Prior day close]])/Table13[[#This Row],[Prior day close]]),Table13[[#This Row],[Prior Close to PM Hi %]])</f>
        <v>#DIV/0!</v>
      </c>
      <c r="AC154" s="42" t="e">
        <f>(Table13[[#This Row],[Price at hi of squeeze]]-Table13[[#This Row],[MKT Open Price]])/Table13[[#This Row],[MKT Open Price]]</f>
        <v>#DIV/0!</v>
      </c>
      <c r="AD154" s="18" t="e">
        <f>(Table13[[#This Row],[Price at hi of squeeze]]-Table13[[#This Row],[PM Hi]])/Table13[[#This Row],[PM Hi]]</f>
        <v>#DIV/0!</v>
      </c>
      <c r="AE154" s="18"/>
      <c r="AF154" s="20" t="e">
        <f>Table13[[#This Row],[PM VOL]]/1000000/Table13[[#This Row],[FLOAT(M)]]</f>
        <v>#DIV/0!</v>
      </c>
      <c r="AG154" s="23" t="e">
        <f>(Table13[[#This Row],[Volume]]/1000000)/Table13[[#This Row],[FLOAT(M)]]</f>
        <v>#DIV/0!</v>
      </c>
      <c r="AI154" s="18" t="e">
        <f>(Table13[[#This Row],[PM Hi]]-Table13[[#This Row],[MKT Open Price]])/(Table13[[#This Row],[PM Hi]])</f>
        <v>#DIV/0!</v>
      </c>
      <c r="AJ154" s="18" t="e">
        <f>IF(Table13[[#This Row],[PM LO]]&gt;Table13[[#This Row],[Prior day close]],(Table13[[#This Row],[PM Hi]]-Table13[[#This Row],[MKT Open Price]])/(Table13[[#This Row],[PM Hi]]-Table13[[#This Row],[Prior day close]]),(Table13[[#This Row],[PM Hi]]-Table13[[#This Row],[MKT Open Price]])/(Table13[[#This Row],[PM Hi]]-Table13[[#This Row],[PM LO]]))</f>
        <v>#DIV/0!</v>
      </c>
      <c r="AK154" s="48" t="e">
        <f>IF(Table13[[#This Row],[Prior day close]]&lt;Table13[[#This Row],[PM LO]],(I154-K154)/(I154-Table13[[#This Row],[Prior day close]]),(I154-K154)/(I154-Table13[[#This Row],[PM LO]]))</f>
        <v>#DIV/0!</v>
      </c>
      <c r="AL154" s="48">
        <f>Table13[[#This Row],[Spike % on open before drop]]+AM154</f>
        <v>0</v>
      </c>
      <c r="AM154" s="16"/>
      <c r="AN154" s="16"/>
      <c r="AO154" s="48" t="e">
        <f>IF(Table13[[#This Row],[Prior day close]]&lt;=Table13[[#This Row],[PM LO]],IF($J154&gt;=$F154,($J154-$K154)/($J154-Table13[[#This Row],[Prior day close]]),(IF($H154&lt;=$K154,($F154-$H154)/($F154-Table13[[#This Row],[Prior day close]]),(Table13[[#This Row],[PM Hi]]-Table13[[#This Row],[Lowest lo from open to squeeze]])/(Table13[[#This Row],[PM Hi]]-Table13[[#This Row],[Prior day close]])))),IF($J154&gt;=$F154,($J154-$K154)/($J154-Table13[[#This Row],[PM LO]]),(IF($H154&lt;=$K154,($F154-$H154)/($F154-Table13[[#This Row],[PM LO]]),(Table13[[#This Row],[PM Hi]]-Table13[[#This Row],[Lowest lo from open to squeeze]])/(Table13[[#This Row],[PM Hi]]-Table13[[#This Row],[PM LO]])))))</f>
        <v>#DIV/0!</v>
      </c>
      <c r="AP154" s="18"/>
      <c r="AQ154" s="17">
        <f>390+Table13[[#This Row],[Time until ideal entry point (mins) from open]]</f>
        <v>390</v>
      </c>
      <c r="AR154" s="17">
        <f>Table13[[#This Row],[Time until ideal entry + 390 (6:30)]]+Table13[[#This Row],[Duration of frontside (mins)]]</f>
        <v>390</v>
      </c>
    </row>
    <row r="155" spans="1:44" hidden="1" x14ac:dyDescent="0.25">
      <c r="A155" s="25" t="s">
        <v>188</v>
      </c>
      <c r="B155" s="11">
        <v>43983</v>
      </c>
      <c r="C155" s="47" t="s">
        <v>143</v>
      </c>
      <c r="D155" s="12"/>
      <c r="E155" s="13"/>
      <c r="F155" s="12"/>
      <c r="G155" s="12"/>
      <c r="H155" s="12"/>
      <c r="I155" s="12"/>
      <c r="J155" s="12"/>
      <c r="K155" s="12"/>
      <c r="N155" s="13"/>
      <c r="P155" s="37"/>
      <c r="Q155" s="46"/>
      <c r="R155" s="37"/>
      <c r="S155" s="37"/>
      <c r="T155" s="37"/>
      <c r="U155" s="37"/>
      <c r="V155" s="38"/>
      <c r="W155" s="46"/>
      <c r="X155" s="37"/>
      <c r="Y155" s="46"/>
      <c r="Z155" s="41">
        <f>Table13[[#This Row],[Time until ideal entry + 390 (6:30)]]/(1440)</f>
        <v>0.27083333333333331</v>
      </c>
      <c r="AA155" s="18"/>
      <c r="AB155" s="18" t="e">
        <f>IF(Table13[[#This Row],[HOD AFTER PM HI]]&gt;=Table13[[#This Row],[PM Hi]],((Table13[[#This Row],[HOD AFTER PM HI]]-Table13[[#This Row],[Prior day close]])/Table13[[#This Row],[Prior day close]]),Table13[[#This Row],[Prior Close to PM Hi %]])</f>
        <v>#DIV/0!</v>
      </c>
      <c r="AC155" s="42" t="e">
        <f>(Table13[[#This Row],[Price at hi of squeeze]]-Table13[[#This Row],[MKT Open Price]])/Table13[[#This Row],[MKT Open Price]]</f>
        <v>#DIV/0!</v>
      </c>
      <c r="AD155" s="18" t="e">
        <f>(Table13[[#This Row],[Price at hi of squeeze]]-Table13[[#This Row],[PM Hi]])/Table13[[#This Row],[PM Hi]]</f>
        <v>#DIV/0!</v>
      </c>
      <c r="AE155" s="18"/>
      <c r="AF155" s="20" t="e">
        <f>Table13[[#This Row],[PM VOL]]/1000000/Table13[[#This Row],[FLOAT(M)]]</f>
        <v>#DIV/0!</v>
      </c>
      <c r="AG155" s="23" t="e">
        <f>(Table13[[#This Row],[Volume]]/1000000)/Table13[[#This Row],[FLOAT(M)]]</f>
        <v>#DIV/0!</v>
      </c>
      <c r="AI155" s="18" t="e">
        <f>(Table13[[#This Row],[PM Hi]]-Table13[[#This Row],[MKT Open Price]])/(Table13[[#This Row],[PM Hi]])</f>
        <v>#DIV/0!</v>
      </c>
      <c r="AJ155" s="18" t="e">
        <f>IF(Table13[[#This Row],[PM LO]]&gt;Table13[[#This Row],[Prior day close]],(Table13[[#This Row],[PM Hi]]-Table13[[#This Row],[MKT Open Price]])/(Table13[[#This Row],[PM Hi]]-Table13[[#This Row],[Prior day close]]),(Table13[[#This Row],[PM Hi]]-Table13[[#This Row],[MKT Open Price]])/(Table13[[#This Row],[PM Hi]]-Table13[[#This Row],[PM LO]]))</f>
        <v>#DIV/0!</v>
      </c>
      <c r="AK155" s="48" t="e">
        <f>IF(Table13[[#This Row],[Prior day close]]&lt;Table13[[#This Row],[PM LO]],(I155-K155)/(I155-Table13[[#This Row],[Prior day close]]),(I155-K155)/(I155-Table13[[#This Row],[PM LO]]))</f>
        <v>#DIV/0!</v>
      </c>
      <c r="AL155" s="48">
        <f>Table13[[#This Row],[Spike % on open before drop]]+AM155</f>
        <v>0</v>
      </c>
      <c r="AM155" s="16"/>
      <c r="AN155" s="16"/>
      <c r="AO155" s="48" t="e">
        <f>IF(Table13[[#This Row],[Prior day close]]&lt;=Table13[[#This Row],[PM LO]],IF($J155&gt;=$F155,($J155-$K155)/($J155-Table13[[#This Row],[Prior day close]]),(IF($H155&lt;=$K155,($F155-$H155)/($F155-Table13[[#This Row],[Prior day close]]),(Table13[[#This Row],[PM Hi]]-Table13[[#This Row],[Lowest lo from open to squeeze]])/(Table13[[#This Row],[PM Hi]]-Table13[[#This Row],[Prior day close]])))),IF($J155&gt;=$F155,($J155-$K155)/($J155-Table13[[#This Row],[PM LO]]),(IF($H155&lt;=$K155,($F155-$H155)/($F155-Table13[[#This Row],[PM LO]]),(Table13[[#This Row],[PM Hi]]-Table13[[#This Row],[Lowest lo from open to squeeze]])/(Table13[[#This Row],[PM Hi]]-Table13[[#This Row],[PM LO]])))))</f>
        <v>#DIV/0!</v>
      </c>
      <c r="AP155" s="18"/>
      <c r="AQ155" s="17">
        <f>390+Table13[[#This Row],[Time until ideal entry point (mins) from open]]</f>
        <v>390</v>
      </c>
      <c r="AR155" s="17">
        <f>Table13[[#This Row],[Time until ideal entry + 390 (6:30)]]+Table13[[#This Row],[Duration of frontside (mins)]]</f>
        <v>390</v>
      </c>
    </row>
    <row r="156" spans="1:44" hidden="1" x14ac:dyDescent="0.25">
      <c r="A156" s="24" t="s">
        <v>76</v>
      </c>
      <c r="B156" s="47">
        <v>43985</v>
      </c>
      <c r="C156" s="47" t="s">
        <v>71</v>
      </c>
      <c r="D156" s="12"/>
      <c r="E156" s="13"/>
      <c r="F156" s="12"/>
      <c r="G156" s="12"/>
      <c r="H156" s="12"/>
      <c r="I156" s="12"/>
      <c r="J156" s="12"/>
      <c r="K156" s="12"/>
      <c r="N156" s="13"/>
      <c r="P156" s="37"/>
      <c r="Q156" s="46"/>
      <c r="R156" s="37"/>
      <c r="S156" s="37"/>
      <c r="T156" s="37"/>
      <c r="U156" s="37"/>
      <c r="V156" s="38"/>
      <c r="W156" s="46"/>
      <c r="X156" s="37"/>
      <c r="Y156" s="46"/>
      <c r="Z156" s="41">
        <f>Table13[[#This Row],[Time until ideal entry + 390 (6:30)]]/(1440)</f>
        <v>0.27083333333333331</v>
      </c>
      <c r="AA156" s="18"/>
      <c r="AB156" s="18" t="e">
        <f>IF(Table13[[#This Row],[HOD AFTER PM HI]]&gt;=Table13[[#This Row],[PM Hi]],((Table13[[#This Row],[HOD AFTER PM HI]]-Table13[[#This Row],[Prior day close]])/Table13[[#This Row],[Prior day close]]),Table13[[#This Row],[Prior Close to PM Hi %]])</f>
        <v>#DIV/0!</v>
      </c>
      <c r="AC156" s="42" t="e">
        <f>(Table13[[#This Row],[Price at hi of squeeze]]-Table13[[#This Row],[MKT Open Price]])/Table13[[#This Row],[MKT Open Price]]</f>
        <v>#DIV/0!</v>
      </c>
      <c r="AD156" s="18" t="e">
        <f>(Table13[[#This Row],[Price at hi of squeeze]]-Table13[[#This Row],[PM Hi]])/Table13[[#This Row],[PM Hi]]</f>
        <v>#DIV/0!</v>
      </c>
      <c r="AE156" s="18"/>
      <c r="AF156" s="20" t="e">
        <f>Table13[[#This Row],[PM VOL]]/1000000/Table13[[#This Row],[FLOAT(M)]]</f>
        <v>#DIV/0!</v>
      </c>
      <c r="AG156" s="23" t="e">
        <f>(Table13[[#This Row],[Volume]]/1000000)/Table13[[#This Row],[FLOAT(M)]]</f>
        <v>#DIV/0!</v>
      </c>
      <c r="AI156" s="18" t="e">
        <f>(Table13[[#This Row],[PM Hi]]-Table13[[#This Row],[MKT Open Price]])/(Table13[[#This Row],[PM Hi]])</f>
        <v>#DIV/0!</v>
      </c>
      <c r="AJ156" s="18" t="e">
        <f>IF(Table13[[#This Row],[PM LO]]&gt;Table13[[#This Row],[Prior day close]],(Table13[[#This Row],[PM Hi]]-Table13[[#This Row],[MKT Open Price]])/(Table13[[#This Row],[PM Hi]]-Table13[[#This Row],[Prior day close]]),(Table13[[#This Row],[PM Hi]]-Table13[[#This Row],[MKT Open Price]])/(Table13[[#This Row],[PM Hi]]-Table13[[#This Row],[PM LO]]))</f>
        <v>#DIV/0!</v>
      </c>
      <c r="AK156" s="48" t="e">
        <f>IF(Table13[[#This Row],[Prior day close]]&lt;Table13[[#This Row],[PM LO]],(I156-K156)/(I156-Table13[[#This Row],[Prior day close]]),(I156-K156)/(I156-Table13[[#This Row],[PM LO]]))</f>
        <v>#DIV/0!</v>
      </c>
      <c r="AL156" s="48">
        <f>Table13[[#This Row],[Spike % on open before drop]]+AM156</f>
        <v>0</v>
      </c>
      <c r="AM156" s="16"/>
      <c r="AN156" s="16"/>
      <c r="AO156" s="48" t="e">
        <f>IF(Table13[[#This Row],[Prior day close]]&lt;=Table13[[#This Row],[PM LO]],IF($J156&gt;=$F156,($J156-$K156)/($J156-Table13[[#This Row],[Prior day close]]),(IF($H156&lt;=$K156,($F156-$H156)/($F156-Table13[[#This Row],[Prior day close]]),(Table13[[#This Row],[PM Hi]]-Table13[[#This Row],[Lowest lo from open to squeeze]])/(Table13[[#This Row],[PM Hi]]-Table13[[#This Row],[Prior day close]])))),IF($J156&gt;=$F156,($J156-$K156)/($J156-Table13[[#This Row],[PM LO]]),(IF($H156&lt;=$K156,($F156-$H156)/($F156-Table13[[#This Row],[PM LO]]),(Table13[[#This Row],[PM Hi]]-Table13[[#This Row],[Lowest lo from open to squeeze]])/(Table13[[#This Row],[PM Hi]]-Table13[[#This Row],[PM LO]])))))</f>
        <v>#DIV/0!</v>
      </c>
      <c r="AP156" s="18"/>
      <c r="AQ156" s="17">
        <f>390+Table13[[#This Row],[Time until ideal entry point (mins) from open]]</f>
        <v>390</v>
      </c>
      <c r="AR156" s="17">
        <f>Table13[[#This Row],[Time until ideal entry + 390 (6:30)]]+Table13[[#This Row],[Duration of frontside (mins)]]</f>
        <v>390</v>
      </c>
    </row>
    <row r="157" spans="1:44" hidden="1" x14ac:dyDescent="0.25">
      <c r="A157" s="24" t="s">
        <v>189</v>
      </c>
      <c r="B157" s="47">
        <v>43985</v>
      </c>
      <c r="C157" s="47" t="s">
        <v>143</v>
      </c>
      <c r="D157" s="12"/>
      <c r="E157" s="13"/>
      <c r="F157" s="12"/>
      <c r="G157" s="12"/>
      <c r="H157" s="12"/>
      <c r="I157" s="12"/>
      <c r="J157" s="12"/>
      <c r="K157" s="12"/>
      <c r="N157" s="13"/>
      <c r="P157" s="37"/>
      <c r="Q157" s="46"/>
      <c r="R157" s="37"/>
      <c r="S157" s="37"/>
      <c r="T157" s="37"/>
      <c r="U157" s="37"/>
      <c r="V157" s="38"/>
      <c r="W157" s="46"/>
      <c r="X157" s="37"/>
      <c r="Y157" s="46"/>
      <c r="Z157" s="41">
        <f>Table13[[#This Row],[Time until ideal entry + 390 (6:30)]]/(1440)</f>
        <v>0.27083333333333331</v>
      </c>
      <c r="AA157" s="18"/>
      <c r="AB157" s="18" t="e">
        <f>IF(Table13[[#This Row],[HOD AFTER PM HI]]&gt;=Table13[[#This Row],[PM Hi]],((Table13[[#This Row],[HOD AFTER PM HI]]-Table13[[#This Row],[Prior day close]])/Table13[[#This Row],[Prior day close]]),Table13[[#This Row],[Prior Close to PM Hi %]])</f>
        <v>#DIV/0!</v>
      </c>
      <c r="AC157" s="42" t="e">
        <f>(Table13[[#This Row],[Price at hi of squeeze]]-Table13[[#This Row],[MKT Open Price]])/Table13[[#This Row],[MKT Open Price]]</f>
        <v>#DIV/0!</v>
      </c>
      <c r="AD157" s="18" t="e">
        <f>(Table13[[#This Row],[Price at hi of squeeze]]-Table13[[#This Row],[PM Hi]])/Table13[[#This Row],[PM Hi]]</f>
        <v>#DIV/0!</v>
      </c>
      <c r="AE157" s="18"/>
      <c r="AF157" s="20" t="e">
        <f>Table13[[#This Row],[PM VOL]]/1000000/Table13[[#This Row],[FLOAT(M)]]</f>
        <v>#DIV/0!</v>
      </c>
      <c r="AG157" s="23" t="e">
        <f>(Table13[[#This Row],[Volume]]/1000000)/Table13[[#This Row],[FLOAT(M)]]</f>
        <v>#DIV/0!</v>
      </c>
      <c r="AI157" s="18" t="e">
        <f>(Table13[[#This Row],[PM Hi]]-Table13[[#This Row],[MKT Open Price]])/(Table13[[#This Row],[PM Hi]])</f>
        <v>#DIV/0!</v>
      </c>
      <c r="AJ157" s="18" t="e">
        <f>IF(Table13[[#This Row],[PM LO]]&gt;Table13[[#This Row],[Prior day close]],(Table13[[#This Row],[PM Hi]]-Table13[[#This Row],[MKT Open Price]])/(Table13[[#This Row],[PM Hi]]-Table13[[#This Row],[Prior day close]]),(Table13[[#This Row],[PM Hi]]-Table13[[#This Row],[MKT Open Price]])/(Table13[[#This Row],[PM Hi]]-Table13[[#This Row],[PM LO]]))</f>
        <v>#DIV/0!</v>
      </c>
      <c r="AK157" s="48" t="e">
        <f>IF(Table13[[#This Row],[Prior day close]]&lt;Table13[[#This Row],[PM LO]],(I157-K157)/(I157-Table13[[#This Row],[Prior day close]]),(I157-K157)/(I157-Table13[[#This Row],[PM LO]]))</f>
        <v>#DIV/0!</v>
      </c>
      <c r="AL157" s="48">
        <f>Table13[[#This Row],[Spike % on open before drop]]+AM157</f>
        <v>0</v>
      </c>
      <c r="AM157" s="16"/>
      <c r="AN157" s="16"/>
      <c r="AO157" s="48" t="e">
        <f>IF(Table13[[#This Row],[Prior day close]]&lt;=Table13[[#This Row],[PM LO]],IF($J157&gt;=$F157,($J157-$K157)/($J157-Table13[[#This Row],[Prior day close]]),(IF($H157&lt;=$K157,($F157-$H157)/($F157-Table13[[#This Row],[Prior day close]]),(Table13[[#This Row],[PM Hi]]-Table13[[#This Row],[Lowest lo from open to squeeze]])/(Table13[[#This Row],[PM Hi]]-Table13[[#This Row],[Prior day close]])))),IF($J157&gt;=$F157,($J157-$K157)/($J157-Table13[[#This Row],[PM LO]]),(IF($H157&lt;=$K157,($F157-$H157)/($F157-Table13[[#This Row],[PM LO]]),(Table13[[#This Row],[PM Hi]]-Table13[[#This Row],[Lowest lo from open to squeeze]])/(Table13[[#This Row],[PM Hi]]-Table13[[#This Row],[PM LO]])))))</f>
        <v>#DIV/0!</v>
      </c>
      <c r="AP157" s="18"/>
      <c r="AQ157" s="17">
        <f>390+Table13[[#This Row],[Time until ideal entry point (mins) from open]]</f>
        <v>390</v>
      </c>
      <c r="AR157" s="17">
        <f>Table13[[#This Row],[Time until ideal entry + 390 (6:30)]]+Table13[[#This Row],[Duration of frontside (mins)]]</f>
        <v>390</v>
      </c>
    </row>
    <row r="158" spans="1:44" hidden="1" x14ac:dyDescent="0.25">
      <c r="A158" s="25" t="s">
        <v>76</v>
      </c>
      <c r="B158" s="11">
        <v>43986</v>
      </c>
      <c r="C158" s="47" t="s">
        <v>71</v>
      </c>
      <c r="D158" s="12"/>
      <c r="E158" s="13"/>
      <c r="F158" s="12"/>
      <c r="G158" s="12"/>
      <c r="H158" s="12"/>
      <c r="I158" s="12"/>
      <c r="J158" s="12"/>
      <c r="K158" s="12"/>
      <c r="N158" s="13"/>
      <c r="P158" s="37"/>
      <c r="Q158" s="46"/>
      <c r="R158" s="37"/>
      <c r="S158" s="37"/>
      <c r="T158" s="37"/>
      <c r="U158" s="37"/>
      <c r="V158" s="38"/>
      <c r="W158" s="46"/>
      <c r="X158" s="37"/>
      <c r="Y158" s="46"/>
      <c r="Z158" s="41">
        <f>Table13[[#This Row],[Time until ideal entry + 390 (6:30)]]/(1440)</f>
        <v>0.27083333333333331</v>
      </c>
      <c r="AA158" s="18"/>
      <c r="AB158" s="18" t="e">
        <f>IF(Table13[[#This Row],[HOD AFTER PM HI]]&gt;=Table13[[#This Row],[PM Hi]],((Table13[[#This Row],[HOD AFTER PM HI]]-Table13[[#This Row],[Prior day close]])/Table13[[#This Row],[Prior day close]]),Table13[[#This Row],[Prior Close to PM Hi %]])</f>
        <v>#DIV/0!</v>
      </c>
      <c r="AC158" s="42" t="e">
        <f>(Table13[[#This Row],[Price at hi of squeeze]]-Table13[[#This Row],[MKT Open Price]])/Table13[[#This Row],[MKT Open Price]]</f>
        <v>#DIV/0!</v>
      </c>
      <c r="AD158" s="18" t="e">
        <f>(Table13[[#This Row],[Price at hi of squeeze]]-Table13[[#This Row],[PM Hi]])/Table13[[#This Row],[PM Hi]]</f>
        <v>#DIV/0!</v>
      </c>
      <c r="AE158" s="18"/>
      <c r="AF158" s="20" t="e">
        <f>Table13[[#This Row],[PM VOL]]/1000000/Table13[[#This Row],[FLOAT(M)]]</f>
        <v>#DIV/0!</v>
      </c>
      <c r="AG158" s="23" t="e">
        <f>(Table13[[#This Row],[Volume]]/1000000)/Table13[[#This Row],[FLOAT(M)]]</f>
        <v>#DIV/0!</v>
      </c>
      <c r="AI158" s="18" t="e">
        <f>(Table13[[#This Row],[PM Hi]]-Table13[[#This Row],[MKT Open Price]])/(Table13[[#This Row],[PM Hi]])</f>
        <v>#DIV/0!</v>
      </c>
      <c r="AJ158" s="18" t="e">
        <f>IF(Table13[[#This Row],[PM LO]]&gt;Table13[[#This Row],[Prior day close]],(Table13[[#This Row],[PM Hi]]-Table13[[#This Row],[MKT Open Price]])/(Table13[[#This Row],[PM Hi]]-Table13[[#This Row],[Prior day close]]),(Table13[[#This Row],[PM Hi]]-Table13[[#This Row],[MKT Open Price]])/(Table13[[#This Row],[PM Hi]]-Table13[[#This Row],[PM LO]]))</f>
        <v>#DIV/0!</v>
      </c>
      <c r="AK158" s="48" t="e">
        <f>IF(Table13[[#This Row],[Prior day close]]&lt;Table13[[#This Row],[PM LO]],(I158-K158)/(I158-Table13[[#This Row],[Prior day close]]),(I158-K158)/(I158-Table13[[#This Row],[PM LO]]))</f>
        <v>#DIV/0!</v>
      </c>
      <c r="AL158" s="48">
        <f>Table13[[#This Row],[Spike % on open before drop]]+AM158</f>
        <v>0</v>
      </c>
      <c r="AM158" s="16"/>
      <c r="AN158" s="16"/>
      <c r="AO158" s="48" t="e">
        <f>IF(Table13[[#This Row],[Prior day close]]&lt;=Table13[[#This Row],[PM LO]],IF($J158&gt;=$F158,($J158-$K158)/($J158-Table13[[#This Row],[Prior day close]]),(IF($H158&lt;=$K158,($F158-$H158)/($F158-Table13[[#This Row],[Prior day close]]),(Table13[[#This Row],[PM Hi]]-Table13[[#This Row],[Lowest lo from open to squeeze]])/(Table13[[#This Row],[PM Hi]]-Table13[[#This Row],[Prior day close]])))),IF($J158&gt;=$F158,($J158-$K158)/($J158-Table13[[#This Row],[PM LO]]),(IF($H158&lt;=$K158,($F158-$H158)/($F158-Table13[[#This Row],[PM LO]]),(Table13[[#This Row],[PM Hi]]-Table13[[#This Row],[Lowest lo from open to squeeze]])/(Table13[[#This Row],[PM Hi]]-Table13[[#This Row],[PM LO]])))))</f>
        <v>#DIV/0!</v>
      </c>
      <c r="AP158" s="18"/>
      <c r="AQ158" s="17">
        <f>390+Table13[[#This Row],[Time until ideal entry point (mins) from open]]</f>
        <v>390</v>
      </c>
      <c r="AR158" s="17">
        <f>Table13[[#This Row],[Time until ideal entry + 390 (6:30)]]+Table13[[#This Row],[Duration of frontside (mins)]]</f>
        <v>390</v>
      </c>
    </row>
    <row r="159" spans="1:44" hidden="1" x14ac:dyDescent="0.25">
      <c r="A159" s="24" t="s">
        <v>190</v>
      </c>
      <c r="B159" s="47">
        <v>43986</v>
      </c>
      <c r="C159" s="47" t="s">
        <v>71</v>
      </c>
      <c r="D159" s="12"/>
      <c r="E159" s="13"/>
      <c r="F159" s="12"/>
      <c r="G159" s="12"/>
      <c r="H159" s="12"/>
      <c r="I159" s="12"/>
      <c r="J159" s="12"/>
      <c r="K159" s="12"/>
      <c r="N159" s="13"/>
      <c r="P159" s="37"/>
      <c r="Q159" s="46"/>
      <c r="R159" s="37"/>
      <c r="S159" s="37"/>
      <c r="T159" s="37"/>
      <c r="U159" s="37"/>
      <c r="V159" s="38"/>
      <c r="W159" s="46"/>
      <c r="X159" s="37"/>
      <c r="Y159" s="46"/>
      <c r="Z159" s="41">
        <f>Table13[[#This Row],[Time until ideal entry + 390 (6:30)]]/(1440)</f>
        <v>0.27083333333333331</v>
      </c>
      <c r="AA159" s="18"/>
      <c r="AB159" s="18" t="e">
        <f>IF(Table13[[#This Row],[HOD AFTER PM HI]]&gt;=Table13[[#This Row],[PM Hi]],((Table13[[#This Row],[HOD AFTER PM HI]]-Table13[[#This Row],[Prior day close]])/Table13[[#This Row],[Prior day close]]),Table13[[#This Row],[Prior Close to PM Hi %]])</f>
        <v>#DIV/0!</v>
      </c>
      <c r="AC159" s="42" t="e">
        <f>(Table13[[#This Row],[Price at hi of squeeze]]-Table13[[#This Row],[MKT Open Price]])/Table13[[#This Row],[MKT Open Price]]</f>
        <v>#DIV/0!</v>
      </c>
      <c r="AD159" s="18" t="e">
        <f>(Table13[[#This Row],[Price at hi of squeeze]]-Table13[[#This Row],[PM Hi]])/Table13[[#This Row],[PM Hi]]</f>
        <v>#DIV/0!</v>
      </c>
      <c r="AE159" s="18"/>
      <c r="AF159" s="20" t="e">
        <f>Table13[[#This Row],[PM VOL]]/1000000/Table13[[#This Row],[FLOAT(M)]]</f>
        <v>#DIV/0!</v>
      </c>
      <c r="AG159" s="23" t="e">
        <f>(Table13[[#This Row],[Volume]]/1000000)/Table13[[#This Row],[FLOAT(M)]]</f>
        <v>#DIV/0!</v>
      </c>
      <c r="AI159" s="18" t="e">
        <f>(Table13[[#This Row],[PM Hi]]-Table13[[#This Row],[MKT Open Price]])/(Table13[[#This Row],[PM Hi]])</f>
        <v>#DIV/0!</v>
      </c>
      <c r="AJ159" s="18" t="e">
        <f>IF(Table13[[#This Row],[PM LO]]&gt;Table13[[#This Row],[Prior day close]],(Table13[[#This Row],[PM Hi]]-Table13[[#This Row],[MKT Open Price]])/(Table13[[#This Row],[PM Hi]]-Table13[[#This Row],[Prior day close]]),(Table13[[#This Row],[PM Hi]]-Table13[[#This Row],[MKT Open Price]])/(Table13[[#This Row],[PM Hi]]-Table13[[#This Row],[PM LO]]))</f>
        <v>#DIV/0!</v>
      </c>
      <c r="AK159" s="48" t="e">
        <f>IF(Table13[[#This Row],[Prior day close]]&lt;Table13[[#This Row],[PM LO]],(I159-K159)/(I159-Table13[[#This Row],[Prior day close]]),(I159-K159)/(I159-Table13[[#This Row],[PM LO]]))</f>
        <v>#DIV/0!</v>
      </c>
      <c r="AL159" s="48">
        <f>Table13[[#This Row],[Spike % on open before drop]]+AM159</f>
        <v>0</v>
      </c>
      <c r="AM159" s="16"/>
      <c r="AN159" s="16"/>
      <c r="AO159" s="48" t="e">
        <f>IF(Table13[[#This Row],[Prior day close]]&lt;=Table13[[#This Row],[PM LO]],IF($J159&gt;=$F159,($J159-$K159)/($J159-Table13[[#This Row],[Prior day close]]),(IF($H159&lt;=$K159,($F159-$H159)/($F159-Table13[[#This Row],[Prior day close]]),(Table13[[#This Row],[PM Hi]]-Table13[[#This Row],[Lowest lo from open to squeeze]])/(Table13[[#This Row],[PM Hi]]-Table13[[#This Row],[Prior day close]])))),IF($J159&gt;=$F159,($J159-$K159)/($J159-Table13[[#This Row],[PM LO]]),(IF($H159&lt;=$K159,($F159-$H159)/($F159-Table13[[#This Row],[PM LO]]),(Table13[[#This Row],[PM Hi]]-Table13[[#This Row],[Lowest lo from open to squeeze]])/(Table13[[#This Row],[PM Hi]]-Table13[[#This Row],[PM LO]])))))</f>
        <v>#DIV/0!</v>
      </c>
      <c r="AP159" s="18"/>
      <c r="AQ159" s="17">
        <f>390+Table13[[#This Row],[Time until ideal entry point (mins) from open]]</f>
        <v>390</v>
      </c>
      <c r="AR159" s="17">
        <f>Table13[[#This Row],[Time until ideal entry + 390 (6:30)]]+Table13[[#This Row],[Duration of frontside (mins)]]</f>
        <v>390</v>
      </c>
    </row>
    <row r="160" spans="1:44" hidden="1" x14ac:dyDescent="0.25">
      <c r="A160" s="24" t="s">
        <v>191</v>
      </c>
      <c r="B160" s="47">
        <v>43991</v>
      </c>
      <c r="C160" s="47" t="s">
        <v>143</v>
      </c>
      <c r="D160" s="12"/>
      <c r="E160" s="13"/>
      <c r="F160" s="12"/>
      <c r="G160" s="12"/>
      <c r="H160" s="12"/>
      <c r="I160" s="12"/>
      <c r="J160" s="12"/>
      <c r="K160" s="12"/>
      <c r="N160" s="13"/>
      <c r="P160" s="37"/>
      <c r="Q160" s="46"/>
      <c r="R160" s="37"/>
      <c r="S160" s="37"/>
      <c r="T160" s="37"/>
      <c r="U160" s="37"/>
      <c r="V160" s="38"/>
      <c r="W160" s="46"/>
      <c r="X160" s="37"/>
      <c r="Y160" s="46"/>
      <c r="Z160" s="41">
        <f>Table13[[#This Row],[Time until ideal entry + 390 (6:30)]]/(1440)</f>
        <v>0.27083333333333331</v>
      </c>
      <c r="AA160" s="18"/>
      <c r="AB160" s="18" t="e">
        <f>IF(Table13[[#This Row],[HOD AFTER PM HI]]&gt;=Table13[[#This Row],[PM Hi]],((Table13[[#This Row],[HOD AFTER PM HI]]-Table13[[#This Row],[Prior day close]])/Table13[[#This Row],[Prior day close]]),Table13[[#This Row],[Prior Close to PM Hi %]])</f>
        <v>#DIV/0!</v>
      </c>
      <c r="AC160" s="42" t="e">
        <f>(Table13[[#This Row],[Price at hi of squeeze]]-Table13[[#This Row],[MKT Open Price]])/Table13[[#This Row],[MKT Open Price]]</f>
        <v>#DIV/0!</v>
      </c>
      <c r="AD160" s="18" t="e">
        <f>(Table13[[#This Row],[Price at hi of squeeze]]-Table13[[#This Row],[PM Hi]])/Table13[[#This Row],[PM Hi]]</f>
        <v>#DIV/0!</v>
      </c>
      <c r="AE160" s="18"/>
      <c r="AF160" s="20" t="e">
        <f>Table13[[#This Row],[PM VOL]]/1000000/Table13[[#This Row],[FLOAT(M)]]</f>
        <v>#DIV/0!</v>
      </c>
      <c r="AG160" s="23" t="e">
        <f>(Table13[[#This Row],[Volume]]/1000000)/Table13[[#This Row],[FLOAT(M)]]</f>
        <v>#DIV/0!</v>
      </c>
      <c r="AI160" s="18" t="e">
        <f>(Table13[[#This Row],[PM Hi]]-Table13[[#This Row],[MKT Open Price]])/(Table13[[#This Row],[PM Hi]])</f>
        <v>#DIV/0!</v>
      </c>
      <c r="AJ160" s="18" t="e">
        <f>IF(Table13[[#This Row],[PM LO]]&gt;Table13[[#This Row],[Prior day close]],(Table13[[#This Row],[PM Hi]]-Table13[[#This Row],[MKT Open Price]])/(Table13[[#This Row],[PM Hi]]-Table13[[#This Row],[Prior day close]]),(Table13[[#This Row],[PM Hi]]-Table13[[#This Row],[MKT Open Price]])/(Table13[[#This Row],[PM Hi]]-Table13[[#This Row],[PM LO]]))</f>
        <v>#DIV/0!</v>
      </c>
      <c r="AK160" s="48" t="e">
        <f>IF(Table13[[#This Row],[Prior day close]]&lt;Table13[[#This Row],[PM LO]],(I160-K160)/(I160-Table13[[#This Row],[Prior day close]]),(I160-K160)/(I160-Table13[[#This Row],[PM LO]]))</f>
        <v>#DIV/0!</v>
      </c>
      <c r="AL160" s="48">
        <f>Table13[[#This Row],[Spike % on open before drop]]+AM160</f>
        <v>0</v>
      </c>
      <c r="AM160" s="16"/>
      <c r="AN160" s="16"/>
      <c r="AO160" s="48" t="e">
        <f>IF(Table13[[#This Row],[Prior day close]]&lt;=Table13[[#This Row],[PM LO]],IF($J160&gt;=$F160,($J160-$K160)/($J160-Table13[[#This Row],[Prior day close]]),(IF($H160&lt;=$K160,($F160-$H160)/($F160-Table13[[#This Row],[Prior day close]]),(Table13[[#This Row],[PM Hi]]-Table13[[#This Row],[Lowest lo from open to squeeze]])/(Table13[[#This Row],[PM Hi]]-Table13[[#This Row],[Prior day close]])))),IF($J160&gt;=$F160,($J160-$K160)/($J160-Table13[[#This Row],[PM LO]]),(IF($H160&lt;=$K160,($F160-$H160)/($F160-Table13[[#This Row],[PM LO]]),(Table13[[#This Row],[PM Hi]]-Table13[[#This Row],[Lowest lo from open to squeeze]])/(Table13[[#This Row],[PM Hi]]-Table13[[#This Row],[PM LO]])))))</f>
        <v>#DIV/0!</v>
      </c>
      <c r="AP160" s="18"/>
      <c r="AQ160" s="17">
        <f>390+Table13[[#This Row],[Time until ideal entry point (mins) from open]]</f>
        <v>390</v>
      </c>
      <c r="AR160" s="17">
        <f>Table13[[#This Row],[Time until ideal entry + 390 (6:30)]]+Table13[[#This Row],[Duration of frontside (mins)]]</f>
        <v>390</v>
      </c>
    </row>
    <row r="161" spans="1:44" hidden="1" x14ac:dyDescent="0.25">
      <c r="A161" s="24" t="s">
        <v>192</v>
      </c>
      <c r="B161" s="47">
        <v>43992</v>
      </c>
      <c r="C161" s="47" t="s">
        <v>143</v>
      </c>
      <c r="D161" s="12"/>
      <c r="E161" s="13"/>
      <c r="F161" s="12"/>
      <c r="G161" s="12"/>
      <c r="H161" s="12"/>
      <c r="I161" s="12"/>
      <c r="J161" s="12"/>
      <c r="K161" s="12"/>
      <c r="N161" s="13"/>
      <c r="P161" s="37"/>
      <c r="Q161" s="46"/>
      <c r="R161" s="37"/>
      <c r="S161" s="37"/>
      <c r="T161" s="37"/>
      <c r="U161" s="37"/>
      <c r="V161" s="38"/>
      <c r="W161" s="46"/>
      <c r="X161" s="37"/>
      <c r="Y161" s="46"/>
      <c r="Z161" s="41">
        <f>Table13[[#This Row],[Time until ideal entry + 390 (6:30)]]/(1440)</f>
        <v>0.27083333333333331</v>
      </c>
      <c r="AA161" s="18"/>
      <c r="AB161" s="18" t="e">
        <f>IF(Table13[[#This Row],[HOD AFTER PM HI]]&gt;=Table13[[#This Row],[PM Hi]],((Table13[[#This Row],[HOD AFTER PM HI]]-Table13[[#This Row],[Prior day close]])/Table13[[#This Row],[Prior day close]]),Table13[[#This Row],[Prior Close to PM Hi %]])</f>
        <v>#DIV/0!</v>
      </c>
      <c r="AC161" s="42" t="e">
        <f>(Table13[[#This Row],[Price at hi of squeeze]]-Table13[[#This Row],[MKT Open Price]])/Table13[[#This Row],[MKT Open Price]]</f>
        <v>#DIV/0!</v>
      </c>
      <c r="AD161" s="18" t="e">
        <f>(Table13[[#This Row],[Price at hi of squeeze]]-Table13[[#This Row],[PM Hi]])/Table13[[#This Row],[PM Hi]]</f>
        <v>#DIV/0!</v>
      </c>
      <c r="AE161" s="18"/>
      <c r="AF161" s="20" t="e">
        <f>Table13[[#This Row],[PM VOL]]/1000000/Table13[[#This Row],[FLOAT(M)]]</f>
        <v>#DIV/0!</v>
      </c>
      <c r="AG161" s="23" t="e">
        <f>(Table13[[#This Row],[Volume]]/1000000)/Table13[[#This Row],[FLOAT(M)]]</f>
        <v>#DIV/0!</v>
      </c>
      <c r="AI161" s="18" t="e">
        <f>(Table13[[#This Row],[PM Hi]]-Table13[[#This Row],[MKT Open Price]])/(Table13[[#This Row],[PM Hi]])</f>
        <v>#DIV/0!</v>
      </c>
      <c r="AJ161" s="18" t="e">
        <f>IF(Table13[[#This Row],[PM LO]]&gt;Table13[[#This Row],[Prior day close]],(Table13[[#This Row],[PM Hi]]-Table13[[#This Row],[MKT Open Price]])/(Table13[[#This Row],[PM Hi]]-Table13[[#This Row],[Prior day close]]),(Table13[[#This Row],[PM Hi]]-Table13[[#This Row],[MKT Open Price]])/(Table13[[#This Row],[PM Hi]]-Table13[[#This Row],[PM LO]]))</f>
        <v>#DIV/0!</v>
      </c>
      <c r="AK161" s="48" t="e">
        <f>IF(Table13[[#This Row],[Prior day close]]&lt;Table13[[#This Row],[PM LO]],(I161-K161)/(I161-Table13[[#This Row],[Prior day close]]),(I161-K161)/(I161-Table13[[#This Row],[PM LO]]))</f>
        <v>#DIV/0!</v>
      </c>
      <c r="AL161" s="48">
        <f>Table13[[#This Row],[Spike % on open before drop]]+AM161</f>
        <v>0</v>
      </c>
      <c r="AM161" s="16"/>
      <c r="AN161" s="16"/>
      <c r="AO161" s="48" t="e">
        <f>IF(Table13[[#This Row],[Prior day close]]&lt;=Table13[[#This Row],[PM LO]],IF($J161&gt;=$F161,($J161-$K161)/($J161-Table13[[#This Row],[Prior day close]]),(IF($H161&lt;=$K161,($F161-$H161)/($F161-Table13[[#This Row],[Prior day close]]),(Table13[[#This Row],[PM Hi]]-Table13[[#This Row],[Lowest lo from open to squeeze]])/(Table13[[#This Row],[PM Hi]]-Table13[[#This Row],[Prior day close]])))),IF($J161&gt;=$F161,($J161-$K161)/($J161-Table13[[#This Row],[PM LO]]),(IF($H161&lt;=$K161,($F161-$H161)/($F161-Table13[[#This Row],[PM LO]]),(Table13[[#This Row],[PM Hi]]-Table13[[#This Row],[Lowest lo from open to squeeze]])/(Table13[[#This Row],[PM Hi]]-Table13[[#This Row],[PM LO]])))))</f>
        <v>#DIV/0!</v>
      </c>
      <c r="AP161" s="18"/>
      <c r="AQ161" s="17">
        <f>390+Table13[[#This Row],[Time until ideal entry point (mins) from open]]</f>
        <v>390</v>
      </c>
      <c r="AR161" s="17">
        <f>Table13[[#This Row],[Time until ideal entry + 390 (6:30)]]+Table13[[#This Row],[Duration of frontside (mins)]]</f>
        <v>390</v>
      </c>
    </row>
    <row r="162" spans="1:44" hidden="1" x14ac:dyDescent="0.25">
      <c r="A162" s="24" t="s">
        <v>193</v>
      </c>
      <c r="B162" s="47">
        <v>43998</v>
      </c>
      <c r="C162" s="47" t="s">
        <v>143</v>
      </c>
      <c r="D162" s="12"/>
      <c r="E162" s="13"/>
      <c r="F162" s="12"/>
      <c r="G162" s="12"/>
      <c r="H162" s="12"/>
      <c r="I162" s="12"/>
      <c r="J162" s="12"/>
      <c r="K162" s="12"/>
      <c r="N162" s="13"/>
      <c r="P162" s="37"/>
      <c r="Q162" s="46"/>
      <c r="R162" s="37"/>
      <c r="S162" s="37"/>
      <c r="T162" s="37"/>
      <c r="U162" s="37"/>
      <c r="V162" s="38"/>
      <c r="W162" s="46"/>
      <c r="X162" s="37"/>
      <c r="Y162" s="46"/>
      <c r="Z162" s="41">
        <f>Table13[[#This Row],[Time until ideal entry + 390 (6:30)]]/(1440)</f>
        <v>0.27083333333333331</v>
      </c>
      <c r="AA162" s="18"/>
      <c r="AB162" s="18" t="e">
        <f>IF(Table13[[#This Row],[HOD AFTER PM HI]]&gt;=Table13[[#This Row],[PM Hi]],((Table13[[#This Row],[HOD AFTER PM HI]]-Table13[[#This Row],[Prior day close]])/Table13[[#This Row],[Prior day close]]),Table13[[#This Row],[Prior Close to PM Hi %]])</f>
        <v>#DIV/0!</v>
      </c>
      <c r="AC162" s="42" t="e">
        <f>(Table13[[#This Row],[Price at hi of squeeze]]-Table13[[#This Row],[MKT Open Price]])/Table13[[#This Row],[MKT Open Price]]</f>
        <v>#DIV/0!</v>
      </c>
      <c r="AD162" s="18" t="e">
        <f>(Table13[[#This Row],[Price at hi of squeeze]]-Table13[[#This Row],[PM Hi]])/Table13[[#This Row],[PM Hi]]</f>
        <v>#DIV/0!</v>
      </c>
      <c r="AE162" s="18"/>
      <c r="AF162" s="20" t="e">
        <f>Table13[[#This Row],[PM VOL]]/1000000/Table13[[#This Row],[FLOAT(M)]]</f>
        <v>#DIV/0!</v>
      </c>
      <c r="AG162" s="23" t="e">
        <f>(Table13[[#This Row],[Volume]]/1000000)/Table13[[#This Row],[FLOAT(M)]]</f>
        <v>#DIV/0!</v>
      </c>
      <c r="AI162" s="18" t="e">
        <f>(Table13[[#This Row],[PM Hi]]-Table13[[#This Row],[MKT Open Price]])/(Table13[[#This Row],[PM Hi]])</f>
        <v>#DIV/0!</v>
      </c>
      <c r="AJ162" s="18" t="e">
        <f>IF(Table13[[#This Row],[PM LO]]&gt;Table13[[#This Row],[Prior day close]],(Table13[[#This Row],[PM Hi]]-Table13[[#This Row],[MKT Open Price]])/(Table13[[#This Row],[PM Hi]]-Table13[[#This Row],[Prior day close]]),(Table13[[#This Row],[PM Hi]]-Table13[[#This Row],[MKT Open Price]])/(Table13[[#This Row],[PM Hi]]-Table13[[#This Row],[PM LO]]))</f>
        <v>#DIV/0!</v>
      </c>
      <c r="AK162" s="48" t="e">
        <f>IF(Table13[[#This Row],[Prior day close]]&lt;Table13[[#This Row],[PM LO]],(I162-K162)/(I162-Table13[[#This Row],[Prior day close]]),(I162-K162)/(I162-Table13[[#This Row],[PM LO]]))</f>
        <v>#DIV/0!</v>
      </c>
      <c r="AL162" s="48">
        <f>Table13[[#This Row],[Spike % on open before drop]]+AM162</f>
        <v>0</v>
      </c>
      <c r="AM162" s="16"/>
      <c r="AN162" s="16"/>
      <c r="AO162" s="48" t="e">
        <f>IF(Table13[[#This Row],[Prior day close]]&lt;=Table13[[#This Row],[PM LO]],IF($J162&gt;=$F162,($J162-$K162)/($J162-Table13[[#This Row],[Prior day close]]),(IF($H162&lt;=$K162,($F162-$H162)/($F162-Table13[[#This Row],[Prior day close]]),(Table13[[#This Row],[PM Hi]]-Table13[[#This Row],[Lowest lo from open to squeeze]])/(Table13[[#This Row],[PM Hi]]-Table13[[#This Row],[Prior day close]])))),IF($J162&gt;=$F162,($J162-$K162)/($J162-Table13[[#This Row],[PM LO]]),(IF($H162&lt;=$K162,($F162-$H162)/($F162-Table13[[#This Row],[PM LO]]),(Table13[[#This Row],[PM Hi]]-Table13[[#This Row],[Lowest lo from open to squeeze]])/(Table13[[#This Row],[PM Hi]]-Table13[[#This Row],[PM LO]])))))</f>
        <v>#DIV/0!</v>
      </c>
      <c r="AP162" s="18"/>
      <c r="AQ162" s="17">
        <f>390+Table13[[#This Row],[Time until ideal entry point (mins) from open]]</f>
        <v>390</v>
      </c>
      <c r="AR162" s="17">
        <f>Table13[[#This Row],[Time until ideal entry + 390 (6:30)]]+Table13[[#This Row],[Duration of frontside (mins)]]</f>
        <v>390</v>
      </c>
    </row>
    <row r="163" spans="1:44" hidden="1" x14ac:dyDescent="0.25">
      <c r="A163" s="24" t="s">
        <v>194</v>
      </c>
      <c r="B163" s="47">
        <v>43999</v>
      </c>
      <c r="C163" s="47" t="s">
        <v>143</v>
      </c>
      <c r="D163" s="12"/>
      <c r="E163" s="13"/>
      <c r="F163" s="12"/>
      <c r="G163" s="12"/>
      <c r="H163" s="12"/>
      <c r="I163" s="12"/>
      <c r="J163" s="12"/>
      <c r="K163" s="12"/>
      <c r="N163" s="13"/>
      <c r="P163" s="37"/>
      <c r="Q163" s="46"/>
      <c r="R163" s="37"/>
      <c r="S163" s="37"/>
      <c r="T163" s="37"/>
      <c r="U163" s="37"/>
      <c r="V163" s="38"/>
      <c r="W163" s="46"/>
      <c r="X163" s="37"/>
      <c r="Y163" s="46"/>
      <c r="Z163" s="41">
        <f>Table13[[#This Row],[Time until ideal entry + 390 (6:30)]]/(1440)</f>
        <v>0.27083333333333331</v>
      </c>
      <c r="AA163" s="18"/>
      <c r="AB163" s="18" t="e">
        <f>IF(Table13[[#This Row],[HOD AFTER PM HI]]&gt;=Table13[[#This Row],[PM Hi]],((Table13[[#This Row],[HOD AFTER PM HI]]-Table13[[#This Row],[Prior day close]])/Table13[[#This Row],[Prior day close]]),Table13[[#This Row],[Prior Close to PM Hi %]])</f>
        <v>#DIV/0!</v>
      </c>
      <c r="AC163" s="42" t="e">
        <f>(Table13[[#This Row],[Price at hi of squeeze]]-Table13[[#This Row],[MKT Open Price]])/Table13[[#This Row],[MKT Open Price]]</f>
        <v>#DIV/0!</v>
      </c>
      <c r="AD163" s="18" t="e">
        <f>(Table13[[#This Row],[Price at hi of squeeze]]-Table13[[#This Row],[PM Hi]])/Table13[[#This Row],[PM Hi]]</f>
        <v>#DIV/0!</v>
      </c>
      <c r="AE163" s="18"/>
      <c r="AF163" s="20" t="e">
        <f>Table13[[#This Row],[PM VOL]]/1000000/Table13[[#This Row],[FLOAT(M)]]</f>
        <v>#DIV/0!</v>
      </c>
      <c r="AG163" s="23" t="e">
        <f>(Table13[[#This Row],[Volume]]/1000000)/Table13[[#This Row],[FLOAT(M)]]</f>
        <v>#DIV/0!</v>
      </c>
      <c r="AI163" s="18" t="e">
        <f>(Table13[[#This Row],[PM Hi]]-Table13[[#This Row],[MKT Open Price]])/(Table13[[#This Row],[PM Hi]])</f>
        <v>#DIV/0!</v>
      </c>
      <c r="AJ163" s="18" t="e">
        <f>IF(Table13[[#This Row],[PM LO]]&gt;Table13[[#This Row],[Prior day close]],(Table13[[#This Row],[PM Hi]]-Table13[[#This Row],[MKT Open Price]])/(Table13[[#This Row],[PM Hi]]-Table13[[#This Row],[Prior day close]]),(Table13[[#This Row],[PM Hi]]-Table13[[#This Row],[MKT Open Price]])/(Table13[[#This Row],[PM Hi]]-Table13[[#This Row],[PM LO]]))</f>
        <v>#DIV/0!</v>
      </c>
      <c r="AK163" s="48" t="e">
        <f>IF(Table13[[#This Row],[Prior day close]]&lt;Table13[[#This Row],[PM LO]],(I163-K163)/(I163-Table13[[#This Row],[Prior day close]]),(I163-K163)/(I163-Table13[[#This Row],[PM LO]]))</f>
        <v>#DIV/0!</v>
      </c>
      <c r="AL163" s="48">
        <f>Table13[[#This Row],[Spike % on open before drop]]+AM163</f>
        <v>0</v>
      </c>
      <c r="AM163" s="16"/>
      <c r="AN163" s="16"/>
      <c r="AO163" s="48" t="e">
        <f>IF(Table13[[#This Row],[Prior day close]]&lt;=Table13[[#This Row],[PM LO]],IF($J163&gt;=$F163,($J163-$K163)/($J163-Table13[[#This Row],[Prior day close]]),(IF($H163&lt;=$K163,($F163-$H163)/($F163-Table13[[#This Row],[Prior day close]]),(Table13[[#This Row],[PM Hi]]-Table13[[#This Row],[Lowest lo from open to squeeze]])/(Table13[[#This Row],[PM Hi]]-Table13[[#This Row],[Prior day close]])))),IF($J163&gt;=$F163,($J163-$K163)/($J163-Table13[[#This Row],[PM LO]]),(IF($H163&lt;=$K163,($F163-$H163)/($F163-Table13[[#This Row],[PM LO]]),(Table13[[#This Row],[PM Hi]]-Table13[[#This Row],[Lowest lo from open to squeeze]])/(Table13[[#This Row],[PM Hi]]-Table13[[#This Row],[PM LO]])))))</f>
        <v>#DIV/0!</v>
      </c>
      <c r="AP163" s="18"/>
      <c r="AQ163" s="17">
        <f>390+Table13[[#This Row],[Time until ideal entry point (mins) from open]]</f>
        <v>390</v>
      </c>
      <c r="AR163" s="17">
        <f>Table13[[#This Row],[Time until ideal entry + 390 (6:30)]]+Table13[[#This Row],[Duration of frontside (mins)]]</f>
        <v>390</v>
      </c>
    </row>
    <row r="164" spans="1:44" hidden="1" x14ac:dyDescent="0.25">
      <c r="A164" s="24" t="s">
        <v>195</v>
      </c>
      <c r="B164" s="47">
        <v>43999</v>
      </c>
      <c r="C164" s="47" t="s">
        <v>71</v>
      </c>
      <c r="D164" s="12"/>
      <c r="E164" s="13"/>
      <c r="F164" s="12"/>
      <c r="G164" s="12"/>
      <c r="H164" s="12"/>
      <c r="I164" s="12"/>
      <c r="J164" s="12"/>
      <c r="K164" s="12"/>
      <c r="N164" s="13"/>
      <c r="P164" s="37"/>
      <c r="Q164" s="46"/>
      <c r="R164" s="37"/>
      <c r="S164" s="37"/>
      <c r="T164" s="37"/>
      <c r="U164" s="37"/>
      <c r="V164" s="38"/>
      <c r="W164" s="46"/>
      <c r="X164" s="37"/>
      <c r="Y164" s="46"/>
      <c r="Z164" s="41">
        <f>Table13[[#This Row],[Time until ideal entry + 390 (6:30)]]/(1440)</f>
        <v>0.27083333333333331</v>
      </c>
      <c r="AA164" s="18"/>
      <c r="AB164" s="18" t="e">
        <f>IF(Table13[[#This Row],[HOD AFTER PM HI]]&gt;=Table13[[#This Row],[PM Hi]],((Table13[[#This Row],[HOD AFTER PM HI]]-Table13[[#This Row],[Prior day close]])/Table13[[#This Row],[Prior day close]]),Table13[[#This Row],[Prior Close to PM Hi %]])</f>
        <v>#DIV/0!</v>
      </c>
      <c r="AC164" s="42" t="e">
        <f>(Table13[[#This Row],[Price at hi of squeeze]]-Table13[[#This Row],[MKT Open Price]])/Table13[[#This Row],[MKT Open Price]]</f>
        <v>#DIV/0!</v>
      </c>
      <c r="AD164" s="18" t="e">
        <f>(Table13[[#This Row],[Price at hi of squeeze]]-Table13[[#This Row],[PM Hi]])/Table13[[#This Row],[PM Hi]]</f>
        <v>#DIV/0!</v>
      </c>
      <c r="AE164" s="18"/>
      <c r="AF164" s="20" t="e">
        <f>Table13[[#This Row],[PM VOL]]/1000000/Table13[[#This Row],[FLOAT(M)]]</f>
        <v>#DIV/0!</v>
      </c>
      <c r="AG164" s="23" t="e">
        <f>(Table13[[#This Row],[Volume]]/1000000)/Table13[[#This Row],[FLOAT(M)]]</f>
        <v>#DIV/0!</v>
      </c>
      <c r="AI164" s="18" t="e">
        <f>(Table13[[#This Row],[PM Hi]]-Table13[[#This Row],[MKT Open Price]])/(Table13[[#This Row],[PM Hi]])</f>
        <v>#DIV/0!</v>
      </c>
      <c r="AJ164" s="18" t="e">
        <f>IF(Table13[[#This Row],[PM LO]]&gt;Table13[[#This Row],[Prior day close]],(Table13[[#This Row],[PM Hi]]-Table13[[#This Row],[MKT Open Price]])/(Table13[[#This Row],[PM Hi]]-Table13[[#This Row],[Prior day close]]),(Table13[[#This Row],[PM Hi]]-Table13[[#This Row],[MKT Open Price]])/(Table13[[#This Row],[PM Hi]]-Table13[[#This Row],[PM LO]]))</f>
        <v>#DIV/0!</v>
      </c>
      <c r="AK164" s="48" t="e">
        <f>IF(Table13[[#This Row],[Prior day close]]&lt;Table13[[#This Row],[PM LO]],(I164-K164)/(I164-Table13[[#This Row],[Prior day close]]),(I164-K164)/(I164-Table13[[#This Row],[PM LO]]))</f>
        <v>#DIV/0!</v>
      </c>
      <c r="AL164" s="48">
        <f>Table13[[#This Row],[Spike % on open before drop]]+AM164</f>
        <v>0</v>
      </c>
      <c r="AM164" s="16"/>
      <c r="AN164" s="16"/>
      <c r="AO164" s="48" t="e">
        <f>IF(Table13[[#This Row],[Prior day close]]&lt;=Table13[[#This Row],[PM LO]],IF($J164&gt;=$F164,($J164-$K164)/($J164-Table13[[#This Row],[Prior day close]]),(IF($H164&lt;=$K164,($F164-$H164)/($F164-Table13[[#This Row],[Prior day close]]),(Table13[[#This Row],[PM Hi]]-Table13[[#This Row],[Lowest lo from open to squeeze]])/(Table13[[#This Row],[PM Hi]]-Table13[[#This Row],[Prior day close]])))),IF($J164&gt;=$F164,($J164-$K164)/($J164-Table13[[#This Row],[PM LO]]),(IF($H164&lt;=$K164,($F164-$H164)/($F164-Table13[[#This Row],[PM LO]]),(Table13[[#This Row],[PM Hi]]-Table13[[#This Row],[Lowest lo from open to squeeze]])/(Table13[[#This Row],[PM Hi]]-Table13[[#This Row],[PM LO]])))))</f>
        <v>#DIV/0!</v>
      </c>
      <c r="AP164" s="18"/>
      <c r="AQ164" s="17">
        <f>390+Table13[[#This Row],[Time until ideal entry point (mins) from open]]</f>
        <v>390</v>
      </c>
      <c r="AR164" s="17">
        <f>Table13[[#This Row],[Time until ideal entry + 390 (6:30)]]+Table13[[#This Row],[Duration of frontside (mins)]]</f>
        <v>390</v>
      </c>
    </row>
    <row r="165" spans="1:44" hidden="1" x14ac:dyDescent="0.25">
      <c r="A165" s="24" t="s">
        <v>196</v>
      </c>
      <c r="B165" s="47">
        <v>43999</v>
      </c>
      <c r="C165" s="47" t="s">
        <v>71</v>
      </c>
      <c r="D165" s="12"/>
      <c r="E165" s="13"/>
      <c r="F165" s="12"/>
      <c r="G165" s="12"/>
      <c r="H165" s="12"/>
      <c r="I165" s="12"/>
      <c r="J165" s="12"/>
      <c r="K165" s="12"/>
      <c r="N165" s="13"/>
      <c r="P165" s="37"/>
      <c r="Q165" s="46"/>
      <c r="R165" s="37"/>
      <c r="S165" s="37"/>
      <c r="T165" s="37"/>
      <c r="U165" s="37"/>
      <c r="V165" s="38"/>
      <c r="W165" s="46"/>
      <c r="X165" s="37"/>
      <c r="Y165" s="46"/>
      <c r="Z165" s="41">
        <f>Table13[[#This Row],[Time until ideal entry + 390 (6:30)]]/(1440)</f>
        <v>0.27083333333333331</v>
      </c>
      <c r="AA165" s="18"/>
      <c r="AB165" s="18" t="e">
        <f>IF(Table13[[#This Row],[HOD AFTER PM HI]]&gt;=Table13[[#This Row],[PM Hi]],((Table13[[#This Row],[HOD AFTER PM HI]]-Table13[[#This Row],[Prior day close]])/Table13[[#This Row],[Prior day close]]),Table13[[#This Row],[Prior Close to PM Hi %]])</f>
        <v>#DIV/0!</v>
      </c>
      <c r="AC165" s="42" t="e">
        <f>(Table13[[#This Row],[Price at hi of squeeze]]-Table13[[#This Row],[MKT Open Price]])/Table13[[#This Row],[MKT Open Price]]</f>
        <v>#DIV/0!</v>
      </c>
      <c r="AD165" s="18" t="e">
        <f>(Table13[[#This Row],[Price at hi of squeeze]]-Table13[[#This Row],[PM Hi]])/Table13[[#This Row],[PM Hi]]</f>
        <v>#DIV/0!</v>
      </c>
      <c r="AE165" s="18"/>
      <c r="AF165" s="20" t="e">
        <f>Table13[[#This Row],[PM VOL]]/1000000/Table13[[#This Row],[FLOAT(M)]]</f>
        <v>#DIV/0!</v>
      </c>
      <c r="AG165" s="23" t="e">
        <f>(Table13[[#This Row],[Volume]]/1000000)/Table13[[#This Row],[FLOAT(M)]]</f>
        <v>#DIV/0!</v>
      </c>
      <c r="AI165" s="18" t="e">
        <f>(Table13[[#This Row],[PM Hi]]-Table13[[#This Row],[MKT Open Price]])/(Table13[[#This Row],[PM Hi]])</f>
        <v>#DIV/0!</v>
      </c>
      <c r="AJ165" s="18" t="e">
        <f>IF(Table13[[#This Row],[PM LO]]&gt;Table13[[#This Row],[Prior day close]],(Table13[[#This Row],[PM Hi]]-Table13[[#This Row],[MKT Open Price]])/(Table13[[#This Row],[PM Hi]]-Table13[[#This Row],[Prior day close]]),(Table13[[#This Row],[PM Hi]]-Table13[[#This Row],[MKT Open Price]])/(Table13[[#This Row],[PM Hi]]-Table13[[#This Row],[PM LO]]))</f>
        <v>#DIV/0!</v>
      </c>
      <c r="AK165" s="48" t="e">
        <f>IF(Table13[[#This Row],[Prior day close]]&lt;Table13[[#This Row],[PM LO]],(I165-K165)/(I165-Table13[[#This Row],[Prior day close]]),(I165-K165)/(I165-Table13[[#This Row],[PM LO]]))</f>
        <v>#DIV/0!</v>
      </c>
      <c r="AL165" s="48">
        <f>Table13[[#This Row],[Spike % on open before drop]]+AM165</f>
        <v>0</v>
      </c>
      <c r="AM165" s="16"/>
      <c r="AN165" s="16"/>
      <c r="AO165" s="48" t="e">
        <f>IF(Table13[[#This Row],[Prior day close]]&lt;=Table13[[#This Row],[PM LO]],IF($J165&gt;=$F165,($J165-$K165)/($J165-Table13[[#This Row],[Prior day close]]),(IF($H165&lt;=$K165,($F165-$H165)/($F165-Table13[[#This Row],[Prior day close]]),(Table13[[#This Row],[PM Hi]]-Table13[[#This Row],[Lowest lo from open to squeeze]])/(Table13[[#This Row],[PM Hi]]-Table13[[#This Row],[Prior day close]])))),IF($J165&gt;=$F165,($J165-$K165)/($J165-Table13[[#This Row],[PM LO]]),(IF($H165&lt;=$K165,($F165-$H165)/($F165-Table13[[#This Row],[PM LO]]),(Table13[[#This Row],[PM Hi]]-Table13[[#This Row],[Lowest lo from open to squeeze]])/(Table13[[#This Row],[PM Hi]]-Table13[[#This Row],[PM LO]])))))</f>
        <v>#DIV/0!</v>
      </c>
      <c r="AP165" s="18"/>
      <c r="AQ165" s="17">
        <f>390+Table13[[#This Row],[Time until ideal entry point (mins) from open]]</f>
        <v>390</v>
      </c>
      <c r="AR165" s="17">
        <f>Table13[[#This Row],[Time until ideal entry + 390 (6:30)]]+Table13[[#This Row],[Duration of frontside (mins)]]</f>
        <v>390</v>
      </c>
    </row>
    <row r="166" spans="1:44" hidden="1" x14ac:dyDescent="0.25">
      <c r="A166" s="24" t="s">
        <v>197</v>
      </c>
      <c r="B166" s="47">
        <v>43999</v>
      </c>
      <c r="C166" s="47" t="s">
        <v>143</v>
      </c>
      <c r="D166" s="12"/>
      <c r="E166" s="13"/>
      <c r="F166" s="12"/>
      <c r="G166" s="12"/>
      <c r="H166" s="12"/>
      <c r="I166" s="12"/>
      <c r="J166" s="12"/>
      <c r="K166" s="12"/>
      <c r="N166" s="13"/>
      <c r="P166" s="37"/>
      <c r="Q166" s="46"/>
      <c r="R166" s="37"/>
      <c r="S166" s="37"/>
      <c r="T166" s="37"/>
      <c r="U166" s="37"/>
      <c r="V166" s="38"/>
      <c r="W166" s="46"/>
      <c r="X166" s="37"/>
      <c r="Y166" s="46"/>
      <c r="Z166" s="41">
        <f>Table13[[#This Row],[Time until ideal entry + 390 (6:30)]]/(1440)</f>
        <v>0.27083333333333331</v>
      </c>
      <c r="AA166" s="18"/>
      <c r="AB166" s="18" t="e">
        <f>IF(Table13[[#This Row],[HOD AFTER PM HI]]&gt;=Table13[[#This Row],[PM Hi]],((Table13[[#This Row],[HOD AFTER PM HI]]-Table13[[#This Row],[Prior day close]])/Table13[[#This Row],[Prior day close]]),Table13[[#This Row],[Prior Close to PM Hi %]])</f>
        <v>#DIV/0!</v>
      </c>
      <c r="AC166" s="42" t="e">
        <f>(Table13[[#This Row],[Price at hi of squeeze]]-Table13[[#This Row],[MKT Open Price]])/Table13[[#This Row],[MKT Open Price]]</f>
        <v>#DIV/0!</v>
      </c>
      <c r="AD166" s="18" t="e">
        <f>(Table13[[#This Row],[Price at hi of squeeze]]-Table13[[#This Row],[PM Hi]])/Table13[[#This Row],[PM Hi]]</f>
        <v>#DIV/0!</v>
      </c>
      <c r="AE166" s="18"/>
      <c r="AF166" s="20" t="e">
        <f>Table13[[#This Row],[PM VOL]]/1000000/Table13[[#This Row],[FLOAT(M)]]</f>
        <v>#DIV/0!</v>
      </c>
      <c r="AG166" s="23" t="e">
        <f>(Table13[[#This Row],[Volume]]/1000000)/Table13[[#This Row],[FLOAT(M)]]</f>
        <v>#DIV/0!</v>
      </c>
      <c r="AI166" s="18" t="e">
        <f>(Table13[[#This Row],[PM Hi]]-Table13[[#This Row],[MKT Open Price]])/(Table13[[#This Row],[PM Hi]])</f>
        <v>#DIV/0!</v>
      </c>
      <c r="AJ166" s="18" t="e">
        <f>IF(Table13[[#This Row],[PM LO]]&gt;Table13[[#This Row],[Prior day close]],(Table13[[#This Row],[PM Hi]]-Table13[[#This Row],[MKT Open Price]])/(Table13[[#This Row],[PM Hi]]-Table13[[#This Row],[Prior day close]]),(Table13[[#This Row],[PM Hi]]-Table13[[#This Row],[MKT Open Price]])/(Table13[[#This Row],[PM Hi]]-Table13[[#This Row],[PM LO]]))</f>
        <v>#DIV/0!</v>
      </c>
      <c r="AK166" s="48" t="e">
        <f>IF(Table13[[#This Row],[Prior day close]]&lt;Table13[[#This Row],[PM LO]],(I166-K166)/(I166-Table13[[#This Row],[Prior day close]]),(I166-K166)/(I166-Table13[[#This Row],[PM LO]]))</f>
        <v>#DIV/0!</v>
      </c>
      <c r="AL166" s="48">
        <f>Table13[[#This Row],[Spike % on open before drop]]+AM166</f>
        <v>0</v>
      </c>
      <c r="AM166" s="16"/>
      <c r="AN166" s="16"/>
      <c r="AO166" s="48" t="e">
        <f>IF(Table13[[#This Row],[Prior day close]]&lt;=Table13[[#This Row],[PM LO]],IF($J166&gt;=$F166,($J166-$K166)/($J166-Table13[[#This Row],[Prior day close]]),(IF($H166&lt;=$K166,($F166-$H166)/($F166-Table13[[#This Row],[Prior day close]]),(Table13[[#This Row],[PM Hi]]-Table13[[#This Row],[Lowest lo from open to squeeze]])/(Table13[[#This Row],[PM Hi]]-Table13[[#This Row],[Prior day close]])))),IF($J166&gt;=$F166,($J166-$K166)/($J166-Table13[[#This Row],[PM LO]]),(IF($H166&lt;=$K166,($F166-$H166)/($F166-Table13[[#This Row],[PM LO]]),(Table13[[#This Row],[PM Hi]]-Table13[[#This Row],[Lowest lo from open to squeeze]])/(Table13[[#This Row],[PM Hi]]-Table13[[#This Row],[PM LO]])))))</f>
        <v>#DIV/0!</v>
      </c>
      <c r="AP166" s="18"/>
      <c r="AQ166" s="17">
        <f>390+Table13[[#This Row],[Time until ideal entry point (mins) from open]]</f>
        <v>390</v>
      </c>
      <c r="AR166" s="17">
        <f>Table13[[#This Row],[Time until ideal entry + 390 (6:30)]]+Table13[[#This Row],[Duration of frontside (mins)]]</f>
        <v>390</v>
      </c>
    </row>
    <row r="167" spans="1:44" hidden="1" x14ac:dyDescent="0.25">
      <c r="A167" s="24" t="s">
        <v>198</v>
      </c>
      <c r="B167" s="47">
        <v>44004</v>
      </c>
      <c r="C167" s="47" t="s">
        <v>143</v>
      </c>
      <c r="D167" s="12"/>
      <c r="E167" s="13"/>
      <c r="F167" s="12"/>
      <c r="G167" s="12"/>
      <c r="H167" s="12"/>
      <c r="I167" s="12"/>
      <c r="J167" s="12"/>
      <c r="K167" s="12"/>
      <c r="N167" s="13"/>
      <c r="P167" s="37"/>
      <c r="Q167" s="46"/>
      <c r="R167" s="37"/>
      <c r="S167" s="37"/>
      <c r="T167" s="37"/>
      <c r="U167" s="37"/>
      <c r="V167" s="38"/>
      <c r="W167" s="46"/>
      <c r="X167" s="37"/>
      <c r="Y167" s="46"/>
      <c r="Z167" s="41">
        <f>Table13[[#This Row],[Time until ideal entry + 390 (6:30)]]/(1440)</f>
        <v>0.27083333333333331</v>
      </c>
      <c r="AA167" s="18"/>
      <c r="AB167" s="18" t="e">
        <f>IF(Table13[[#This Row],[HOD AFTER PM HI]]&gt;=Table13[[#This Row],[PM Hi]],((Table13[[#This Row],[HOD AFTER PM HI]]-Table13[[#This Row],[Prior day close]])/Table13[[#This Row],[Prior day close]]),Table13[[#This Row],[Prior Close to PM Hi %]])</f>
        <v>#DIV/0!</v>
      </c>
      <c r="AC167" s="42" t="e">
        <f>(Table13[[#This Row],[Price at hi of squeeze]]-Table13[[#This Row],[MKT Open Price]])/Table13[[#This Row],[MKT Open Price]]</f>
        <v>#DIV/0!</v>
      </c>
      <c r="AD167" s="18" t="e">
        <f>(Table13[[#This Row],[Price at hi of squeeze]]-Table13[[#This Row],[PM Hi]])/Table13[[#This Row],[PM Hi]]</f>
        <v>#DIV/0!</v>
      </c>
      <c r="AE167" s="18"/>
      <c r="AF167" s="20" t="e">
        <f>Table13[[#This Row],[PM VOL]]/1000000/Table13[[#This Row],[FLOAT(M)]]</f>
        <v>#DIV/0!</v>
      </c>
      <c r="AG167" s="23" t="e">
        <f>(Table13[[#This Row],[Volume]]/1000000)/Table13[[#This Row],[FLOAT(M)]]</f>
        <v>#DIV/0!</v>
      </c>
      <c r="AI167" s="18" t="e">
        <f>(Table13[[#This Row],[PM Hi]]-Table13[[#This Row],[MKT Open Price]])/(Table13[[#This Row],[PM Hi]])</f>
        <v>#DIV/0!</v>
      </c>
      <c r="AJ167" s="18" t="e">
        <f>IF(Table13[[#This Row],[PM LO]]&gt;Table13[[#This Row],[Prior day close]],(Table13[[#This Row],[PM Hi]]-Table13[[#This Row],[MKT Open Price]])/(Table13[[#This Row],[PM Hi]]-Table13[[#This Row],[Prior day close]]),(Table13[[#This Row],[PM Hi]]-Table13[[#This Row],[MKT Open Price]])/(Table13[[#This Row],[PM Hi]]-Table13[[#This Row],[PM LO]]))</f>
        <v>#DIV/0!</v>
      </c>
      <c r="AK167" s="48" t="e">
        <f>IF(Table13[[#This Row],[Prior day close]]&lt;Table13[[#This Row],[PM LO]],(I167-K167)/(I167-Table13[[#This Row],[Prior day close]]),(I167-K167)/(I167-Table13[[#This Row],[PM LO]]))</f>
        <v>#DIV/0!</v>
      </c>
      <c r="AL167" s="48">
        <f>Table13[[#This Row],[Spike % on open before drop]]+AM167</f>
        <v>0</v>
      </c>
      <c r="AM167" s="16"/>
      <c r="AN167" s="16"/>
      <c r="AO167" s="48" t="e">
        <f>IF(Table13[[#This Row],[Prior day close]]&lt;=Table13[[#This Row],[PM LO]],IF($J167&gt;=$F167,($J167-$K167)/($J167-Table13[[#This Row],[Prior day close]]),(IF($H167&lt;=$K167,($F167-$H167)/($F167-Table13[[#This Row],[Prior day close]]),(Table13[[#This Row],[PM Hi]]-Table13[[#This Row],[Lowest lo from open to squeeze]])/(Table13[[#This Row],[PM Hi]]-Table13[[#This Row],[Prior day close]])))),IF($J167&gt;=$F167,($J167-$K167)/($J167-Table13[[#This Row],[PM LO]]),(IF($H167&lt;=$K167,($F167-$H167)/($F167-Table13[[#This Row],[PM LO]]),(Table13[[#This Row],[PM Hi]]-Table13[[#This Row],[Lowest lo from open to squeeze]])/(Table13[[#This Row],[PM Hi]]-Table13[[#This Row],[PM LO]])))))</f>
        <v>#DIV/0!</v>
      </c>
      <c r="AP167" s="18"/>
      <c r="AQ167" s="17">
        <f>390+Table13[[#This Row],[Time until ideal entry point (mins) from open]]</f>
        <v>390</v>
      </c>
      <c r="AR167" s="17">
        <f>Table13[[#This Row],[Time until ideal entry + 390 (6:30)]]+Table13[[#This Row],[Duration of frontside (mins)]]</f>
        <v>390</v>
      </c>
    </row>
    <row r="168" spans="1:44" hidden="1" x14ac:dyDescent="0.25">
      <c r="A168" s="24" t="s">
        <v>86</v>
      </c>
      <c r="B168" s="47">
        <v>44004</v>
      </c>
      <c r="C168" s="47" t="s">
        <v>71</v>
      </c>
      <c r="D168" s="12"/>
      <c r="E168" s="13"/>
      <c r="F168" s="12"/>
      <c r="G168" s="12"/>
      <c r="H168" s="12"/>
      <c r="I168" s="12"/>
      <c r="J168" s="12"/>
      <c r="K168" s="12"/>
      <c r="N168" s="13"/>
      <c r="P168" s="37"/>
      <c r="Q168" s="46"/>
      <c r="R168" s="37"/>
      <c r="S168" s="37"/>
      <c r="T168" s="37"/>
      <c r="U168" s="37"/>
      <c r="V168" s="38"/>
      <c r="W168" s="46"/>
      <c r="X168" s="37"/>
      <c r="Y168" s="46"/>
      <c r="Z168" s="41">
        <f>Table13[[#This Row],[Time until ideal entry + 390 (6:30)]]/(1440)</f>
        <v>0.27083333333333331</v>
      </c>
      <c r="AA168" s="18"/>
      <c r="AB168" s="18" t="e">
        <f>IF(Table13[[#This Row],[HOD AFTER PM HI]]&gt;=Table13[[#This Row],[PM Hi]],((Table13[[#This Row],[HOD AFTER PM HI]]-Table13[[#This Row],[Prior day close]])/Table13[[#This Row],[Prior day close]]),Table13[[#This Row],[Prior Close to PM Hi %]])</f>
        <v>#DIV/0!</v>
      </c>
      <c r="AC168" s="42" t="e">
        <f>(Table13[[#This Row],[Price at hi of squeeze]]-Table13[[#This Row],[MKT Open Price]])/Table13[[#This Row],[MKT Open Price]]</f>
        <v>#DIV/0!</v>
      </c>
      <c r="AD168" s="18" t="e">
        <f>(Table13[[#This Row],[Price at hi of squeeze]]-Table13[[#This Row],[PM Hi]])/Table13[[#This Row],[PM Hi]]</f>
        <v>#DIV/0!</v>
      </c>
      <c r="AE168" s="18"/>
      <c r="AF168" s="20" t="e">
        <f>Table13[[#This Row],[PM VOL]]/1000000/Table13[[#This Row],[FLOAT(M)]]</f>
        <v>#DIV/0!</v>
      </c>
      <c r="AG168" s="23" t="e">
        <f>(Table13[[#This Row],[Volume]]/1000000)/Table13[[#This Row],[FLOAT(M)]]</f>
        <v>#DIV/0!</v>
      </c>
      <c r="AI168" s="18" t="e">
        <f>(Table13[[#This Row],[PM Hi]]-Table13[[#This Row],[MKT Open Price]])/(Table13[[#This Row],[PM Hi]])</f>
        <v>#DIV/0!</v>
      </c>
      <c r="AJ168" s="18" t="e">
        <f>IF(Table13[[#This Row],[PM LO]]&gt;Table13[[#This Row],[Prior day close]],(Table13[[#This Row],[PM Hi]]-Table13[[#This Row],[MKT Open Price]])/(Table13[[#This Row],[PM Hi]]-Table13[[#This Row],[Prior day close]]),(Table13[[#This Row],[PM Hi]]-Table13[[#This Row],[MKT Open Price]])/(Table13[[#This Row],[PM Hi]]-Table13[[#This Row],[PM LO]]))</f>
        <v>#DIV/0!</v>
      </c>
      <c r="AK168" s="48" t="e">
        <f>IF(Table13[[#This Row],[Prior day close]]&lt;Table13[[#This Row],[PM LO]],(I168-K168)/(I168-Table13[[#This Row],[Prior day close]]),(I168-K168)/(I168-Table13[[#This Row],[PM LO]]))</f>
        <v>#DIV/0!</v>
      </c>
      <c r="AL168" s="48">
        <f>Table13[[#This Row],[Spike % on open before drop]]+AM168</f>
        <v>0</v>
      </c>
      <c r="AM168" s="16"/>
      <c r="AN168" s="16"/>
      <c r="AO168" s="48" t="e">
        <f>IF(Table13[[#This Row],[Prior day close]]&lt;=Table13[[#This Row],[PM LO]],IF($J168&gt;=$F168,($J168-$K168)/($J168-Table13[[#This Row],[Prior day close]]),(IF($H168&lt;=$K168,($F168-$H168)/($F168-Table13[[#This Row],[Prior day close]]),(Table13[[#This Row],[PM Hi]]-Table13[[#This Row],[Lowest lo from open to squeeze]])/(Table13[[#This Row],[PM Hi]]-Table13[[#This Row],[Prior day close]])))),IF($J168&gt;=$F168,($J168-$K168)/($J168-Table13[[#This Row],[PM LO]]),(IF($H168&lt;=$K168,($F168-$H168)/($F168-Table13[[#This Row],[PM LO]]),(Table13[[#This Row],[PM Hi]]-Table13[[#This Row],[Lowest lo from open to squeeze]])/(Table13[[#This Row],[PM Hi]]-Table13[[#This Row],[PM LO]])))))</f>
        <v>#DIV/0!</v>
      </c>
      <c r="AP168" s="18"/>
      <c r="AQ168" s="17">
        <f>390+Table13[[#This Row],[Time until ideal entry point (mins) from open]]</f>
        <v>390</v>
      </c>
      <c r="AR168" s="17">
        <f>Table13[[#This Row],[Time until ideal entry + 390 (6:30)]]+Table13[[#This Row],[Duration of frontside (mins)]]</f>
        <v>390</v>
      </c>
    </row>
    <row r="169" spans="1:44" hidden="1" x14ac:dyDescent="0.25">
      <c r="A169" s="24" t="s">
        <v>199</v>
      </c>
      <c r="B169" s="47">
        <v>44006</v>
      </c>
      <c r="C169" s="47" t="s">
        <v>143</v>
      </c>
      <c r="D169" s="12"/>
      <c r="E169" s="13"/>
      <c r="F169" s="12"/>
      <c r="G169" s="12"/>
      <c r="H169" s="12"/>
      <c r="I169" s="12"/>
      <c r="J169" s="12"/>
      <c r="K169" s="12"/>
      <c r="N169" s="13"/>
      <c r="P169" s="37"/>
      <c r="Q169" s="46"/>
      <c r="R169" s="37"/>
      <c r="S169" s="37"/>
      <c r="T169" s="37"/>
      <c r="U169" s="37"/>
      <c r="V169" s="38"/>
      <c r="W169" s="46"/>
      <c r="X169" s="37"/>
      <c r="Y169" s="46"/>
      <c r="Z169" s="41">
        <f>Table13[[#This Row],[Time until ideal entry + 390 (6:30)]]/(1440)</f>
        <v>0.27083333333333331</v>
      </c>
      <c r="AA169" s="18"/>
      <c r="AB169" s="18" t="e">
        <f>IF(Table13[[#This Row],[HOD AFTER PM HI]]&gt;=Table13[[#This Row],[PM Hi]],((Table13[[#This Row],[HOD AFTER PM HI]]-Table13[[#This Row],[Prior day close]])/Table13[[#This Row],[Prior day close]]),Table13[[#This Row],[Prior Close to PM Hi %]])</f>
        <v>#DIV/0!</v>
      </c>
      <c r="AC169" s="42" t="e">
        <f>(Table13[[#This Row],[Price at hi of squeeze]]-Table13[[#This Row],[MKT Open Price]])/Table13[[#This Row],[MKT Open Price]]</f>
        <v>#DIV/0!</v>
      </c>
      <c r="AD169" s="18" t="e">
        <f>(Table13[[#This Row],[Price at hi of squeeze]]-Table13[[#This Row],[PM Hi]])/Table13[[#This Row],[PM Hi]]</f>
        <v>#DIV/0!</v>
      </c>
      <c r="AE169" s="18"/>
      <c r="AF169" s="20" t="e">
        <f>Table13[[#This Row],[PM VOL]]/1000000/Table13[[#This Row],[FLOAT(M)]]</f>
        <v>#DIV/0!</v>
      </c>
      <c r="AG169" s="23" t="e">
        <f>(Table13[[#This Row],[Volume]]/1000000)/Table13[[#This Row],[FLOAT(M)]]</f>
        <v>#DIV/0!</v>
      </c>
      <c r="AI169" s="18" t="e">
        <f>(Table13[[#This Row],[PM Hi]]-Table13[[#This Row],[MKT Open Price]])/(Table13[[#This Row],[PM Hi]])</f>
        <v>#DIV/0!</v>
      </c>
      <c r="AJ169" s="18" t="e">
        <f>IF(Table13[[#This Row],[PM LO]]&gt;Table13[[#This Row],[Prior day close]],(Table13[[#This Row],[PM Hi]]-Table13[[#This Row],[MKT Open Price]])/(Table13[[#This Row],[PM Hi]]-Table13[[#This Row],[Prior day close]]),(Table13[[#This Row],[PM Hi]]-Table13[[#This Row],[MKT Open Price]])/(Table13[[#This Row],[PM Hi]]-Table13[[#This Row],[PM LO]]))</f>
        <v>#DIV/0!</v>
      </c>
      <c r="AK169" s="48" t="e">
        <f>IF(Table13[[#This Row],[Prior day close]]&lt;Table13[[#This Row],[PM LO]],(I169-K169)/(I169-Table13[[#This Row],[Prior day close]]),(I169-K169)/(I169-Table13[[#This Row],[PM LO]]))</f>
        <v>#DIV/0!</v>
      </c>
      <c r="AL169" s="48">
        <f>Table13[[#This Row],[Spike % on open before drop]]+AM169</f>
        <v>0</v>
      </c>
      <c r="AM169" s="16"/>
      <c r="AN169" s="16"/>
      <c r="AO169" s="48" t="e">
        <f>IF(Table13[[#This Row],[Prior day close]]&lt;=Table13[[#This Row],[PM LO]],IF($J169&gt;=$F169,($J169-$K169)/($J169-Table13[[#This Row],[Prior day close]]),(IF($H169&lt;=$K169,($F169-$H169)/($F169-Table13[[#This Row],[Prior day close]]),(Table13[[#This Row],[PM Hi]]-Table13[[#This Row],[Lowest lo from open to squeeze]])/(Table13[[#This Row],[PM Hi]]-Table13[[#This Row],[Prior day close]])))),IF($J169&gt;=$F169,($J169-$K169)/($J169-Table13[[#This Row],[PM LO]]),(IF($H169&lt;=$K169,($F169-$H169)/($F169-Table13[[#This Row],[PM LO]]),(Table13[[#This Row],[PM Hi]]-Table13[[#This Row],[Lowest lo from open to squeeze]])/(Table13[[#This Row],[PM Hi]]-Table13[[#This Row],[PM LO]])))))</f>
        <v>#DIV/0!</v>
      </c>
      <c r="AP169" s="18"/>
      <c r="AQ169" s="17">
        <f>390+Table13[[#This Row],[Time until ideal entry point (mins) from open]]</f>
        <v>390</v>
      </c>
      <c r="AR169" s="17">
        <f>Table13[[#This Row],[Time until ideal entry + 390 (6:30)]]+Table13[[#This Row],[Duration of frontside (mins)]]</f>
        <v>390</v>
      </c>
    </row>
    <row r="170" spans="1:44" hidden="1" x14ac:dyDescent="0.25">
      <c r="A170" s="24" t="s">
        <v>178</v>
      </c>
      <c r="B170" s="47">
        <v>44008</v>
      </c>
      <c r="C170" s="47" t="s">
        <v>71</v>
      </c>
      <c r="D170" s="12"/>
      <c r="E170" s="13"/>
      <c r="F170" s="12"/>
      <c r="G170" s="12"/>
      <c r="H170" s="12"/>
      <c r="I170" s="12"/>
      <c r="J170" s="12"/>
      <c r="K170" s="12"/>
      <c r="N170" s="13"/>
      <c r="P170" s="37"/>
      <c r="Q170" s="46"/>
      <c r="R170" s="37"/>
      <c r="S170" s="37"/>
      <c r="T170" s="37"/>
      <c r="U170" s="37"/>
      <c r="V170" s="38"/>
      <c r="W170" s="46"/>
      <c r="X170" s="37"/>
      <c r="Y170" s="46"/>
      <c r="Z170" s="41">
        <f>Table13[[#This Row],[Time until ideal entry + 390 (6:30)]]/(1440)</f>
        <v>0.27083333333333331</v>
      </c>
      <c r="AA170" s="18"/>
      <c r="AB170" s="18" t="e">
        <f>IF(Table13[[#This Row],[HOD AFTER PM HI]]&gt;=Table13[[#This Row],[PM Hi]],((Table13[[#This Row],[HOD AFTER PM HI]]-Table13[[#This Row],[Prior day close]])/Table13[[#This Row],[Prior day close]]),Table13[[#This Row],[Prior Close to PM Hi %]])</f>
        <v>#DIV/0!</v>
      </c>
      <c r="AC170" s="42" t="e">
        <f>(Table13[[#This Row],[Price at hi of squeeze]]-Table13[[#This Row],[MKT Open Price]])/Table13[[#This Row],[MKT Open Price]]</f>
        <v>#DIV/0!</v>
      </c>
      <c r="AD170" s="18" t="e">
        <f>(Table13[[#This Row],[Price at hi of squeeze]]-Table13[[#This Row],[PM Hi]])/Table13[[#This Row],[PM Hi]]</f>
        <v>#DIV/0!</v>
      </c>
      <c r="AE170" s="18"/>
      <c r="AF170" s="20" t="e">
        <f>Table13[[#This Row],[PM VOL]]/1000000/Table13[[#This Row],[FLOAT(M)]]</f>
        <v>#DIV/0!</v>
      </c>
      <c r="AG170" s="23" t="e">
        <f>(Table13[[#This Row],[Volume]]/1000000)/Table13[[#This Row],[FLOAT(M)]]</f>
        <v>#DIV/0!</v>
      </c>
      <c r="AI170" s="18" t="e">
        <f>(Table13[[#This Row],[PM Hi]]-Table13[[#This Row],[MKT Open Price]])/(Table13[[#This Row],[PM Hi]])</f>
        <v>#DIV/0!</v>
      </c>
      <c r="AJ170" s="18" t="e">
        <f>IF(Table13[[#This Row],[PM LO]]&gt;Table13[[#This Row],[Prior day close]],(Table13[[#This Row],[PM Hi]]-Table13[[#This Row],[MKT Open Price]])/(Table13[[#This Row],[PM Hi]]-Table13[[#This Row],[Prior day close]]),(Table13[[#This Row],[PM Hi]]-Table13[[#This Row],[MKT Open Price]])/(Table13[[#This Row],[PM Hi]]-Table13[[#This Row],[PM LO]]))</f>
        <v>#DIV/0!</v>
      </c>
      <c r="AK170" s="48" t="e">
        <f>IF(Table13[[#This Row],[Prior day close]]&lt;Table13[[#This Row],[PM LO]],(I170-K170)/(I170-Table13[[#This Row],[Prior day close]]),(I170-K170)/(I170-Table13[[#This Row],[PM LO]]))</f>
        <v>#DIV/0!</v>
      </c>
      <c r="AL170" s="48">
        <f>Table13[[#This Row],[Spike % on open before drop]]+AM170</f>
        <v>0</v>
      </c>
      <c r="AM170" s="16"/>
      <c r="AN170" s="16"/>
      <c r="AO170" s="48" t="e">
        <f>IF(Table13[[#This Row],[Prior day close]]&lt;=Table13[[#This Row],[PM LO]],IF($J170&gt;=$F170,($J170-$K170)/($J170-Table13[[#This Row],[Prior day close]]),(IF($H170&lt;=$K170,($F170-$H170)/($F170-Table13[[#This Row],[Prior day close]]),(Table13[[#This Row],[PM Hi]]-Table13[[#This Row],[Lowest lo from open to squeeze]])/(Table13[[#This Row],[PM Hi]]-Table13[[#This Row],[Prior day close]])))),IF($J170&gt;=$F170,($J170-$K170)/($J170-Table13[[#This Row],[PM LO]]),(IF($H170&lt;=$K170,($F170-$H170)/($F170-Table13[[#This Row],[PM LO]]),(Table13[[#This Row],[PM Hi]]-Table13[[#This Row],[Lowest lo from open to squeeze]])/(Table13[[#This Row],[PM Hi]]-Table13[[#This Row],[PM LO]])))))</f>
        <v>#DIV/0!</v>
      </c>
      <c r="AP170" s="18"/>
      <c r="AQ170" s="17">
        <f>390+Table13[[#This Row],[Time until ideal entry point (mins) from open]]</f>
        <v>390</v>
      </c>
      <c r="AR170" s="17">
        <f>Table13[[#This Row],[Time until ideal entry + 390 (6:30)]]+Table13[[#This Row],[Duration of frontside (mins)]]</f>
        <v>390</v>
      </c>
    </row>
    <row r="171" spans="1:44" hidden="1" x14ac:dyDescent="0.25">
      <c r="A171" s="24" t="s">
        <v>200</v>
      </c>
      <c r="B171" s="47">
        <v>44014</v>
      </c>
      <c r="C171" s="47" t="s">
        <v>71</v>
      </c>
      <c r="D171" s="12"/>
      <c r="E171" s="13"/>
      <c r="F171" s="12"/>
      <c r="G171" s="12"/>
      <c r="H171" s="12"/>
      <c r="I171" s="12"/>
      <c r="J171" s="12"/>
      <c r="K171" s="12"/>
      <c r="N171" s="13"/>
      <c r="P171" s="37"/>
      <c r="Q171" s="46"/>
      <c r="R171" s="37"/>
      <c r="S171" s="37"/>
      <c r="T171" s="37"/>
      <c r="U171" s="37"/>
      <c r="V171" s="38"/>
      <c r="W171" s="46"/>
      <c r="X171" s="37"/>
      <c r="Y171" s="46"/>
      <c r="Z171" s="41">
        <f>Table13[[#This Row],[Time until ideal entry + 390 (6:30)]]/(1440)</f>
        <v>0.27083333333333331</v>
      </c>
      <c r="AA171" s="18"/>
      <c r="AB171" s="18" t="e">
        <f>IF(Table13[[#This Row],[HOD AFTER PM HI]]&gt;=Table13[[#This Row],[PM Hi]],((Table13[[#This Row],[HOD AFTER PM HI]]-Table13[[#This Row],[Prior day close]])/Table13[[#This Row],[Prior day close]]),Table13[[#This Row],[Prior Close to PM Hi %]])</f>
        <v>#DIV/0!</v>
      </c>
      <c r="AC171" s="42" t="e">
        <f>(Table13[[#This Row],[Price at hi of squeeze]]-Table13[[#This Row],[MKT Open Price]])/Table13[[#This Row],[MKT Open Price]]</f>
        <v>#DIV/0!</v>
      </c>
      <c r="AD171" s="18" t="e">
        <f>(Table13[[#This Row],[Price at hi of squeeze]]-Table13[[#This Row],[PM Hi]])/Table13[[#This Row],[PM Hi]]</f>
        <v>#DIV/0!</v>
      </c>
      <c r="AE171" s="18"/>
      <c r="AF171" s="20" t="e">
        <f>Table13[[#This Row],[PM VOL]]/1000000/Table13[[#This Row],[FLOAT(M)]]</f>
        <v>#DIV/0!</v>
      </c>
      <c r="AG171" s="23" t="e">
        <f>(Table13[[#This Row],[Volume]]/1000000)/Table13[[#This Row],[FLOAT(M)]]</f>
        <v>#DIV/0!</v>
      </c>
      <c r="AI171" s="18" t="e">
        <f>(Table13[[#This Row],[PM Hi]]-Table13[[#This Row],[MKT Open Price]])/(Table13[[#This Row],[PM Hi]])</f>
        <v>#DIV/0!</v>
      </c>
      <c r="AJ171" s="18" t="e">
        <f>IF(Table13[[#This Row],[PM LO]]&gt;Table13[[#This Row],[Prior day close]],(Table13[[#This Row],[PM Hi]]-Table13[[#This Row],[MKT Open Price]])/(Table13[[#This Row],[PM Hi]]-Table13[[#This Row],[Prior day close]]),(Table13[[#This Row],[PM Hi]]-Table13[[#This Row],[MKT Open Price]])/(Table13[[#This Row],[PM Hi]]-Table13[[#This Row],[PM LO]]))</f>
        <v>#DIV/0!</v>
      </c>
      <c r="AK171" s="48" t="e">
        <f>IF(Table13[[#This Row],[Prior day close]]&lt;Table13[[#This Row],[PM LO]],(I171-K171)/(I171-Table13[[#This Row],[Prior day close]]),(I171-K171)/(I171-Table13[[#This Row],[PM LO]]))</f>
        <v>#DIV/0!</v>
      </c>
      <c r="AL171" s="48">
        <f>Table13[[#This Row],[Spike % on open before drop]]+AM171</f>
        <v>0</v>
      </c>
      <c r="AM171" s="16"/>
      <c r="AN171" s="16"/>
      <c r="AO171" s="48" t="e">
        <f>IF(Table13[[#This Row],[Prior day close]]&lt;=Table13[[#This Row],[PM LO]],IF($J171&gt;=$F171,($J171-$K171)/($J171-Table13[[#This Row],[Prior day close]]),(IF($H171&lt;=$K171,($F171-$H171)/($F171-Table13[[#This Row],[Prior day close]]),(Table13[[#This Row],[PM Hi]]-Table13[[#This Row],[Lowest lo from open to squeeze]])/(Table13[[#This Row],[PM Hi]]-Table13[[#This Row],[Prior day close]])))),IF($J171&gt;=$F171,($J171-$K171)/($J171-Table13[[#This Row],[PM LO]]),(IF($H171&lt;=$K171,($F171-$H171)/($F171-Table13[[#This Row],[PM LO]]),(Table13[[#This Row],[PM Hi]]-Table13[[#This Row],[Lowest lo from open to squeeze]])/(Table13[[#This Row],[PM Hi]]-Table13[[#This Row],[PM LO]])))))</f>
        <v>#DIV/0!</v>
      </c>
      <c r="AP171" s="18"/>
      <c r="AQ171" s="17">
        <f>390+Table13[[#This Row],[Time until ideal entry point (mins) from open]]</f>
        <v>390</v>
      </c>
      <c r="AR171" s="17">
        <f>Table13[[#This Row],[Time until ideal entry + 390 (6:30)]]+Table13[[#This Row],[Duration of frontside (mins)]]</f>
        <v>390</v>
      </c>
    </row>
    <row r="172" spans="1:44" hidden="1" x14ac:dyDescent="0.25">
      <c r="A172" s="24" t="s">
        <v>94</v>
      </c>
      <c r="B172" s="47">
        <v>44018</v>
      </c>
      <c r="C172" s="47" t="s">
        <v>71</v>
      </c>
      <c r="D172" s="12"/>
      <c r="E172" s="13"/>
      <c r="F172" s="12"/>
      <c r="G172" s="12"/>
      <c r="H172" s="12"/>
      <c r="I172" s="12"/>
      <c r="J172" s="12"/>
      <c r="K172" s="12"/>
      <c r="N172" s="13"/>
      <c r="P172" s="37"/>
      <c r="Q172" s="46"/>
      <c r="R172" s="37"/>
      <c r="S172" s="37"/>
      <c r="T172" s="37"/>
      <c r="U172" s="37"/>
      <c r="V172" s="38"/>
      <c r="W172" s="46"/>
      <c r="X172" s="37"/>
      <c r="Y172" s="46"/>
      <c r="Z172" s="41">
        <f>Table13[[#This Row],[Time until ideal entry + 390 (6:30)]]/(1440)</f>
        <v>0.27083333333333331</v>
      </c>
      <c r="AA172" s="18"/>
      <c r="AB172" s="18" t="e">
        <f>IF(Table13[[#This Row],[HOD AFTER PM HI]]&gt;=Table13[[#This Row],[PM Hi]],((Table13[[#This Row],[HOD AFTER PM HI]]-Table13[[#This Row],[Prior day close]])/Table13[[#This Row],[Prior day close]]),Table13[[#This Row],[Prior Close to PM Hi %]])</f>
        <v>#DIV/0!</v>
      </c>
      <c r="AC172" s="42" t="e">
        <f>(Table13[[#This Row],[Price at hi of squeeze]]-Table13[[#This Row],[MKT Open Price]])/Table13[[#This Row],[MKT Open Price]]</f>
        <v>#DIV/0!</v>
      </c>
      <c r="AD172" s="18" t="e">
        <f>(Table13[[#This Row],[Price at hi of squeeze]]-Table13[[#This Row],[PM Hi]])/Table13[[#This Row],[PM Hi]]</f>
        <v>#DIV/0!</v>
      </c>
      <c r="AE172" s="18"/>
      <c r="AF172" s="20" t="e">
        <f>Table13[[#This Row],[PM VOL]]/1000000/Table13[[#This Row],[FLOAT(M)]]</f>
        <v>#DIV/0!</v>
      </c>
      <c r="AG172" s="23" t="e">
        <f>(Table13[[#This Row],[Volume]]/1000000)/Table13[[#This Row],[FLOAT(M)]]</f>
        <v>#DIV/0!</v>
      </c>
      <c r="AI172" s="18" t="e">
        <f>(Table13[[#This Row],[PM Hi]]-Table13[[#This Row],[MKT Open Price]])/(Table13[[#This Row],[PM Hi]])</f>
        <v>#DIV/0!</v>
      </c>
      <c r="AJ172" s="18" t="e">
        <f>IF(Table13[[#This Row],[PM LO]]&gt;Table13[[#This Row],[Prior day close]],(Table13[[#This Row],[PM Hi]]-Table13[[#This Row],[MKT Open Price]])/(Table13[[#This Row],[PM Hi]]-Table13[[#This Row],[Prior day close]]),(Table13[[#This Row],[PM Hi]]-Table13[[#This Row],[MKT Open Price]])/(Table13[[#This Row],[PM Hi]]-Table13[[#This Row],[PM LO]]))</f>
        <v>#DIV/0!</v>
      </c>
      <c r="AK172" s="48" t="e">
        <f>IF(Table13[[#This Row],[Prior day close]]&lt;Table13[[#This Row],[PM LO]],(I172-K172)/(I172-Table13[[#This Row],[Prior day close]]),(I172-K172)/(I172-Table13[[#This Row],[PM LO]]))</f>
        <v>#DIV/0!</v>
      </c>
      <c r="AL172" s="48">
        <f>Table13[[#This Row],[Spike % on open before drop]]+AM172</f>
        <v>0</v>
      </c>
      <c r="AM172" s="18"/>
      <c r="AN172" s="16"/>
      <c r="AO172" s="48" t="e">
        <f>IF(Table13[[#This Row],[Prior day close]]&lt;=Table13[[#This Row],[PM LO]],IF($J172&gt;=$F172,($J172-$K172)/($J172-Table13[[#This Row],[Prior day close]]),(IF($H172&lt;=$K172,($F172-$H172)/($F172-Table13[[#This Row],[Prior day close]]),(Table13[[#This Row],[PM Hi]]-Table13[[#This Row],[Lowest lo from open to squeeze]])/(Table13[[#This Row],[PM Hi]]-Table13[[#This Row],[Prior day close]])))),IF($J172&gt;=$F172,($J172-$K172)/($J172-Table13[[#This Row],[PM LO]]),(IF($H172&lt;=$K172,($F172-$H172)/($F172-Table13[[#This Row],[PM LO]]),(Table13[[#This Row],[PM Hi]]-Table13[[#This Row],[Lowest lo from open to squeeze]])/(Table13[[#This Row],[PM Hi]]-Table13[[#This Row],[PM LO]])))))</f>
        <v>#DIV/0!</v>
      </c>
      <c r="AP172" s="18"/>
      <c r="AQ172" s="17">
        <f>390+Table13[[#This Row],[Time until ideal entry point (mins) from open]]</f>
        <v>390</v>
      </c>
      <c r="AR172" s="17">
        <f>Table13[[#This Row],[Time until ideal entry + 390 (6:30)]]+Table13[[#This Row],[Duration of frontside (mins)]]</f>
        <v>390</v>
      </c>
    </row>
    <row r="173" spans="1:44" hidden="1" x14ac:dyDescent="0.25">
      <c r="A173" s="24" t="s">
        <v>201</v>
      </c>
      <c r="B173" s="47">
        <v>44022</v>
      </c>
      <c r="C173" s="47" t="s">
        <v>143</v>
      </c>
      <c r="D173" s="12"/>
      <c r="E173" s="13"/>
      <c r="F173" s="12"/>
      <c r="G173" s="12"/>
      <c r="H173" s="12"/>
      <c r="I173" s="12"/>
      <c r="J173" s="12"/>
      <c r="K173" s="12"/>
      <c r="N173" s="13"/>
      <c r="P173" s="37"/>
      <c r="Q173" s="46"/>
      <c r="R173" s="37"/>
      <c r="S173" s="37"/>
      <c r="T173" s="37"/>
      <c r="U173" s="37"/>
      <c r="V173" s="38"/>
      <c r="W173" s="46"/>
      <c r="X173" s="37"/>
      <c r="Y173" s="46"/>
      <c r="Z173" s="41">
        <f>Table13[[#This Row],[Time until ideal entry + 390 (6:30)]]/(1440)</f>
        <v>0.27083333333333331</v>
      </c>
      <c r="AA173" s="18"/>
      <c r="AB173" s="18" t="e">
        <f>IF(Table13[[#This Row],[HOD AFTER PM HI]]&gt;=Table13[[#This Row],[PM Hi]],((Table13[[#This Row],[HOD AFTER PM HI]]-Table13[[#This Row],[Prior day close]])/Table13[[#This Row],[Prior day close]]),Table13[[#This Row],[Prior Close to PM Hi %]])</f>
        <v>#DIV/0!</v>
      </c>
      <c r="AC173" s="42" t="e">
        <f>(Table13[[#This Row],[Price at hi of squeeze]]-Table13[[#This Row],[MKT Open Price]])/Table13[[#This Row],[MKT Open Price]]</f>
        <v>#DIV/0!</v>
      </c>
      <c r="AD173" s="18" t="e">
        <f>(Table13[[#This Row],[Price at hi of squeeze]]-Table13[[#This Row],[PM Hi]])/Table13[[#This Row],[PM Hi]]</f>
        <v>#DIV/0!</v>
      </c>
      <c r="AE173" s="18"/>
      <c r="AF173" s="20" t="e">
        <f>Table13[[#This Row],[PM VOL]]/1000000/Table13[[#This Row],[FLOAT(M)]]</f>
        <v>#DIV/0!</v>
      </c>
      <c r="AG173" s="23" t="e">
        <f>(Table13[[#This Row],[Volume]]/1000000)/Table13[[#This Row],[FLOAT(M)]]</f>
        <v>#DIV/0!</v>
      </c>
      <c r="AI173" s="18" t="e">
        <f>(Table13[[#This Row],[PM Hi]]-Table13[[#This Row],[MKT Open Price]])/(Table13[[#This Row],[PM Hi]])</f>
        <v>#DIV/0!</v>
      </c>
      <c r="AJ173" s="18" t="e">
        <f>IF(Table13[[#This Row],[PM LO]]&gt;Table13[[#This Row],[Prior day close]],(Table13[[#This Row],[PM Hi]]-Table13[[#This Row],[MKT Open Price]])/(Table13[[#This Row],[PM Hi]]-Table13[[#This Row],[Prior day close]]),(Table13[[#This Row],[PM Hi]]-Table13[[#This Row],[MKT Open Price]])/(Table13[[#This Row],[PM Hi]]-Table13[[#This Row],[PM LO]]))</f>
        <v>#DIV/0!</v>
      </c>
      <c r="AK173" s="48" t="e">
        <f>IF(Table13[[#This Row],[Prior day close]]&lt;Table13[[#This Row],[PM LO]],(I173-K173)/(I173-Table13[[#This Row],[Prior day close]]),(I173-K173)/(I173-Table13[[#This Row],[PM LO]]))</f>
        <v>#DIV/0!</v>
      </c>
      <c r="AL173" s="48">
        <f>Table13[[#This Row],[Spike % on open before drop]]+AM173</f>
        <v>0</v>
      </c>
      <c r="AM173" s="18"/>
      <c r="AN173" s="16"/>
      <c r="AO173" s="48" t="e">
        <f>IF(Table13[[#This Row],[Prior day close]]&lt;=Table13[[#This Row],[PM LO]],IF($J173&gt;=$F173,($J173-$K173)/($J173-Table13[[#This Row],[Prior day close]]),(IF($H173&lt;=$K173,($F173-$H173)/($F173-Table13[[#This Row],[Prior day close]]),(Table13[[#This Row],[PM Hi]]-Table13[[#This Row],[Lowest lo from open to squeeze]])/(Table13[[#This Row],[PM Hi]]-Table13[[#This Row],[Prior day close]])))),IF($J173&gt;=$F173,($J173-$K173)/($J173-Table13[[#This Row],[PM LO]]),(IF($H173&lt;=$K173,($F173-$H173)/($F173-Table13[[#This Row],[PM LO]]),(Table13[[#This Row],[PM Hi]]-Table13[[#This Row],[Lowest lo from open to squeeze]])/(Table13[[#This Row],[PM Hi]]-Table13[[#This Row],[PM LO]])))))</f>
        <v>#DIV/0!</v>
      </c>
      <c r="AP173" s="18"/>
      <c r="AQ173" s="17">
        <f>390+Table13[[#This Row],[Time until ideal entry point (mins) from open]]</f>
        <v>390</v>
      </c>
      <c r="AR173" s="17">
        <f>Table13[[#This Row],[Time until ideal entry + 390 (6:30)]]+Table13[[#This Row],[Duration of frontside (mins)]]</f>
        <v>390</v>
      </c>
    </row>
    <row r="174" spans="1:44" hidden="1" x14ac:dyDescent="0.25">
      <c r="A174" s="24" t="s">
        <v>202</v>
      </c>
      <c r="B174" s="47">
        <v>44033</v>
      </c>
      <c r="C174" s="47" t="s">
        <v>143</v>
      </c>
      <c r="D174" s="12"/>
      <c r="E174" s="13"/>
      <c r="F174" s="12"/>
      <c r="G174" s="12"/>
      <c r="H174" s="12"/>
      <c r="I174" s="12"/>
      <c r="J174" s="12"/>
      <c r="K174" s="12"/>
      <c r="N174" s="13"/>
      <c r="P174" s="37"/>
      <c r="Q174" s="46"/>
      <c r="R174" s="37"/>
      <c r="S174" s="37"/>
      <c r="T174" s="37"/>
      <c r="U174" s="37"/>
      <c r="V174" s="38"/>
      <c r="W174" s="46"/>
      <c r="X174" s="37"/>
      <c r="Y174" s="46"/>
      <c r="Z174" s="41">
        <f>Table13[[#This Row],[Time until ideal entry + 390 (6:30)]]/(1440)</f>
        <v>0.27083333333333331</v>
      </c>
      <c r="AA174" s="18"/>
      <c r="AB174" s="18" t="e">
        <f>IF(Table13[[#This Row],[HOD AFTER PM HI]]&gt;=Table13[[#This Row],[PM Hi]],((Table13[[#This Row],[HOD AFTER PM HI]]-Table13[[#This Row],[Prior day close]])/Table13[[#This Row],[Prior day close]]),Table13[[#This Row],[Prior Close to PM Hi %]])</f>
        <v>#DIV/0!</v>
      </c>
      <c r="AC174" s="42" t="e">
        <f>(Table13[[#This Row],[Price at hi of squeeze]]-Table13[[#This Row],[MKT Open Price]])/Table13[[#This Row],[MKT Open Price]]</f>
        <v>#DIV/0!</v>
      </c>
      <c r="AD174" s="18" t="e">
        <f>(Table13[[#This Row],[Price at hi of squeeze]]-Table13[[#This Row],[PM Hi]])/Table13[[#This Row],[PM Hi]]</f>
        <v>#DIV/0!</v>
      </c>
      <c r="AE174" s="18"/>
      <c r="AF174" s="20" t="e">
        <f>Table13[[#This Row],[PM VOL]]/1000000/Table13[[#This Row],[FLOAT(M)]]</f>
        <v>#DIV/0!</v>
      </c>
      <c r="AG174" s="23" t="e">
        <f>(Table13[[#This Row],[Volume]]/1000000)/Table13[[#This Row],[FLOAT(M)]]</f>
        <v>#DIV/0!</v>
      </c>
      <c r="AI174" s="18" t="e">
        <f>(Table13[[#This Row],[PM Hi]]-Table13[[#This Row],[MKT Open Price]])/(Table13[[#This Row],[PM Hi]])</f>
        <v>#DIV/0!</v>
      </c>
      <c r="AJ174" s="18" t="e">
        <f>IF(Table13[[#This Row],[PM LO]]&gt;Table13[[#This Row],[Prior day close]],(Table13[[#This Row],[PM Hi]]-Table13[[#This Row],[MKT Open Price]])/(Table13[[#This Row],[PM Hi]]-Table13[[#This Row],[Prior day close]]),(Table13[[#This Row],[PM Hi]]-Table13[[#This Row],[MKT Open Price]])/(Table13[[#This Row],[PM Hi]]-Table13[[#This Row],[PM LO]]))</f>
        <v>#DIV/0!</v>
      </c>
      <c r="AK174" s="48" t="e">
        <f>IF(Table13[[#This Row],[Prior day close]]&lt;Table13[[#This Row],[PM LO]],(I174-K174)/(I174-Table13[[#This Row],[Prior day close]]),(I174-K174)/(I174-Table13[[#This Row],[PM LO]]))</f>
        <v>#DIV/0!</v>
      </c>
      <c r="AL174" s="48">
        <f>Table13[[#This Row],[Spike % on open before drop]]+AM174</f>
        <v>0</v>
      </c>
      <c r="AM174" s="18"/>
      <c r="AN174" s="16"/>
      <c r="AO174" s="48" t="e">
        <f>IF(Table13[[#This Row],[Prior day close]]&lt;=Table13[[#This Row],[PM LO]],IF($J174&gt;=$F174,($J174-$K174)/($J174-Table13[[#This Row],[Prior day close]]),(IF($H174&lt;=$K174,($F174-$H174)/($F174-Table13[[#This Row],[Prior day close]]),(Table13[[#This Row],[PM Hi]]-Table13[[#This Row],[Lowest lo from open to squeeze]])/(Table13[[#This Row],[PM Hi]]-Table13[[#This Row],[Prior day close]])))),IF($J174&gt;=$F174,($J174-$K174)/($J174-Table13[[#This Row],[PM LO]]),(IF($H174&lt;=$K174,($F174-$H174)/($F174-Table13[[#This Row],[PM LO]]),(Table13[[#This Row],[PM Hi]]-Table13[[#This Row],[Lowest lo from open to squeeze]])/(Table13[[#This Row],[PM Hi]]-Table13[[#This Row],[PM LO]])))))</f>
        <v>#DIV/0!</v>
      </c>
      <c r="AP174" s="18"/>
      <c r="AQ174" s="17">
        <f>390+Table13[[#This Row],[Time until ideal entry point (mins) from open]]</f>
        <v>390</v>
      </c>
      <c r="AR174" s="17">
        <f>Table13[[#This Row],[Time until ideal entry + 390 (6:30)]]+Table13[[#This Row],[Duration of frontside (mins)]]</f>
        <v>390</v>
      </c>
    </row>
    <row r="175" spans="1:44" hidden="1" x14ac:dyDescent="0.25">
      <c r="A175" s="24" t="s">
        <v>203</v>
      </c>
      <c r="B175" s="47">
        <v>44033</v>
      </c>
      <c r="C175" s="47" t="s">
        <v>143</v>
      </c>
      <c r="D175" s="12"/>
      <c r="E175" s="13"/>
      <c r="F175" s="12"/>
      <c r="G175" s="12"/>
      <c r="H175" s="12"/>
      <c r="I175" s="12"/>
      <c r="J175" s="12"/>
      <c r="K175" s="12"/>
      <c r="N175" s="13"/>
      <c r="P175" s="37"/>
      <c r="Q175" s="46"/>
      <c r="R175" s="37"/>
      <c r="S175" s="37"/>
      <c r="T175" s="37"/>
      <c r="U175" s="37"/>
      <c r="V175" s="38"/>
      <c r="W175" s="46"/>
      <c r="X175" s="37"/>
      <c r="Y175" s="46"/>
      <c r="Z175" s="41">
        <f>Table13[[#This Row],[Time until ideal entry + 390 (6:30)]]/(1440)</f>
        <v>0.27083333333333331</v>
      </c>
      <c r="AA175" s="18"/>
      <c r="AB175" s="18" t="e">
        <f>IF(Table13[[#This Row],[HOD AFTER PM HI]]&gt;=Table13[[#This Row],[PM Hi]],((Table13[[#This Row],[HOD AFTER PM HI]]-Table13[[#This Row],[Prior day close]])/Table13[[#This Row],[Prior day close]]),Table13[[#This Row],[Prior Close to PM Hi %]])</f>
        <v>#DIV/0!</v>
      </c>
      <c r="AC175" s="42" t="e">
        <f>(Table13[[#This Row],[Price at hi of squeeze]]-Table13[[#This Row],[MKT Open Price]])/Table13[[#This Row],[MKT Open Price]]</f>
        <v>#DIV/0!</v>
      </c>
      <c r="AD175" s="18" t="e">
        <f>(Table13[[#This Row],[Price at hi of squeeze]]-Table13[[#This Row],[PM Hi]])/Table13[[#This Row],[PM Hi]]</f>
        <v>#DIV/0!</v>
      </c>
      <c r="AE175" s="18"/>
      <c r="AF175" s="20" t="e">
        <f>Table13[[#This Row],[PM VOL]]/1000000/Table13[[#This Row],[FLOAT(M)]]</f>
        <v>#DIV/0!</v>
      </c>
      <c r="AG175" s="23" t="e">
        <f>(Table13[[#This Row],[Volume]]/1000000)/Table13[[#This Row],[FLOAT(M)]]</f>
        <v>#DIV/0!</v>
      </c>
      <c r="AI175" s="18" t="e">
        <f>(Table13[[#This Row],[PM Hi]]-Table13[[#This Row],[MKT Open Price]])/(Table13[[#This Row],[PM Hi]])</f>
        <v>#DIV/0!</v>
      </c>
      <c r="AJ175" s="18" t="e">
        <f>IF(Table13[[#This Row],[PM LO]]&gt;Table13[[#This Row],[Prior day close]],(Table13[[#This Row],[PM Hi]]-Table13[[#This Row],[MKT Open Price]])/(Table13[[#This Row],[PM Hi]]-Table13[[#This Row],[Prior day close]]),(Table13[[#This Row],[PM Hi]]-Table13[[#This Row],[MKT Open Price]])/(Table13[[#This Row],[PM Hi]]-Table13[[#This Row],[PM LO]]))</f>
        <v>#DIV/0!</v>
      </c>
      <c r="AK175" s="48" t="e">
        <f>IF(Table13[[#This Row],[Prior day close]]&lt;Table13[[#This Row],[PM LO]],(I175-K175)/(I175-Table13[[#This Row],[Prior day close]]),(I175-K175)/(I175-Table13[[#This Row],[PM LO]]))</f>
        <v>#DIV/0!</v>
      </c>
      <c r="AL175" s="48">
        <f>Table13[[#This Row],[Spike % on open before drop]]+AM175</f>
        <v>0</v>
      </c>
      <c r="AM175" s="18"/>
      <c r="AN175" s="16"/>
      <c r="AO175" s="48" t="e">
        <f>IF(Table13[[#This Row],[Prior day close]]&lt;=Table13[[#This Row],[PM LO]],IF($J175&gt;=$F175,($J175-$K175)/($J175-Table13[[#This Row],[Prior day close]]),(IF($H175&lt;=$K175,($F175-$H175)/($F175-Table13[[#This Row],[Prior day close]]),(Table13[[#This Row],[PM Hi]]-Table13[[#This Row],[Lowest lo from open to squeeze]])/(Table13[[#This Row],[PM Hi]]-Table13[[#This Row],[Prior day close]])))),IF($J175&gt;=$F175,($J175-$K175)/($J175-Table13[[#This Row],[PM LO]]),(IF($H175&lt;=$K175,($F175-$H175)/($F175-Table13[[#This Row],[PM LO]]),(Table13[[#This Row],[PM Hi]]-Table13[[#This Row],[Lowest lo from open to squeeze]])/(Table13[[#This Row],[PM Hi]]-Table13[[#This Row],[PM LO]])))))</f>
        <v>#DIV/0!</v>
      </c>
      <c r="AP175" s="18"/>
      <c r="AQ175" s="17">
        <f>390+Table13[[#This Row],[Time until ideal entry point (mins) from open]]</f>
        <v>390</v>
      </c>
      <c r="AR175" s="17">
        <f>Table13[[#This Row],[Time until ideal entry + 390 (6:30)]]+Table13[[#This Row],[Duration of frontside (mins)]]</f>
        <v>390</v>
      </c>
    </row>
    <row r="176" spans="1:44" hidden="1" x14ac:dyDescent="0.25">
      <c r="A176" s="24" t="s">
        <v>81</v>
      </c>
      <c r="B176" s="47">
        <v>44033</v>
      </c>
      <c r="C176" s="47" t="s">
        <v>143</v>
      </c>
      <c r="D176" s="12"/>
      <c r="E176" s="13"/>
      <c r="F176" s="12"/>
      <c r="G176" s="12"/>
      <c r="H176" s="12"/>
      <c r="I176" s="12"/>
      <c r="J176" s="12"/>
      <c r="K176" s="12"/>
      <c r="N176" s="13"/>
      <c r="P176" s="37"/>
      <c r="Q176" s="46"/>
      <c r="R176" s="37"/>
      <c r="S176" s="37"/>
      <c r="T176" s="37"/>
      <c r="U176" s="37"/>
      <c r="V176" s="38"/>
      <c r="W176" s="46"/>
      <c r="X176" s="37"/>
      <c r="Y176" s="46"/>
      <c r="Z176" s="41">
        <f>Table13[[#This Row],[Time until ideal entry + 390 (6:30)]]/(1440)</f>
        <v>0.27083333333333331</v>
      </c>
      <c r="AA176" s="18"/>
      <c r="AB176" s="18" t="e">
        <f>IF(Table13[[#This Row],[HOD AFTER PM HI]]&gt;=Table13[[#This Row],[PM Hi]],((Table13[[#This Row],[HOD AFTER PM HI]]-Table13[[#This Row],[Prior day close]])/Table13[[#This Row],[Prior day close]]),Table13[[#This Row],[Prior Close to PM Hi %]])</f>
        <v>#DIV/0!</v>
      </c>
      <c r="AC176" s="42" t="e">
        <f>(Table13[[#This Row],[Price at hi of squeeze]]-Table13[[#This Row],[MKT Open Price]])/Table13[[#This Row],[MKT Open Price]]</f>
        <v>#DIV/0!</v>
      </c>
      <c r="AD176" s="18" t="e">
        <f>(Table13[[#This Row],[Price at hi of squeeze]]-Table13[[#This Row],[PM Hi]])/Table13[[#This Row],[PM Hi]]</f>
        <v>#DIV/0!</v>
      </c>
      <c r="AE176" s="18"/>
      <c r="AF176" s="20" t="e">
        <f>Table13[[#This Row],[PM VOL]]/1000000/Table13[[#This Row],[FLOAT(M)]]</f>
        <v>#DIV/0!</v>
      </c>
      <c r="AG176" s="23" t="e">
        <f>(Table13[[#This Row],[Volume]]/1000000)/Table13[[#This Row],[FLOAT(M)]]</f>
        <v>#DIV/0!</v>
      </c>
      <c r="AI176" s="18" t="e">
        <f>(Table13[[#This Row],[PM Hi]]-Table13[[#This Row],[MKT Open Price]])/(Table13[[#This Row],[PM Hi]])</f>
        <v>#DIV/0!</v>
      </c>
      <c r="AJ176" s="18" t="e">
        <f>IF(Table13[[#This Row],[PM LO]]&gt;Table13[[#This Row],[Prior day close]],(Table13[[#This Row],[PM Hi]]-Table13[[#This Row],[MKT Open Price]])/(Table13[[#This Row],[PM Hi]]-Table13[[#This Row],[Prior day close]]),(Table13[[#This Row],[PM Hi]]-Table13[[#This Row],[MKT Open Price]])/(Table13[[#This Row],[PM Hi]]-Table13[[#This Row],[PM LO]]))</f>
        <v>#DIV/0!</v>
      </c>
      <c r="AK176" s="48" t="e">
        <f>IF(Table13[[#This Row],[Prior day close]]&lt;Table13[[#This Row],[PM LO]],(I176-K176)/(I176-Table13[[#This Row],[Prior day close]]),(I176-K176)/(I176-Table13[[#This Row],[PM LO]]))</f>
        <v>#DIV/0!</v>
      </c>
      <c r="AL176" s="48">
        <f>Table13[[#This Row],[Spike % on open before drop]]+AM176</f>
        <v>0</v>
      </c>
      <c r="AM176" s="18"/>
      <c r="AN176" s="16"/>
      <c r="AO176" s="48" t="e">
        <f>IF(Table13[[#This Row],[Prior day close]]&lt;=Table13[[#This Row],[PM LO]],IF($J176&gt;=$F176,($J176-$K176)/($J176-Table13[[#This Row],[Prior day close]]),(IF($H176&lt;=$K176,($F176-$H176)/($F176-Table13[[#This Row],[Prior day close]]),(Table13[[#This Row],[PM Hi]]-Table13[[#This Row],[Lowest lo from open to squeeze]])/(Table13[[#This Row],[PM Hi]]-Table13[[#This Row],[Prior day close]])))),IF($J176&gt;=$F176,($J176-$K176)/($J176-Table13[[#This Row],[PM LO]]),(IF($H176&lt;=$K176,($F176-$H176)/($F176-Table13[[#This Row],[PM LO]]),(Table13[[#This Row],[PM Hi]]-Table13[[#This Row],[Lowest lo from open to squeeze]])/(Table13[[#This Row],[PM Hi]]-Table13[[#This Row],[PM LO]])))))</f>
        <v>#DIV/0!</v>
      </c>
      <c r="AP176" s="18"/>
      <c r="AQ176" s="17">
        <f>390+Table13[[#This Row],[Time until ideal entry point (mins) from open]]</f>
        <v>390</v>
      </c>
      <c r="AR176" s="17">
        <f>Table13[[#This Row],[Time until ideal entry + 390 (6:30)]]+Table13[[#This Row],[Duration of frontside (mins)]]</f>
        <v>390</v>
      </c>
    </row>
    <row r="177" spans="1:44" hidden="1" x14ac:dyDescent="0.25">
      <c r="A177" s="24" t="s">
        <v>204</v>
      </c>
      <c r="B177" s="47">
        <v>44039</v>
      </c>
      <c r="C177" s="47" t="s">
        <v>143</v>
      </c>
      <c r="D177" s="12"/>
      <c r="E177" s="13"/>
      <c r="F177" s="12"/>
      <c r="G177" s="12"/>
      <c r="H177" s="12"/>
      <c r="I177" s="12"/>
      <c r="J177" s="12"/>
      <c r="K177" s="12"/>
      <c r="N177" s="13"/>
      <c r="P177" s="37"/>
      <c r="Q177" s="46"/>
      <c r="R177" s="37"/>
      <c r="S177" s="37"/>
      <c r="T177" s="37"/>
      <c r="U177" s="37"/>
      <c r="V177" s="38"/>
      <c r="W177" s="46"/>
      <c r="X177" s="37"/>
      <c r="Y177" s="46"/>
      <c r="Z177" s="41">
        <f>Table13[[#This Row],[Time until ideal entry + 390 (6:30)]]/(1440)</f>
        <v>0.27083333333333331</v>
      </c>
      <c r="AA177" s="18"/>
      <c r="AB177" s="18" t="e">
        <f>IF(Table13[[#This Row],[HOD AFTER PM HI]]&gt;=Table13[[#This Row],[PM Hi]],((Table13[[#This Row],[HOD AFTER PM HI]]-Table13[[#This Row],[Prior day close]])/Table13[[#This Row],[Prior day close]]),Table13[[#This Row],[Prior Close to PM Hi %]])</f>
        <v>#DIV/0!</v>
      </c>
      <c r="AC177" s="42" t="e">
        <f>(Table13[[#This Row],[Price at hi of squeeze]]-Table13[[#This Row],[MKT Open Price]])/Table13[[#This Row],[MKT Open Price]]</f>
        <v>#DIV/0!</v>
      </c>
      <c r="AD177" s="18" t="e">
        <f>(Table13[[#This Row],[Price at hi of squeeze]]-Table13[[#This Row],[PM Hi]])/Table13[[#This Row],[PM Hi]]</f>
        <v>#DIV/0!</v>
      </c>
      <c r="AE177" s="18"/>
      <c r="AF177" s="20" t="e">
        <f>Table13[[#This Row],[PM VOL]]/1000000/Table13[[#This Row],[FLOAT(M)]]</f>
        <v>#DIV/0!</v>
      </c>
      <c r="AG177" s="23" t="e">
        <f>(Table13[[#This Row],[Volume]]/1000000)/Table13[[#This Row],[FLOAT(M)]]</f>
        <v>#DIV/0!</v>
      </c>
      <c r="AI177" s="18" t="e">
        <f>(Table13[[#This Row],[PM Hi]]-Table13[[#This Row],[MKT Open Price]])/(Table13[[#This Row],[PM Hi]])</f>
        <v>#DIV/0!</v>
      </c>
      <c r="AJ177" s="18" t="e">
        <f>IF(Table13[[#This Row],[PM LO]]&gt;Table13[[#This Row],[Prior day close]],(Table13[[#This Row],[PM Hi]]-Table13[[#This Row],[MKT Open Price]])/(Table13[[#This Row],[PM Hi]]-Table13[[#This Row],[Prior day close]]),(Table13[[#This Row],[PM Hi]]-Table13[[#This Row],[MKT Open Price]])/(Table13[[#This Row],[PM Hi]]-Table13[[#This Row],[PM LO]]))</f>
        <v>#DIV/0!</v>
      </c>
      <c r="AK177" s="48" t="e">
        <f>IF(Table13[[#This Row],[Prior day close]]&lt;Table13[[#This Row],[PM LO]],(I177-K177)/(I177-Table13[[#This Row],[Prior day close]]),(I177-K177)/(I177-Table13[[#This Row],[PM LO]]))</f>
        <v>#DIV/0!</v>
      </c>
      <c r="AL177" s="48">
        <f>Table13[[#This Row],[Spike % on open before drop]]+AM177</f>
        <v>0</v>
      </c>
      <c r="AM177" s="18"/>
      <c r="AN177" s="16"/>
      <c r="AO177" s="48" t="e">
        <f>IF(Table13[[#This Row],[Prior day close]]&lt;=Table13[[#This Row],[PM LO]],IF($J177&gt;=$F177,($J177-$K177)/($J177-Table13[[#This Row],[Prior day close]]),(IF($H177&lt;=$K177,($F177-$H177)/($F177-Table13[[#This Row],[Prior day close]]),(Table13[[#This Row],[PM Hi]]-Table13[[#This Row],[Lowest lo from open to squeeze]])/(Table13[[#This Row],[PM Hi]]-Table13[[#This Row],[Prior day close]])))),IF($J177&gt;=$F177,($J177-$K177)/($J177-Table13[[#This Row],[PM LO]]),(IF($H177&lt;=$K177,($F177-$H177)/($F177-Table13[[#This Row],[PM LO]]),(Table13[[#This Row],[PM Hi]]-Table13[[#This Row],[Lowest lo from open to squeeze]])/(Table13[[#This Row],[PM Hi]]-Table13[[#This Row],[PM LO]])))))</f>
        <v>#DIV/0!</v>
      </c>
      <c r="AP177" s="18"/>
      <c r="AQ177" s="17">
        <f>390+Table13[[#This Row],[Time until ideal entry point (mins) from open]]</f>
        <v>390</v>
      </c>
      <c r="AR177" s="17">
        <f>Table13[[#This Row],[Time until ideal entry + 390 (6:30)]]+Table13[[#This Row],[Duration of frontside (mins)]]</f>
        <v>390</v>
      </c>
    </row>
    <row r="178" spans="1:44" hidden="1" x14ac:dyDescent="0.25">
      <c r="A178" s="24" t="s">
        <v>205</v>
      </c>
      <c r="B178" s="47">
        <v>44041</v>
      </c>
      <c r="C178" s="47" t="s">
        <v>143</v>
      </c>
      <c r="D178" s="12"/>
      <c r="E178" s="13"/>
      <c r="F178" s="12"/>
      <c r="G178" s="12"/>
      <c r="H178" s="12"/>
      <c r="I178" s="12"/>
      <c r="J178" s="12"/>
      <c r="K178" s="12"/>
      <c r="N178" s="13"/>
      <c r="P178" s="37"/>
      <c r="Q178" s="46"/>
      <c r="R178" s="37"/>
      <c r="S178" s="37"/>
      <c r="T178" s="37"/>
      <c r="U178" s="37"/>
      <c r="V178" s="38"/>
      <c r="W178" s="46"/>
      <c r="X178" s="37"/>
      <c r="Y178" s="46"/>
      <c r="Z178" s="41">
        <f>Table13[[#This Row],[Time until ideal entry + 390 (6:30)]]/(1440)</f>
        <v>0.27083333333333331</v>
      </c>
      <c r="AA178" s="18"/>
      <c r="AB178" s="18" t="e">
        <f>IF(Table13[[#This Row],[HOD AFTER PM HI]]&gt;=Table13[[#This Row],[PM Hi]],((Table13[[#This Row],[HOD AFTER PM HI]]-Table13[[#This Row],[Prior day close]])/Table13[[#This Row],[Prior day close]]),Table13[[#This Row],[Prior Close to PM Hi %]])</f>
        <v>#DIV/0!</v>
      </c>
      <c r="AC178" s="42" t="e">
        <f>(Table13[[#This Row],[Price at hi of squeeze]]-Table13[[#This Row],[MKT Open Price]])/Table13[[#This Row],[MKT Open Price]]</f>
        <v>#DIV/0!</v>
      </c>
      <c r="AD178" s="18" t="e">
        <f>(Table13[[#This Row],[Price at hi of squeeze]]-Table13[[#This Row],[PM Hi]])/Table13[[#This Row],[PM Hi]]</f>
        <v>#DIV/0!</v>
      </c>
      <c r="AE178" s="18"/>
      <c r="AF178" s="20" t="e">
        <f>Table13[[#This Row],[PM VOL]]/1000000/Table13[[#This Row],[FLOAT(M)]]</f>
        <v>#DIV/0!</v>
      </c>
      <c r="AG178" s="23" t="e">
        <f>(Table13[[#This Row],[Volume]]/1000000)/Table13[[#This Row],[FLOAT(M)]]</f>
        <v>#DIV/0!</v>
      </c>
      <c r="AI178" s="18" t="e">
        <f>(Table13[[#This Row],[PM Hi]]-Table13[[#This Row],[MKT Open Price]])/(Table13[[#This Row],[PM Hi]])</f>
        <v>#DIV/0!</v>
      </c>
      <c r="AJ178" s="18" t="e">
        <f>IF(Table13[[#This Row],[PM LO]]&gt;Table13[[#This Row],[Prior day close]],(Table13[[#This Row],[PM Hi]]-Table13[[#This Row],[MKT Open Price]])/(Table13[[#This Row],[PM Hi]]-Table13[[#This Row],[Prior day close]]),(Table13[[#This Row],[PM Hi]]-Table13[[#This Row],[MKT Open Price]])/(Table13[[#This Row],[PM Hi]]-Table13[[#This Row],[PM LO]]))</f>
        <v>#DIV/0!</v>
      </c>
      <c r="AK178" s="48" t="e">
        <f>IF(Table13[[#This Row],[Prior day close]]&lt;Table13[[#This Row],[PM LO]],(I178-K178)/(I178-Table13[[#This Row],[Prior day close]]),(I178-K178)/(I178-Table13[[#This Row],[PM LO]]))</f>
        <v>#DIV/0!</v>
      </c>
      <c r="AL178" s="48">
        <f>Table13[[#This Row],[Spike % on open before drop]]+AM178</f>
        <v>0</v>
      </c>
      <c r="AM178" s="18"/>
      <c r="AN178" s="16"/>
      <c r="AO178" s="48" t="e">
        <f>IF(Table13[[#This Row],[Prior day close]]&lt;=Table13[[#This Row],[PM LO]],IF($J178&gt;=$F178,($J178-$K178)/($J178-Table13[[#This Row],[Prior day close]]),(IF($H178&lt;=$K178,($F178-$H178)/($F178-Table13[[#This Row],[Prior day close]]),(Table13[[#This Row],[PM Hi]]-Table13[[#This Row],[Lowest lo from open to squeeze]])/(Table13[[#This Row],[PM Hi]]-Table13[[#This Row],[Prior day close]])))),IF($J178&gt;=$F178,($J178-$K178)/($J178-Table13[[#This Row],[PM LO]]),(IF($H178&lt;=$K178,($F178-$H178)/($F178-Table13[[#This Row],[PM LO]]),(Table13[[#This Row],[PM Hi]]-Table13[[#This Row],[Lowest lo from open to squeeze]])/(Table13[[#This Row],[PM Hi]]-Table13[[#This Row],[PM LO]])))))</f>
        <v>#DIV/0!</v>
      </c>
      <c r="AP178" s="18"/>
      <c r="AQ178" s="17">
        <f>390+Table13[[#This Row],[Time until ideal entry point (mins) from open]]</f>
        <v>390</v>
      </c>
      <c r="AR178" s="17">
        <f>Table13[[#This Row],[Time until ideal entry + 390 (6:30)]]+Table13[[#This Row],[Duration of frontside (mins)]]</f>
        <v>390</v>
      </c>
    </row>
    <row r="179" spans="1:44" hidden="1" x14ac:dyDescent="0.25">
      <c r="A179" s="24" t="s">
        <v>206</v>
      </c>
      <c r="B179" s="47">
        <v>44042</v>
      </c>
      <c r="C179" s="47" t="s">
        <v>143</v>
      </c>
      <c r="D179" s="12"/>
      <c r="E179" s="13"/>
      <c r="F179" s="12"/>
      <c r="G179" s="12"/>
      <c r="H179" s="12"/>
      <c r="I179" s="12"/>
      <c r="J179" s="12"/>
      <c r="K179" s="12"/>
      <c r="N179" s="13"/>
      <c r="P179" s="37"/>
      <c r="Q179" s="46"/>
      <c r="R179" s="37"/>
      <c r="S179" s="37"/>
      <c r="T179" s="37"/>
      <c r="U179" s="37"/>
      <c r="V179" s="38"/>
      <c r="W179" s="46"/>
      <c r="X179" s="37"/>
      <c r="Y179" s="46"/>
      <c r="Z179" s="41">
        <f>Table13[[#This Row],[Time until ideal entry + 390 (6:30)]]/(1440)</f>
        <v>0.27083333333333331</v>
      </c>
      <c r="AA179" s="18"/>
      <c r="AB179" s="18" t="e">
        <f>IF(Table13[[#This Row],[HOD AFTER PM HI]]&gt;=Table13[[#This Row],[PM Hi]],((Table13[[#This Row],[HOD AFTER PM HI]]-Table13[[#This Row],[Prior day close]])/Table13[[#This Row],[Prior day close]]),Table13[[#This Row],[Prior Close to PM Hi %]])</f>
        <v>#DIV/0!</v>
      </c>
      <c r="AC179" s="42" t="e">
        <f>(Table13[[#This Row],[Price at hi of squeeze]]-Table13[[#This Row],[MKT Open Price]])/Table13[[#This Row],[MKT Open Price]]</f>
        <v>#DIV/0!</v>
      </c>
      <c r="AD179" s="18" t="e">
        <f>(Table13[[#This Row],[Price at hi of squeeze]]-Table13[[#This Row],[PM Hi]])/Table13[[#This Row],[PM Hi]]</f>
        <v>#DIV/0!</v>
      </c>
      <c r="AE179" s="18"/>
      <c r="AF179" s="20" t="e">
        <f>Table13[[#This Row],[PM VOL]]/1000000/Table13[[#This Row],[FLOAT(M)]]</f>
        <v>#DIV/0!</v>
      </c>
      <c r="AG179" s="23" t="e">
        <f>(Table13[[#This Row],[Volume]]/1000000)/Table13[[#This Row],[FLOAT(M)]]</f>
        <v>#DIV/0!</v>
      </c>
      <c r="AI179" s="18" t="e">
        <f>(Table13[[#This Row],[PM Hi]]-Table13[[#This Row],[MKT Open Price]])/(Table13[[#This Row],[PM Hi]])</f>
        <v>#DIV/0!</v>
      </c>
      <c r="AJ179" s="18" t="e">
        <f>IF(Table13[[#This Row],[PM LO]]&gt;Table13[[#This Row],[Prior day close]],(Table13[[#This Row],[PM Hi]]-Table13[[#This Row],[MKT Open Price]])/(Table13[[#This Row],[PM Hi]]-Table13[[#This Row],[Prior day close]]),(Table13[[#This Row],[PM Hi]]-Table13[[#This Row],[MKT Open Price]])/(Table13[[#This Row],[PM Hi]]-Table13[[#This Row],[PM LO]]))</f>
        <v>#DIV/0!</v>
      </c>
      <c r="AK179" s="48" t="e">
        <f>IF(Table13[[#This Row],[Prior day close]]&lt;Table13[[#This Row],[PM LO]],(I179-K179)/(I179-Table13[[#This Row],[Prior day close]]),(I179-K179)/(I179-Table13[[#This Row],[PM LO]]))</f>
        <v>#DIV/0!</v>
      </c>
      <c r="AL179" s="48">
        <f>Table13[[#This Row],[Spike % on open before drop]]+AM179</f>
        <v>0</v>
      </c>
      <c r="AM179" s="18"/>
      <c r="AN179" s="16"/>
      <c r="AO179" s="48" t="e">
        <f>IF(Table13[[#This Row],[Prior day close]]&lt;=Table13[[#This Row],[PM LO]],IF($J179&gt;=$F179,($J179-$K179)/($J179-Table13[[#This Row],[Prior day close]]),(IF($H179&lt;=$K179,($F179-$H179)/($F179-Table13[[#This Row],[Prior day close]]),(Table13[[#This Row],[PM Hi]]-Table13[[#This Row],[Lowest lo from open to squeeze]])/(Table13[[#This Row],[PM Hi]]-Table13[[#This Row],[Prior day close]])))),IF($J179&gt;=$F179,($J179-$K179)/($J179-Table13[[#This Row],[PM LO]]),(IF($H179&lt;=$K179,($F179-$H179)/($F179-Table13[[#This Row],[PM LO]]),(Table13[[#This Row],[PM Hi]]-Table13[[#This Row],[Lowest lo from open to squeeze]])/(Table13[[#This Row],[PM Hi]]-Table13[[#This Row],[PM LO]])))))</f>
        <v>#DIV/0!</v>
      </c>
      <c r="AP179" s="18"/>
      <c r="AQ179" s="17">
        <f>390+Table13[[#This Row],[Time until ideal entry point (mins) from open]]</f>
        <v>390</v>
      </c>
      <c r="AR179" s="17">
        <f>Table13[[#This Row],[Time until ideal entry + 390 (6:30)]]+Table13[[#This Row],[Duration of frontside (mins)]]</f>
        <v>390</v>
      </c>
    </row>
    <row r="180" spans="1:44" hidden="1" x14ac:dyDescent="0.25">
      <c r="A180" s="24" t="s">
        <v>174</v>
      </c>
      <c r="B180" s="47">
        <v>44043</v>
      </c>
      <c r="C180" s="47" t="s">
        <v>143</v>
      </c>
      <c r="D180" s="12"/>
      <c r="E180" s="13"/>
      <c r="F180" s="12"/>
      <c r="G180" s="12"/>
      <c r="H180" s="12"/>
      <c r="I180" s="12"/>
      <c r="J180" s="12"/>
      <c r="K180" s="12"/>
      <c r="N180" s="13"/>
      <c r="P180" s="37"/>
      <c r="Q180" s="46"/>
      <c r="R180" s="37"/>
      <c r="S180" s="37"/>
      <c r="T180" s="37"/>
      <c r="U180" s="37"/>
      <c r="V180" s="38"/>
      <c r="W180" s="46"/>
      <c r="X180" s="37"/>
      <c r="Y180" s="46"/>
      <c r="Z180" s="41">
        <f>Table13[[#This Row],[Time until ideal entry + 390 (6:30)]]/(1440)</f>
        <v>0.27083333333333331</v>
      </c>
      <c r="AA180" s="18"/>
      <c r="AB180" s="18" t="e">
        <f>IF(Table13[[#This Row],[HOD AFTER PM HI]]&gt;=Table13[[#This Row],[PM Hi]],((Table13[[#This Row],[HOD AFTER PM HI]]-Table13[[#This Row],[Prior day close]])/Table13[[#This Row],[Prior day close]]),Table13[[#This Row],[Prior Close to PM Hi %]])</f>
        <v>#DIV/0!</v>
      </c>
      <c r="AC180" s="42" t="e">
        <f>(Table13[[#This Row],[Price at hi of squeeze]]-Table13[[#This Row],[MKT Open Price]])/Table13[[#This Row],[MKT Open Price]]</f>
        <v>#DIV/0!</v>
      </c>
      <c r="AD180" s="18" t="e">
        <f>(Table13[[#This Row],[Price at hi of squeeze]]-Table13[[#This Row],[PM Hi]])/Table13[[#This Row],[PM Hi]]</f>
        <v>#DIV/0!</v>
      </c>
      <c r="AE180" s="18"/>
      <c r="AF180" s="20" t="e">
        <f>Table13[[#This Row],[PM VOL]]/1000000/Table13[[#This Row],[FLOAT(M)]]</f>
        <v>#DIV/0!</v>
      </c>
      <c r="AG180" s="23" t="e">
        <f>(Table13[[#This Row],[Volume]]/1000000)/Table13[[#This Row],[FLOAT(M)]]</f>
        <v>#DIV/0!</v>
      </c>
      <c r="AI180" s="18" t="e">
        <f>(Table13[[#This Row],[PM Hi]]-Table13[[#This Row],[MKT Open Price]])/(Table13[[#This Row],[PM Hi]])</f>
        <v>#DIV/0!</v>
      </c>
      <c r="AJ180" s="18" t="e">
        <f>IF(Table13[[#This Row],[PM LO]]&gt;Table13[[#This Row],[Prior day close]],(Table13[[#This Row],[PM Hi]]-Table13[[#This Row],[MKT Open Price]])/(Table13[[#This Row],[PM Hi]]-Table13[[#This Row],[Prior day close]]),(Table13[[#This Row],[PM Hi]]-Table13[[#This Row],[MKT Open Price]])/(Table13[[#This Row],[PM Hi]]-Table13[[#This Row],[PM LO]]))</f>
        <v>#DIV/0!</v>
      </c>
      <c r="AK180" s="48" t="e">
        <f>IF(Table13[[#This Row],[Prior day close]]&lt;Table13[[#This Row],[PM LO]],(I180-K180)/(I180-Table13[[#This Row],[Prior day close]]),(I180-K180)/(I180-Table13[[#This Row],[PM LO]]))</f>
        <v>#DIV/0!</v>
      </c>
      <c r="AL180" s="48">
        <f>Table13[[#This Row],[Spike % on open before drop]]+AM180</f>
        <v>0</v>
      </c>
      <c r="AM180" s="18"/>
      <c r="AN180" s="16"/>
      <c r="AO180" s="48" t="e">
        <f>IF(Table13[[#This Row],[Prior day close]]&lt;=Table13[[#This Row],[PM LO]],IF($J180&gt;=$F180,($J180-$K180)/($J180-Table13[[#This Row],[Prior day close]]),(IF($H180&lt;=$K180,($F180-$H180)/($F180-Table13[[#This Row],[Prior day close]]),(Table13[[#This Row],[PM Hi]]-Table13[[#This Row],[Lowest lo from open to squeeze]])/(Table13[[#This Row],[PM Hi]]-Table13[[#This Row],[Prior day close]])))),IF($J180&gt;=$F180,($J180-$K180)/($J180-Table13[[#This Row],[PM LO]]),(IF($H180&lt;=$K180,($F180-$H180)/($F180-Table13[[#This Row],[PM LO]]),(Table13[[#This Row],[PM Hi]]-Table13[[#This Row],[Lowest lo from open to squeeze]])/(Table13[[#This Row],[PM Hi]]-Table13[[#This Row],[PM LO]])))))</f>
        <v>#DIV/0!</v>
      </c>
      <c r="AP180" s="18"/>
      <c r="AQ180" s="17">
        <f>390+Table13[[#This Row],[Time until ideal entry point (mins) from open]]</f>
        <v>390</v>
      </c>
      <c r="AR180" s="17">
        <f>Table13[[#This Row],[Time until ideal entry + 390 (6:30)]]+Table13[[#This Row],[Duration of frontside (mins)]]</f>
        <v>390</v>
      </c>
    </row>
    <row r="181" spans="1:44" hidden="1" x14ac:dyDescent="0.25">
      <c r="A181" s="24" t="s">
        <v>207</v>
      </c>
      <c r="B181" s="47">
        <v>44047</v>
      </c>
      <c r="C181" s="47" t="s">
        <v>143</v>
      </c>
      <c r="D181" s="12"/>
      <c r="E181" s="13"/>
      <c r="F181" s="12"/>
      <c r="G181" s="12"/>
      <c r="H181" s="12"/>
      <c r="I181" s="12"/>
      <c r="J181" s="12"/>
      <c r="K181" s="12"/>
      <c r="N181" s="13"/>
      <c r="P181" s="37"/>
      <c r="Q181" s="46"/>
      <c r="R181" s="37"/>
      <c r="S181" s="37"/>
      <c r="T181" s="37"/>
      <c r="U181" s="37"/>
      <c r="V181" s="38"/>
      <c r="W181" s="46"/>
      <c r="X181" s="37"/>
      <c r="Y181" s="46"/>
      <c r="Z181" s="41">
        <f>Table13[[#This Row],[Time until ideal entry + 390 (6:30)]]/(1440)</f>
        <v>0.27083333333333331</v>
      </c>
      <c r="AA181" s="18"/>
      <c r="AB181" s="18" t="e">
        <f>IF(Table13[[#This Row],[HOD AFTER PM HI]]&gt;=Table13[[#This Row],[PM Hi]],((Table13[[#This Row],[HOD AFTER PM HI]]-Table13[[#This Row],[Prior day close]])/Table13[[#This Row],[Prior day close]]),Table13[[#This Row],[Prior Close to PM Hi %]])</f>
        <v>#DIV/0!</v>
      </c>
      <c r="AC181" s="42" t="e">
        <f>(Table13[[#This Row],[Price at hi of squeeze]]-Table13[[#This Row],[MKT Open Price]])/Table13[[#This Row],[MKT Open Price]]</f>
        <v>#DIV/0!</v>
      </c>
      <c r="AD181" s="18" t="e">
        <f>(Table13[[#This Row],[Price at hi of squeeze]]-Table13[[#This Row],[PM Hi]])/Table13[[#This Row],[PM Hi]]</f>
        <v>#DIV/0!</v>
      </c>
      <c r="AE181" s="18"/>
      <c r="AF181" s="20" t="e">
        <f>Table13[[#This Row],[PM VOL]]/1000000/Table13[[#This Row],[FLOAT(M)]]</f>
        <v>#DIV/0!</v>
      </c>
      <c r="AG181" s="23" t="e">
        <f>(Table13[[#This Row],[Volume]]/1000000)/Table13[[#This Row],[FLOAT(M)]]</f>
        <v>#DIV/0!</v>
      </c>
      <c r="AI181" s="18" t="e">
        <f>(Table13[[#This Row],[PM Hi]]-Table13[[#This Row],[MKT Open Price]])/(Table13[[#This Row],[PM Hi]])</f>
        <v>#DIV/0!</v>
      </c>
      <c r="AJ181" s="18" t="e">
        <f>IF(Table13[[#This Row],[PM LO]]&gt;Table13[[#This Row],[Prior day close]],(Table13[[#This Row],[PM Hi]]-Table13[[#This Row],[MKT Open Price]])/(Table13[[#This Row],[PM Hi]]-Table13[[#This Row],[Prior day close]]),(Table13[[#This Row],[PM Hi]]-Table13[[#This Row],[MKT Open Price]])/(Table13[[#This Row],[PM Hi]]-Table13[[#This Row],[PM LO]]))</f>
        <v>#DIV/0!</v>
      </c>
      <c r="AK181" s="48" t="e">
        <f>IF(Table13[[#This Row],[Prior day close]]&lt;Table13[[#This Row],[PM LO]],(I181-K181)/(I181-Table13[[#This Row],[Prior day close]]),(I181-K181)/(I181-Table13[[#This Row],[PM LO]]))</f>
        <v>#DIV/0!</v>
      </c>
      <c r="AL181" s="48">
        <f>Table13[[#This Row],[Spike % on open before drop]]+AM181</f>
        <v>0</v>
      </c>
      <c r="AM181" s="18"/>
      <c r="AN181" s="16"/>
      <c r="AO181" s="48" t="e">
        <f>IF(Table13[[#This Row],[Prior day close]]&lt;=Table13[[#This Row],[PM LO]],IF($J181&gt;=$F181,($J181-$K181)/($J181-Table13[[#This Row],[Prior day close]]),(IF($H181&lt;=$K181,($F181-$H181)/($F181-Table13[[#This Row],[Prior day close]]),(Table13[[#This Row],[PM Hi]]-Table13[[#This Row],[Lowest lo from open to squeeze]])/(Table13[[#This Row],[PM Hi]]-Table13[[#This Row],[Prior day close]])))),IF($J181&gt;=$F181,($J181-$K181)/($J181-Table13[[#This Row],[PM LO]]),(IF($H181&lt;=$K181,($F181-$H181)/($F181-Table13[[#This Row],[PM LO]]),(Table13[[#This Row],[PM Hi]]-Table13[[#This Row],[Lowest lo from open to squeeze]])/(Table13[[#This Row],[PM Hi]]-Table13[[#This Row],[PM LO]])))))</f>
        <v>#DIV/0!</v>
      </c>
      <c r="AP181" s="18"/>
      <c r="AQ181" s="17">
        <f>390+Table13[[#This Row],[Time until ideal entry point (mins) from open]]</f>
        <v>390</v>
      </c>
      <c r="AR181" s="17">
        <f>Table13[[#This Row],[Time until ideal entry + 390 (6:30)]]+Table13[[#This Row],[Duration of frontside (mins)]]</f>
        <v>390</v>
      </c>
    </row>
    <row r="182" spans="1:44" hidden="1" x14ac:dyDescent="0.25">
      <c r="A182" s="24" t="s">
        <v>88</v>
      </c>
      <c r="B182" s="47">
        <v>44047</v>
      </c>
      <c r="C182" s="47" t="s">
        <v>143</v>
      </c>
      <c r="D182" s="12"/>
      <c r="E182" s="13"/>
      <c r="F182" s="12"/>
      <c r="G182" s="12"/>
      <c r="H182" s="12"/>
      <c r="I182" s="12"/>
      <c r="J182" s="12"/>
      <c r="K182" s="12"/>
      <c r="N182" s="13"/>
      <c r="P182" s="37"/>
      <c r="Q182" s="46"/>
      <c r="R182" s="37"/>
      <c r="S182" s="37"/>
      <c r="T182" s="37"/>
      <c r="U182" s="37"/>
      <c r="V182" s="38"/>
      <c r="W182" s="46"/>
      <c r="X182" s="37"/>
      <c r="Y182" s="46"/>
      <c r="Z182" s="41">
        <f>Table13[[#This Row],[Time until ideal entry + 390 (6:30)]]/(1440)</f>
        <v>0.27083333333333331</v>
      </c>
      <c r="AA182" s="18"/>
      <c r="AB182" s="18" t="e">
        <f>IF(Table13[[#This Row],[HOD AFTER PM HI]]&gt;=Table13[[#This Row],[PM Hi]],((Table13[[#This Row],[HOD AFTER PM HI]]-Table13[[#This Row],[Prior day close]])/Table13[[#This Row],[Prior day close]]),Table13[[#This Row],[Prior Close to PM Hi %]])</f>
        <v>#DIV/0!</v>
      </c>
      <c r="AC182" s="42" t="e">
        <f>(Table13[[#This Row],[Price at hi of squeeze]]-Table13[[#This Row],[MKT Open Price]])/Table13[[#This Row],[MKT Open Price]]</f>
        <v>#DIV/0!</v>
      </c>
      <c r="AD182" s="18" t="e">
        <f>(Table13[[#This Row],[Price at hi of squeeze]]-Table13[[#This Row],[PM Hi]])/Table13[[#This Row],[PM Hi]]</f>
        <v>#DIV/0!</v>
      </c>
      <c r="AE182" s="18"/>
      <c r="AF182" s="20" t="e">
        <f>Table13[[#This Row],[PM VOL]]/1000000/Table13[[#This Row],[FLOAT(M)]]</f>
        <v>#DIV/0!</v>
      </c>
      <c r="AG182" s="23" t="e">
        <f>(Table13[[#This Row],[Volume]]/1000000)/Table13[[#This Row],[FLOAT(M)]]</f>
        <v>#DIV/0!</v>
      </c>
      <c r="AI182" s="18" t="e">
        <f>(Table13[[#This Row],[PM Hi]]-Table13[[#This Row],[MKT Open Price]])/(Table13[[#This Row],[PM Hi]])</f>
        <v>#DIV/0!</v>
      </c>
      <c r="AJ182" s="18" t="e">
        <f>IF(Table13[[#This Row],[PM LO]]&gt;Table13[[#This Row],[Prior day close]],(Table13[[#This Row],[PM Hi]]-Table13[[#This Row],[MKT Open Price]])/(Table13[[#This Row],[PM Hi]]-Table13[[#This Row],[Prior day close]]),(Table13[[#This Row],[PM Hi]]-Table13[[#This Row],[MKT Open Price]])/(Table13[[#This Row],[PM Hi]]-Table13[[#This Row],[PM LO]]))</f>
        <v>#DIV/0!</v>
      </c>
      <c r="AK182" s="48" t="e">
        <f>IF(Table13[[#This Row],[Prior day close]]&lt;Table13[[#This Row],[PM LO]],(I182-K182)/(I182-Table13[[#This Row],[Prior day close]]),(I182-K182)/(I182-Table13[[#This Row],[PM LO]]))</f>
        <v>#DIV/0!</v>
      </c>
      <c r="AL182" s="48">
        <f>Table13[[#This Row],[Spike % on open before drop]]+AM182</f>
        <v>0</v>
      </c>
      <c r="AM182" s="18"/>
      <c r="AN182" s="16"/>
      <c r="AO182" s="48" t="e">
        <f>IF(Table13[[#This Row],[Prior day close]]&lt;=Table13[[#This Row],[PM LO]],IF($J182&gt;=$F182,($J182-$K182)/($J182-Table13[[#This Row],[Prior day close]]),(IF($H182&lt;=$K182,($F182-$H182)/($F182-Table13[[#This Row],[Prior day close]]),(Table13[[#This Row],[PM Hi]]-Table13[[#This Row],[Lowest lo from open to squeeze]])/(Table13[[#This Row],[PM Hi]]-Table13[[#This Row],[Prior day close]])))),IF($J182&gt;=$F182,($J182-$K182)/($J182-Table13[[#This Row],[PM LO]]),(IF($H182&lt;=$K182,($F182-$H182)/($F182-Table13[[#This Row],[PM LO]]),(Table13[[#This Row],[PM Hi]]-Table13[[#This Row],[Lowest lo from open to squeeze]])/(Table13[[#This Row],[PM Hi]]-Table13[[#This Row],[PM LO]])))))</f>
        <v>#DIV/0!</v>
      </c>
      <c r="AP182" s="18"/>
      <c r="AQ182" s="17">
        <f>390+Table13[[#This Row],[Time until ideal entry point (mins) from open]]</f>
        <v>390</v>
      </c>
      <c r="AR182" s="17">
        <f>Table13[[#This Row],[Time until ideal entry + 390 (6:30)]]+Table13[[#This Row],[Duration of frontside (mins)]]</f>
        <v>390</v>
      </c>
    </row>
    <row r="183" spans="1:44" hidden="1" x14ac:dyDescent="0.25">
      <c r="A183" s="24" t="s">
        <v>208</v>
      </c>
      <c r="B183" s="47">
        <v>44049</v>
      </c>
      <c r="C183" s="47" t="s">
        <v>71</v>
      </c>
      <c r="D183" s="12"/>
      <c r="E183" s="13"/>
      <c r="F183" s="12"/>
      <c r="G183" s="12"/>
      <c r="H183" s="12"/>
      <c r="I183" s="12"/>
      <c r="J183" s="12"/>
      <c r="K183" s="12"/>
      <c r="N183" s="13"/>
      <c r="P183" s="37"/>
      <c r="Q183" s="46"/>
      <c r="R183" s="37"/>
      <c r="S183" s="37"/>
      <c r="T183" s="37"/>
      <c r="U183" s="37"/>
      <c r="V183" s="38"/>
      <c r="W183" s="46"/>
      <c r="X183" s="37"/>
      <c r="Y183" s="46"/>
      <c r="Z183" s="41">
        <f>Table13[[#This Row],[Time until ideal entry + 390 (6:30)]]/(1440)</f>
        <v>0.27083333333333331</v>
      </c>
      <c r="AA183" s="18"/>
      <c r="AB183" s="18" t="e">
        <f>IF(Table13[[#This Row],[HOD AFTER PM HI]]&gt;=Table13[[#This Row],[PM Hi]],((Table13[[#This Row],[HOD AFTER PM HI]]-Table13[[#This Row],[Prior day close]])/Table13[[#This Row],[Prior day close]]),Table13[[#This Row],[Prior Close to PM Hi %]])</f>
        <v>#DIV/0!</v>
      </c>
      <c r="AC183" s="42" t="e">
        <f>(Table13[[#This Row],[Price at hi of squeeze]]-Table13[[#This Row],[MKT Open Price]])/Table13[[#This Row],[MKT Open Price]]</f>
        <v>#DIV/0!</v>
      </c>
      <c r="AD183" s="18" t="e">
        <f>(Table13[[#This Row],[Price at hi of squeeze]]-Table13[[#This Row],[PM Hi]])/Table13[[#This Row],[PM Hi]]</f>
        <v>#DIV/0!</v>
      </c>
      <c r="AE183" s="18"/>
      <c r="AF183" s="20" t="e">
        <f>Table13[[#This Row],[PM VOL]]/1000000/Table13[[#This Row],[FLOAT(M)]]</f>
        <v>#DIV/0!</v>
      </c>
      <c r="AG183" s="23" t="e">
        <f>(Table13[[#This Row],[Volume]]/1000000)/Table13[[#This Row],[FLOAT(M)]]</f>
        <v>#DIV/0!</v>
      </c>
      <c r="AI183" s="18" t="e">
        <f>(Table13[[#This Row],[PM Hi]]-Table13[[#This Row],[MKT Open Price]])/(Table13[[#This Row],[PM Hi]])</f>
        <v>#DIV/0!</v>
      </c>
      <c r="AJ183" s="18" t="e">
        <f>IF(Table13[[#This Row],[PM LO]]&gt;Table13[[#This Row],[Prior day close]],(Table13[[#This Row],[PM Hi]]-Table13[[#This Row],[MKT Open Price]])/(Table13[[#This Row],[PM Hi]]-Table13[[#This Row],[Prior day close]]),(Table13[[#This Row],[PM Hi]]-Table13[[#This Row],[MKT Open Price]])/(Table13[[#This Row],[PM Hi]]-Table13[[#This Row],[PM LO]]))</f>
        <v>#DIV/0!</v>
      </c>
      <c r="AK183" s="48" t="e">
        <f>IF(Table13[[#This Row],[Prior day close]]&lt;Table13[[#This Row],[PM LO]],(I183-K183)/(I183-Table13[[#This Row],[Prior day close]]),(I183-K183)/(I183-Table13[[#This Row],[PM LO]]))</f>
        <v>#DIV/0!</v>
      </c>
      <c r="AL183" s="48">
        <f>Table13[[#This Row],[Spike % on open before drop]]+AM183</f>
        <v>0</v>
      </c>
      <c r="AM183" s="18"/>
      <c r="AN183" s="16"/>
      <c r="AO183" s="48" t="e">
        <f>IF(Table13[[#This Row],[Prior day close]]&lt;=Table13[[#This Row],[PM LO]],IF($J183&gt;=$F183,($J183-$K183)/($J183-Table13[[#This Row],[Prior day close]]),(IF($H183&lt;=$K183,($F183-$H183)/($F183-Table13[[#This Row],[Prior day close]]),(Table13[[#This Row],[PM Hi]]-Table13[[#This Row],[Lowest lo from open to squeeze]])/(Table13[[#This Row],[PM Hi]]-Table13[[#This Row],[Prior day close]])))),IF($J183&gt;=$F183,($J183-$K183)/($J183-Table13[[#This Row],[PM LO]]),(IF($H183&lt;=$K183,($F183-$H183)/($F183-Table13[[#This Row],[PM LO]]),(Table13[[#This Row],[PM Hi]]-Table13[[#This Row],[Lowest lo from open to squeeze]])/(Table13[[#This Row],[PM Hi]]-Table13[[#This Row],[PM LO]])))))</f>
        <v>#DIV/0!</v>
      </c>
      <c r="AP183" s="18"/>
      <c r="AQ183" s="17">
        <f>390+Table13[[#This Row],[Time until ideal entry point (mins) from open]]</f>
        <v>390</v>
      </c>
      <c r="AR183" s="17">
        <f>Table13[[#This Row],[Time until ideal entry + 390 (6:30)]]+Table13[[#This Row],[Duration of frontside (mins)]]</f>
        <v>390</v>
      </c>
    </row>
    <row r="184" spans="1:44" hidden="1" x14ac:dyDescent="0.25">
      <c r="A184" s="24" t="s">
        <v>209</v>
      </c>
      <c r="B184" s="47">
        <v>44050</v>
      </c>
      <c r="C184" s="47" t="s">
        <v>71</v>
      </c>
      <c r="D184" s="12"/>
      <c r="E184" s="13"/>
      <c r="F184" s="12"/>
      <c r="G184" s="12"/>
      <c r="H184" s="12"/>
      <c r="I184" s="12"/>
      <c r="J184" s="12"/>
      <c r="K184" s="12"/>
      <c r="N184" s="13"/>
      <c r="P184" s="37"/>
      <c r="Q184" s="46"/>
      <c r="R184" s="37"/>
      <c r="S184" s="37"/>
      <c r="T184" s="37"/>
      <c r="U184" s="37"/>
      <c r="V184" s="38"/>
      <c r="W184" s="46"/>
      <c r="X184" s="37"/>
      <c r="Y184" s="46"/>
      <c r="Z184" s="41">
        <f>Table13[[#This Row],[Time until ideal entry + 390 (6:30)]]/(1440)</f>
        <v>0.27083333333333331</v>
      </c>
      <c r="AA184" s="18"/>
      <c r="AB184" s="18" t="e">
        <f>IF(Table13[[#This Row],[HOD AFTER PM HI]]&gt;=Table13[[#This Row],[PM Hi]],((Table13[[#This Row],[HOD AFTER PM HI]]-Table13[[#This Row],[Prior day close]])/Table13[[#This Row],[Prior day close]]),Table13[[#This Row],[Prior Close to PM Hi %]])</f>
        <v>#DIV/0!</v>
      </c>
      <c r="AC184" s="42" t="e">
        <f>(Table13[[#This Row],[Price at hi of squeeze]]-Table13[[#This Row],[MKT Open Price]])/Table13[[#This Row],[MKT Open Price]]</f>
        <v>#DIV/0!</v>
      </c>
      <c r="AD184" s="18" t="e">
        <f>(Table13[[#This Row],[Price at hi of squeeze]]-Table13[[#This Row],[PM Hi]])/Table13[[#This Row],[PM Hi]]</f>
        <v>#DIV/0!</v>
      </c>
      <c r="AE184" s="18"/>
      <c r="AF184" s="20" t="e">
        <f>Table13[[#This Row],[PM VOL]]/1000000/Table13[[#This Row],[FLOAT(M)]]</f>
        <v>#DIV/0!</v>
      </c>
      <c r="AG184" s="23" t="e">
        <f>(Table13[[#This Row],[Volume]]/1000000)/Table13[[#This Row],[FLOAT(M)]]</f>
        <v>#DIV/0!</v>
      </c>
      <c r="AI184" s="18" t="e">
        <f>(Table13[[#This Row],[PM Hi]]-Table13[[#This Row],[MKT Open Price]])/(Table13[[#This Row],[PM Hi]])</f>
        <v>#DIV/0!</v>
      </c>
      <c r="AJ184" s="18" t="e">
        <f>IF(Table13[[#This Row],[PM LO]]&gt;Table13[[#This Row],[Prior day close]],(Table13[[#This Row],[PM Hi]]-Table13[[#This Row],[MKT Open Price]])/(Table13[[#This Row],[PM Hi]]-Table13[[#This Row],[Prior day close]]),(Table13[[#This Row],[PM Hi]]-Table13[[#This Row],[MKT Open Price]])/(Table13[[#This Row],[PM Hi]]-Table13[[#This Row],[PM LO]]))</f>
        <v>#DIV/0!</v>
      </c>
      <c r="AK184" s="48" t="e">
        <f>IF(Table13[[#This Row],[Prior day close]]&lt;Table13[[#This Row],[PM LO]],(I184-K184)/(I184-Table13[[#This Row],[Prior day close]]),(I184-K184)/(I184-Table13[[#This Row],[PM LO]]))</f>
        <v>#DIV/0!</v>
      </c>
      <c r="AL184" s="48">
        <f>Table13[[#This Row],[Spike % on open before drop]]+AM184</f>
        <v>0</v>
      </c>
      <c r="AM184" s="18"/>
      <c r="AN184" s="16"/>
      <c r="AO184" s="48" t="e">
        <f>IF(Table13[[#This Row],[Prior day close]]&lt;=Table13[[#This Row],[PM LO]],IF($J184&gt;=$F184,($J184-$K184)/($J184-Table13[[#This Row],[Prior day close]]),(IF($H184&lt;=$K184,($F184-$H184)/($F184-Table13[[#This Row],[Prior day close]]),(Table13[[#This Row],[PM Hi]]-Table13[[#This Row],[Lowest lo from open to squeeze]])/(Table13[[#This Row],[PM Hi]]-Table13[[#This Row],[Prior day close]])))),IF($J184&gt;=$F184,($J184-$K184)/($J184-Table13[[#This Row],[PM LO]]),(IF($H184&lt;=$K184,($F184-$H184)/($F184-Table13[[#This Row],[PM LO]]),(Table13[[#This Row],[PM Hi]]-Table13[[#This Row],[Lowest lo from open to squeeze]])/(Table13[[#This Row],[PM Hi]]-Table13[[#This Row],[PM LO]])))))</f>
        <v>#DIV/0!</v>
      </c>
      <c r="AP184" s="18"/>
      <c r="AQ184" s="17">
        <f>390+Table13[[#This Row],[Time until ideal entry point (mins) from open]]</f>
        <v>390</v>
      </c>
      <c r="AR184" s="17">
        <f>Table13[[#This Row],[Time until ideal entry + 390 (6:30)]]+Table13[[#This Row],[Duration of frontside (mins)]]</f>
        <v>390</v>
      </c>
    </row>
    <row r="185" spans="1:44" hidden="1" x14ac:dyDescent="0.25">
      <c r="A185" s="24" t="s">
        <v>210</v>
      </c>
      <c r="B185" s="47">
        <v>44055</v>
      </c>
      <c r="C185" s="47" t="s">
        <v>71</v>
      </c>
      <c r="D185" s="12"/>
      <c r="E185" s="13"/>
      <c r="F185" s="12"/>
      <c r="G185" s="12"/>
      <c r="H185" s="12"/>
      <c r="I185" s="12"/>
      <c r="J185" s="12"/>
      <c r="K185" s="12"/>
      <c r="N185" s="13"/>
      <c r="P185" s="37"/>
      <c r="Q185" s="46"/>
      <c r="R185" s="37"/>
      <c r="S185" s="37"/>
      <c r="T185" s="37"/>
      <c r="U185" s="37"/>
      <c r="V185" s="38"/>
      <c r="W185" s="46"/>
      <c r="X185" s="37"/>
      <c r="Y185" s="46"/>
      <c r="Z185" s="41">
        <f>Table13[[#This Row],[Time until ideal entry + 390 (6:30)]]/(1440)</f>
        <v>0.27083333333333331</v>
      </c>
      <c r="AA185" s="18"/>
      <c r="AB185" s="18" t="e">
        <f>IF(Table13[[#This Row],[HOD AFTER PM HI]]&gt;=Table13[[#This Row],[PM Hi]],((Table13[[#This Row],[HOD AFTER PM HI]]-Table13[[#This Row],[Prior day close]])/Table13[[#This Row],[Prior day close]]),Table13[[#This Row],[Prior Close to PM Hi %]])</f>
        <v>#DIV/0!</v>
      </c>
      <c r="AC185" s="42" t="e">
        <f>(Table13[[#This Row],[Price at hi of squeeze]]-Table13[[#This Row],[MKT Open Price]])/Table13[[#This Row],[MKT Open Price]]</f>
        <v>#DIV/0!</v>
      </c>
      <c r="AD185" s="18" t="e">
        <f>(Table13[[#This Row],[Price at hi of squeeze]]-Table13[[#This Row],[PM Hi]])/Table13[[#This Row],[PM Hi]]</f>
        <v>#DIV/0!</v>
      </c>
      <c r="AE185" s="18"/>
      <c r="AF185" s="20" t="e">
        <f>Table13[[#This Row],[PM VOL]]/1000000/Table13[[#This Row],[FLOAT(M)]]</f>
        <v>#DIV/0!</v>
      </c>
      <c r="AG185" s="23" t="e">
        <f>(Table13[[#This Row],[Volume]]/1000000)/Table13[[#This Row],[FLOAT(M)]]</f>
        <v>#DIV/0!</v>
      </c>
      <c r="AI185" s="18" t="e">
        <f>(Table13[[#This Row],[PM Hi]]-Table13[[#This Row],[MKT Open Price]])/(Table13[[#This Row],[PM Hi]])</f>
        <v>#DIV/0!</v>
      </c>
      <c r="AJ185" s="18" t="e">
        <f>IF(Table13[[#This Row],[PM LO]]&gt;Table13[[#This Row],[Prior day close]],(Table13[[#This Row],[PM Hi]]-Table13[[#This Row],[MKT Open Price]])/(Table13[[#This Row],[PM Hi]]-Table13[[#This Row],[Prior day close]]),(Table13[[#This Row],[PM Hi]]-Table13[[#This Row],[MKT Open Price]])/(Table13[[#This Row],[PM Hi]]-Table13[[#This Row],[PM LO]]))</f>
        <v>#DIV/0!</v>
      </c>
      <c r="AK185" s="48" t="e">
        <f>IF(Table13[[#This Row],[Prior day close]]&lt;Table13[[#This Row],[PM LO]],(I185-K185)/(I185-Table13[[#This Row],[Prior day close]]),(I185-K185)/(I185-Table13[[#This Row],[PM LO]]))</f>
        <v>#DIV/0!</v>
      </c>
      <c r="AL185" s="48">
        <f>Table13[[#This Row],[Spike % on open before drop]]+AM185</f>
        <v>0</v>
      </c>
      <c r="AM185" s="18"/>
      <c r="AN185" s="16"/>
      <c r="AO185" s="48" t="e">
        <f>IF(Table13[[#This Row],[Prior day close]]&lt;=Table13[[#This Row],[PM LO]],IF($J185&gt;=$F185,($J185-$K185)/($J185-Table13[[#This Row],[Prior day close]]),(IF($H185&lt;=$K185,($F185-$H185)/($F185-Table13[[#This Row],[Prior day close]]),(Table13[[#This Row],[PM Hi]]-Table13[[#This Row],[Lowest lo from open to squeeze]])/(Table13[[#This Row],[PM Hi]]-Table13[[#This Row],[Prior day close]])))),IF($J185&gt;=$F185,($J185-$K185)/($J185-Table13[[#This Row],[PM LO]]),(IF($H185&lt;=$K185,($F185-$H185)/($F185-Table13[[#This Row],[PM LO]]),(Table13[[#This Row],[PM Hi]]-Table13[[#This Row],[Lowest lo from open to squeeze]])/(Table13[[#This Row],[PM Hi]]-Table13[[#This Row],[PM LO]])))))</f>
        <v>#DIV/0!</v>
      </c>
      <c r="AP185" s="18"/>
      <c r="AQ185" s="17">
        <f>390+Table13[[#This Row],[Time until ideal entry point (mins) from open]]</f>
        <v>390</v>
      </c>
      <c r="AR185" s="17">
        <f>Table13[[#This Row],[Time until ideal entry + 390 (6:30)]]+Table13[[#This Row],[Duration of frontside (mins)]]</f>
        <v>390</v>
      </c>
    </row>
    <row r="186" spans="1:44" hidden="1" x14ac:dyDescent="0.25">
      <c r="A186" s="24" t="s">
        <v>211</v>
      </c>
      <c r="B186" s="47">
        <v>44060</v>
      </c>
      <c r="C186" s="47" t="s">
        <v>143</v>
      </c>
      <c r="D186" s="12"/>
      <c r="E186" s="13"/>
      <c r="F186" s="12"/>
      <c r="G186" s="12"/>
      <c r="H186" s="12"/>
      <c r="I186" s="12"/>
      <c r="J186" s="12"/>
      <c r="K186" s="12"/>
      <c r="N186" s="13"/>
      <c r="P186" s="37"/>
      <c r="Q186" s="46"/>
      <c r="R186" s="37"/>
      <c r="S186" s="37"/>
      <c r="T186" s="37"/>
      <c r="U186" s="37"/>
      <c r="V186" s="38"/>
      <c r="W186" s="46"/>
      <c r="X186" s="37"/>
      <c r="Y186" s="46"/>
      <c r="Z186" s="41">
        <f>Table13[[#This Row],[Time until ideal entry + 390 (6:30)]]/(1440)</f>
        <v>0.27083333333333331</v>
      </c>
      <c r="AA186" s="18"/>
      <c r="AB186" s="18" t="e">
        <f>IF(Table13[[#This Row],[HOD AFTER PM HI]]&gt;=Table13[[#This Row],[PM Hi]],((Table13[[#This Row],[HOD AFTER PM HI]]-Table13[[#This Row],[Prior day close]])/Table13[[#This Row],[Prior day close]]),Table13[[#This Row],[Prior Close to PM Hi %]])</f>
        <v>#DIV/0!</v>
      </c>
      <c r="AC186" s="42" t="e">
        <f>(Table13[[#This Row],[Price at hi of squeeze]]-Table13[[#This Row],[MKT Open Price]])/Table13[[#This Row],[MKT Open Price]]</f>
        <v>#DIV/0!</v>
      </c>
      <c r="AD186" s="18" t="e">
        <f>(Table13[[#This Row],[Price at hi of squeeze]]-Table13[[#This Row],[PM Hi]])/Table13[[#This Row],[PM Hi]]</f>
        <v>#DIV/0!</v>
      </c>
      <c r="AE186" s="18"/>
      <c r="AF186" s="20" t="e">
        <f>Table13[[#This Row],[PM VOL]]/1000000/Table13[[#This Row],[FLOAT(M)]]</f>
        <v>#DIV/0!</v>
      </c>
      <c r="AG186" s="23" t="e">
        <f>(Table13[[#This Row],[Volume]]/1000000)/Table13[[#This Row],[FLOAT(M)]]</f>
        <v>#DIV/0!</v>
      </c>
      <c r="AI186" s="18" t="e">
        <f>(Table13[[#This Row],[PM Hi]]-Table13[[#This Row],[MKT Open Price]])/(Table13[[#This Row],[PM Hi]])</f>
        <v>#DIV/0!</v>
      </c>
      <c r="AJ186" s="18" t="e">
        <f>IF(Table13[[#This Row],[PM LO]]&gt;Table13[[#This Row],[Prior day close]],(Table13[[#This Row],[PM Hi]]-Table13[[#This Row],[MKT Open Price]])/(Table13[[#This Row],[PM Hi]]-Table13[[#This Row],[Prior day close]]),(Table13[[#This Row],[PM Hi]]-Table13[[#This Row],[MKT Open Price]])/(Table13[[#This Row],[PM Hi]]-Table13[[#This Row],[PM LO]]))</f>
        <v>#DIV/0!</v>
      </c>
      <c r="AK186" s="48" t="e">
        <f>IF(Table13[[#This Row],[Prior day close]]&lt;Table13[[#This Row],[PM LO]],(I186-K186)/(I186-Table13[[#This Row],[Prior day close]]),(I186-K186)/(I186-Table13[[#This Row],[PM LO]]))</f>
        <v>#DIV/0!</v>
      </c>
      <c r="AL186" s="48">
        <f>Table13[[#This Row],[Spike % on open before drop]]+AM186</f>
        <v>0</v>
      </c>
      <c r="AM186" s="18"/>
      <c r="AN186" s="16"/>
      <c r="AO186" s="48" t="e">
        <f>IF(Table13[[#This Row],[Prior day close]]&lt;=Table13[[#This Row],[PM LO]],IF($J186&gt;=$F186,($J186-$K186)/($J186-Table13[[#This Row],[Prior day close]]),(IF($H186&lt;=$K186,($F186-$H186)/($F186-Table13[[#This Row],[Prior day close]]),(Table13[[#This Row],[PM Hi]]-Table13[[#This Row],[Lowest lo from open to squeeze]])/(Table13[[#This Row],[PM Hi]]-Table13[[#This Row],[Prior day close]])))),IF($J186&gt;=$F186,($J186-$K186)/($J186-Table13[[#This Row],[PM LO]]),(IF($H186&lt;=$K186,($F186-$H186)/($F186-Table13[[#This Row],[PM LO]]),(Table13[[#This Row],[PM Hi]]-Table13[[#This Row],[Lowest lo from open to squeeze]])/(Table13[[#This Row],[PM Hi]]-Table13[[#This Row],[PM LO]])))))</f>
        <v>#DIV/0!</v>
      </c>
      <c r="AP186" s="18"/>
      <c r="AQ186" s="17">
        <f>390+Table13[[#This Row],[Time until ideal entry point (mins) from open]]</f>
        <v>390</v>
      </c>
      <c r="AR186" s="17">
        <f>Table13[[#This Row],[Time until ideal entry + 390 (6:30)]]+Table13[[#This Row],[Duration of frontside (mins)]]</f>
        <v>390</v>
      </c>
    </row>
    <row r="187" spans="1:44" hidden="1" x14ac:dyDescent="0.25">
      <c r="A187" s="24" t="s">
        <v>212</v>
      </c>
      <c r="B187" s="47">
        <v>44062</v>
      </c>
      <c r="C187" s="47" t="s">
        <v>71</v>
      </c>
      <c r="D187" s="12"/>
      <c r="E187" s="13"/>
      <c r="F187" s="12"/>
      <c r="G187" s="12"/>
      <c r="H187" s="12"/>
      <c r="I187" s="12"/>
      <c r="J187" s="12"/>
      <c r="K187" s="12"/>
      <c r="N187" s="13"/>
      <c r="P187" s="37"/>
      <c r="Q187" s="46"/>
      <c r="R187" s="37"/>
      <c r="S187" s="37"/>
      <c r="T187" s="37"/>
      <c r="U187" s="37"/>
      <c r="V187" s="38"/>
      <c r="W187" s="46"/>
      <c r="X187" s="37"/>
      <c r="Y187" s="46"/>
      <c r="Z187" s="41">
        <f>Table13[[#This Row],[Time until ideal entry + 390 (6:30)]]/(1440)</f>
        <v>0.27083333333333331</v>
      </c>
      <c r="AA187" s="18"/>
      <c r="AB187" s="18" t="e">
        <f>IF(Table13[[#This Row],[HOD AFTER PM HI]]&gt;=Table13[[#This Row],[PM Hi]],((Table13[[#This Row],[HOD AFTER PM HI]]-Table13[[#This Row],[Prior day close]])/Table13[[#This Row],[Prior day close]]),Table13[[#This Row],[Prior Close to PM Hi %]])</f>
        <v>#DIV/0!</v>
      </c>
      <c r="AC187" s="42" t="e">
        <f>(Table13[[#This Row],[Price at hi of squeeze]]-Table13[[#This Row],[MKT Open Price]])/Table13[[#This Row],[MKT Open Price]]</f>
        <v>#DIV/0!</v>
      </c>
      <c r="AD187" s="18" t="e">
        <f>(Table13[[#This Row],[Price at hi of squeeze]]-Table13[[#This Row],[PM Hi]])/Table13[[#This Row],[PM Hi]]</f>
        <v>#DIV/0!</v>
      </c>
      <c r="AE187" s="18"/>
      <c r="AF187" s="20" t="e">
        <f>Table13[[#This Row],[PM VOL]]/1000000/Table13[[#This Row],[FLOAT(M)]]</f>
        <v>#DIV/0!</v>
      </c>
      <c r="AG187" s="23" t="e">
        <f>(Table13[[#This Row],[Volume]]/1000000)/Table13[[#This Row],[FLOAT(M)]]</f>
        <v>#DIV/0!</v>
      </c>
      <c r="AI187" s="18" t="e">
        <f>(Table13[[#This Row],[PM Hi]]-Table13[[#This Row],[MKT Open Price]])/(Table13[[#This Row],[PM Hi]])</f>
        <v>#DIV/0!</v>
      </c>
      <c r="AJ187" s="18" t="e">
        <f>IF(Table13[[#This Row],[PM LO]]&gt;Table13[[#This Row],[Prior day close]],(Table13[[#This Row],[PM Hi]]-Table13[[#This Row],[MKT Open Price]])/(Table13[[#This Row],[PM Hi]]-Table13[[#This Row],[Prior day close]]),(Table13[[#This Row],[PM Hi]]-Table13[[#This Row],[MKT Open Price]])/(Table13[[#This Row],[PM Hi]]-Table13[[#This Row],[PM LO]]))</f>
        <v>#DIV/0!</v>
      </c>
      <c r="AK187" s="48" t="e">
        <f>IF(Table13[[#This Row],[Prior day close]]&lt;Table13[[#This Row],[PM LO]],(I187-K187)/(I187-Table13[[#This Row],[Prior day close]]),(I187-K187)/(I187-Table13[[#This Row],[PM LO]]))</f>
        <v>#DIV/0!</v>
      </c>
      <c r="AL187" s="48">
        <f>Table13[[#This Row],[Spike % on open before drop]]+AM187</f>
        <v>0</v>
      </c>
      <c r="AM187" s="18"/>
      <c r="AN187" s="16"/>
      <c r="AO187" s="48" t="e">
        <f>IF(Table13[[#This Row],[Prior day close]]&lt;=Table13[[#This Row],[PM LO]],IF($J187&gt;=$F187,($J187-$K187)/($J187-Table13[[#This Row],[Prior day close]]),(IF($H187&lt;=$K187,($F187-$H187)/($F187-Table13[[#This Row],[Prior day close]]),(Table13[[#This Row],[PM Hi]]-Table13[[#This Row],[Lowest lo from open to squeeze]])/(Table13[[#This Row],[PM Hi]]-Table13[[#This Row],[Prior day close]])))),IF($J187&gt;=$F187,($J187-$K187)/($J187-Table13[[#This Row],[PM LO]]),(IF($H187&lt;=$K187,($F187-$H187)/($F187-Table13[[#This Row],[PM LO]]),(Table13[[#This Row],[PM Hi]]-Table13[[#This Row],[Lowest lo from open to squeeze]])/(Table13[[#This Row],[PM Hi]]-Table13[[#This Row],[PM LO]])))))</f>
        <v>#DIV/0!</v>
      </c>
      <c r="AP187" s="18"/>
      <c r="AQ187" s="17">
        <f>390+Table13[[#This Row],[Time until ideal entry point (mins) from open]]</f>
        <v>390</v>
      </c>
      <c r="AR187" s="17">
        <f>Table13[[#This Row],[Time until ideal entry + 390 (6:30)]]+Table13[[#This Row],[Duration of frontside (mins)]]</f>
        <v>390</v>
      </c>
    </row>
    <row r="188" spans="1:44" hidden="1" x14ac:dyDescent="0.25">
      <c r="A188" s="24" t="s">
        <v>213</v>
      </c>
      <c r="B188" s="47">
        <v>44063</v>
      </c>
      <c r="C188" s="47" t="s">
        <v>71</v>
      </c>
      <c r="D188" s="12"/>
      <c r="E188" s="13"/>
      <c r="F188" s="12"/>
      <c r="G188" s="12"/>
      <c r="H188" s="12"/>
      <c r="I188" s="12"/>
      <c r="J188" s="12"/>
      <c r="K188" s="12"/>
      <c r="N188" s="13"/>
      <c r="P188" s="37"/>
      <c r="Q188" s="46"/>
      <c r="R188" s="37"/>
      <c r="S188" s="37"/>
      <c r="T188" s="37"/>
      <c r="U188" s="37"/>
      <c r="V188" s="38"/>
      <c r="W188" s="46"/>
      <c r="X188" s="37"/>
      <c r="Y188" s="46"/>
      <c r="Z188" s="41">
        <f>Table13[[#This Row],[Time until ideal entry + 390 (6:30)]]/(1440)</f>
        <v>0.27083333333333331</v>
      </c>
      <c r="AA188" s="18"/>
      <c r="AB188" s="18" t="e">
        <f>IF(Table13[[#This Row],[HOD AFTER PM HI]]&gt;=Table13[[#This Row],[PM Hi]],((Table13[[#This Row],[HOD AFTER PM HI]]-Table13[[#This Row],[Prior day close]])/Table13[[#This Row],[Prior day close]]),Table13[[#This Row],[Prior Close to PM Hi %]])</f>
        <v>#DIV/0!</v>
      </c>
      <c r="AC188" s="42" t="e">
        <f>(Table13[[#This Row],[Price at hi of squeeze]]-Table13[[#This Row],[MKT Open Price]])/Table13[[#This Row],[MKT Open Price]]</f>
        <v>#DIV/0!</v>
      </c>
      <c r="AD188" s="18" t="e">
        <f>(Table13[[#This Row],[Price at hi of squeeze]]-Table13[[#This Row],[PM Hi]])/Table13[[#This Row],[PM Hi]]</f>
        <v>#DIV/0!</v>
      </c>
      <c r="AE188" s="18"/>
      <c r="AF188" s="20" t="e">
        <f>Table13[[#This Row],[PM VOL]]/1000000/Table13[[#This Row],[FLOAT(M)]]</f>
        <v>#DIV/0!</v>
      </c>
      <c r="AG188" s="23" t="e">
        <f>(Table13[[#This Row],[Volume]]/1000000)/Table13[[#This Row],[FLOAT(M)]]</f>
        <v>#DIV/0!</v>
      </c>
      <c r="AI188" s="18" t="e">
        <f>(Table13[[#This Row],[PM Hi]]-Table13[[#This Row],[MKT Open Price]])/(Table13[[#This Row],[PM Hi]])</f>
        <v>#DIV/0!</v>
      </c>
      <c r="AJ188" s="18" t="e">
        <f>IF(Table13[[#This Row],[PM LO]]&gt;Table13[[#This Row],[Prior day close]],(Table13[[#This Row],[PM Hi]]-Table13[[#This Row],[MKT Open Price]])/(Table13[[#This Row],[PM Hi]]-Table13[[#This Row],[Prior day close]]),(Table13[[#This Row],[PM Hi]]-Table13[[#This Row],[MKT Open Price]])/(Table13[[#This Row],[PM Hi]]-Table13[[#This Row],[PM LO]]))</f>
        <v>#DIV/0!</v>
      </c>
      <c r="AK188" s="48" t="e">
        <f>IF(Table13[[#This Row],[Prior day close]]&lt;Table13[[#This Row],[PM LO]],(I188-K188)/(I188-Table13[[#This Row],[Prior day close]]),(I188-K188)/(I188-Table13[[#This Row],[PM LO]]))</f>
        <v>#DIV/0!</v>
      </c>
      <c r="AL188" s="48">
        <f>Table13[[#This Row],[Spike % on open before drop]]+AM188</f>
        <v>0</v>
      </c>
      <c r="AM188" s="18"/>
      <c r="AN188" s="16"/>
      <c r="AO188" s="48" t="e">
        <f>IF(Table13[[#This Row],[Prior day close]]&lt;=Table13[[#This Row],[PM LO]],IF($J188&gt;=$F188,($J188-$K188)/($J188-Table13[[#This Row],[Prior day close]]),(IF($H188&lt;=$K188,($F188-$H188)/($F188-Table13[[#This Row],[Prior day close]]),(Table13[[#This Row],[PM Hi]]-Table13[[#This Row],[Lowest lo from open to squeeze]])/(Table13[[#This Row],[PM Hi]]-Table13[[#This Row],[Prior day close]])))),IF($J188&gt;=$F188,($J188-$K188)/($J188-Table13[[#This Row],[PM LO]]),(IF($H188&lt;=$K188,($F188-$H188)/($F188-Table13[[#This Row],[PM LO]]),(Table13[[#This Row],[PM Hi]]-Table13[[#This Row],[Lowest lo from open to squeeze]])/(Table13[[#This Row],[PM Hi]]-Table13[[#This Row],[PM LO]])))))</f>
        <v>#DIV/0!</v>
      </c>
      <c r="AP188" s="18"/>
      <c r="AQ188" s="17">
        <f>390+Table13[[#This Row],[Time until ideal entry point (mins) from open]]</f>
        <v>390</v>
      </c>
      <c r="AR188" s="17">
        <f>Table13[[#This Row],[Time until ideal entry + 390 (6:30)]]+Table13[[#This Row],[Duration of frontside (mins)]]</f>
        <v>390</v>
      </c>
    </row>
    <row r="189" spans="1:44" hidden="1" x14ac:dyDescent="0.25">
      <c r="A189" s="24" t="s">
        <v>214</v>
      </c>
      <c r="B189" s="47">
        <v>44069</v>
      </c>
      <c r="C189" s="47" t="s">
        <v>143</v>
      </c>
      <c r="D189" s="12"/>
      <c r="E189" s="13"/>
      <c r="F189" s="12"/>
      <c r="G189" s="12"/>
      <c r="H189" s="12"/>
      <c r="I189" s="12"/>
      <c r="J189" s="12"/>
      <c r="K189" s="12"/>
      <c r="N189" s="13"/>
      <c r="P189" s="37"/>
      <c r="Q189" s="46"/>
      <c r="R189" s="37"/>
      <c r="S189" s="37"/>
      <c r="T189" s="37"/>
      <c r="U189" s="37"/>
      <c r="V189" s="38"/>
      <c r="W189" s="46"/>
      <c r="X189" s="37"/>
      <c r="Y189" s="46"/>
      <c r="Z189" s="41">
        <f>Table13[[#This Row],[Time until ideal entry + 390 (6:30)]]/(1440)</f>
        <v>0.27083333333333331</v>
      </c>
      <c r="AA189" s="18"/>
      <c r="AB189" s="18" t="e">
        <f>IF(Table13[[#This Row],[HOD AFTER PM HI]]&gt;=Table13[[#This Row],[PM Hi]],((Table13[[#This Row],[HOD AFTER PM HI]]-Table13[[#This Row],[Prior day close]])/Table13[[#This Row],[Prior day close]]),Table13[[#This Row],[Prior Close to PM Hi %]])</f>
        <v>#DIV/0!</v>
      </c>
      <c r="AC189" s="42" t="e">
        <f>(Table13[[#This Row],[Price at hi of squeeze]]-Table13[[#This Row],[MKT Open Price]])/Table13[[#This Row],[MKT Open Price]]</f>
        <v>#DIV/0!</v>
      </c>
      <c r="AD189" s="18" t="e">
        <f>(Table13[[#This Row],[Price at hi of squeeze]]-Table13[[#This Row],[PM Hi]])/Table13[[#This Row],[PM Hi]]</f>
        <v>#DIV/0!</v>
      </c>
      <c r="AE189" s="18"/>
      <c r="AF189" s="20" t="e">
        <f>Table13[[#This Row],[PM VOL]]/1000000/Table13[[#This Row],[FLOAT(M)]]</f>
        <v>#DIV/0!</v>
      </c>
      <c r="AG189" s="23" t="e">
        <f>(Table13[[#This Row],[Volume]]/1000000)/Table13[[#This Row],[FLOAT(M)]]</f>
        <v>#DIV/0!</v>
      </c>
      <c r="AI189" s="18" t="e">
        <f>(Table13[[#This Row],[PM Hi]]-Table13[[#This Row],[MKT Open Price]])/(Table13[[#This Row],[PM Hi]])</f>
        <v>#DIV/0!</v>
      </c>
      <c r="AJ189" s="18" t="e">
        <f>IF(Table13[[#This Row],[PM LO]]&gt;Table13[[#This Row],[Prior day close]],(Table13[[#This Row],[PM Hi]]-Table13[[#This Row],[MKT Open Price]])/(Table13[[#This Row],[PM Hi]]-Table13[[#This Row],[Prior day close]]),(Table13[[#This Row],[PM Hi]]-Table13[[#This Row],[MKT Open Price]])/(Table13[[#This Row],[PM Hi]]-Table13[[#This Row],[PM LO]]))</f>
        <v>#DIV/0!</v>
      </c>
      <c r="AK189" s="48" t="e">
        <f>IF(Table13[[#This Row],[Prior day close]]&lt;Table13[[#This Row],[PM LO]],(I189-K189)/(I189-Table13[[#This Row],[Prior day close]]),(I189-K189)/(I189-Table13[[#This Row],[PM LO]]))</f>
        <v>#DIV/0!</v>
      </c>
      <c r="AL189" s="48">
        <f>Table13[[#This Row],[Spike % on open before drop]]+AM189</f>
        <v>0</v>
      </c>
      <c r="AM189" s="18"/>
      <c r="AN189" s="16"/>
      <c r="AO189" s="48" t="e">
        <f>IF(Table13[[#This Row],[Prior day close]]&lt;=Table13[[#This Row],[PM LO]],IF($J189&gt;=$F189,($J189-$K189)/($J189-Table13[[#This Row],[Prior day close]]),(IF($H189&lt;=$K189,($F189-$H189)/($F189-Table13[[#This Row],[Prior day close]]),(Table13[[#This Row],[PM Hi]]-Table13[[#This Row],[Lowest lo from open to squeeze]])/(Table13[[#This Row],[PM Hi]]-Table13[[#This Row],[Prior day close]])))),IF($J189&gt;=$F189,($J189-$K189)/($J189-Table13[[#This Row],[PM LO]]),(IF($H189&lt;=$K189,($F189-$H189)/($F189-Table13[[#This Row],[PM LO]]),(Table13[[#This Row],[PM Hi]]-Table13[[#This Row],[Lowest lo from open to squeeze]])/(Table13[[#This Row],[PM Hi]]-Table13[[#This Row],[PM LO]])))))</f>
        <v>#DIV/0!</v>
      </c>
      <c r="AP189" s="18"/>
      <c r="AQ189" s="17">
        <f>390+Table13[[#This Row],[Time until ideal entry point (mins) from open]]</f>
        <v>390</v>
      </c>
      <c r="AR189" s="17">
        <f>Table13[[#This Row],[Time until ideal entry + 390 (6:30)]]+Table13[[#This Row],[Duration of frontside (mins)]]</f>
        <v>390</v>
      </c>
    </row>
    <row r="190" spans="1:44" hidden="1" x14ac:dyDescent="0.25">
      <c r="A190" s="24" t="s">
        <v>215</v>
      </c>
      <c r="B190" s="47">
        <v>44070</v>
      </c>
      <c r="C190" s="47" t="s">
        <v>143</v>
      </c>
      <c r="D190" s="12"/>
      <c r="E190" s="13"/>
      <c r="F190" s="12"/>
      <c r="G190" s="12"/>
      <c r="H190" s="12"/>
      <c r="I190" s="12"/>
      <c r="J190" s="12"/>
      <c r="K190" s="12"/>
      <c r="N190" s="13"/>
      <c r="P190" s="37"/>
      <c r="Q190" s="46"/>
      <c r="R190" s="37"/>
      <c r="S190" s="37"/>
      <c r="T190" s="37"/>
      <c r="U190" s="37"/>
      <c r="V190" s="38"/>
      <c r="W190" s="46"/>
      <c r="X190" s="37"/>
      <c r="Y190" s="46"/>
      <c r="Z190" s="41">
        <f>Table13[[#This Row],[Time until ideal entry + 390 (6:30)]]/(1440)</f>
        <v>0.27083333333333331</v>
      </c>
      <c r="AA190" s="18"/>
      <c r="AB190" s="18" t="e">
        <f>IF(Table13[[#This Row],[HOD AFTER PM HI]]&gt;=Table13[[#This Row],[PM Hi]],((Table13[[#This Row],[HOD AFTER PM HI]]-Table13[[#This Row],[Prior day close]])/Table13[[#This Row],[Prior day close]]),Table13[[#This Row],[Prior Close to PM Hi %]])</f>
        <v>#DIV/0!</v>
      </c>
      <c r="AC190" s="42" t="e">
        <f>(Table13[[#This Row],[Price at hi of squeeze]]-Table13[[#This Row],[MKT Open Price]])/Table13[[#This Row],[MKT Open Price]]</f>
        <v>#DIV/0!</v>
      </c>
      <c r="AD190" s="18" t="e">
        <f>(Table13[[#This Row],[Price at hi of squeeze]]-Table13[[#This Row],[PM Hi]])/Table13[[#This Row],[PM Hi]]</f>
        <v>#DIV/0!</v>
      </c>
      <c r="AE190" s="18"/>
      <c r="AF190" s="20" t="e">
        <f>Table13[[#This Row],[PM VOL]]/1000000/Table13[[#This Row],[FLOAT(M)]]</f>
        <v>#DIV/0!</v>
      </c>
      <c r="AG190" s="23" t="e">
        <f>(Table13[[#This Row],[Volume]]/1000000)/Table13[[#This Row],[FLOAT(M)]]</f>
        <v>#DIV/0!</v>
      </c>
      <c r="AI190" s="18" t="e">
        <f>(Table13[[#This Row],[PM Hi]]-Table13[[#This Row],[MKT Open Price]])/(Table13[[#This Row],[PM Hi]])</f>
        <v>#DIV/0!</v>
      </c>
      <c r="AJ190" s="18" t="e">
        <f>IF(Table13[[#This Row],[PM LO]]&gt;Table13[[#This Row],[Prior day close]],(Table13[[#This Row],[PM Hi]]-Table13[[#This Row],[MKT Open Price]])/(Table13[[#This Row],[PM Hi]]-Table13[[#This Row],[Prior day close]]),(Table13[[#This Row],[PM Hi]]-Table13[[#This Row],[MKT Open Price]])/(Table13[[#This Row],[PM Hi]]-Table13[[#This Row],[PM LO]]))</f>
        <v>#DIV/0!</v>
      </c>
      <c r="AK190" s="48" t="e">
        <f>IF(Table13[[#This Row],[Prior day close]]&lt;Table13[[#This Row],[PM LO]],(I190-K190)/(I190-Table13[[#This Row],[Prior day close]]),(I190-K190)/(I190-Table13[[#This Row],[PM LO]]))</f>
        <v>#DIV/0!</v>
      </c>
      <c r="AL190" s="48">
        <f>Table13[[#This Row],[Spike % on open before drop]]+AM190</f>
        <v>0</v>
      </c>
      <c r="AM190" s="18"/>
      <c r="AN190" s="16"/>
      <c r="AO190" s="48" t="e">
        <f>IF(Table13[[#This Row],[Prior day close]]&lt;=Table13[[#This Row],[PM LO]],IF($J190&gt;=$F190,($J190-$K190)/($J190-Table13[[#This Row],[Prior day close]]),(IF($H190&lt;=$K190,($F190-$H190)/($F190-Table13[[#This Row],[Prior day close]]),(Table13[[#This Row],[PM Hi]]-Table13[[#This Row],[Lowest lo from open to squeeze]])/(Table13[[#This Row],[PM Hi]]-Table13[[#This Row],[Prior day close]])))),IF($J190&gt;=$F190,($J190-$K190)/($J190-Table13[[#This Row],[PM LO]]),(IF($H190&lt;=$K190,($F190-$H190)/($F190-Table13[[#This Row],[PM LO]]),(Table13[[#This Row],[PM Hi]]-Table13[[#This Row],[Lowest lo from open to squeeze]])/(Table13[[#This Row],[PM Hi]]-Table13[[#This Row],[PM LO]])))))</f>
        <v>#DIV/0!</v>
      </c>
      <c r="AP190" s="18"/>
      <c r="AQ190" s="17">
        <f>390+Table13[[#This Row],[Time until ideal entry point (mins) from open]]</f>
        <v>390</v>
      </c>
      <c r="AR190" s="17">
        <f>Table13[[#This Row],[Time until ideal entry + 390 (6:30)]]+Table13[[#This Row],[Duration of frontside (mins)]]</f>
        <v>390</v>
      </c>
    </row>
    <row r="191" spans="1:44" hidden="1" x14ac:dyDescent="0.25">
      <c r="A191" s="24" t="s">
        <v>216</v>
      </c>
      <c r="B191" s="47">
        <v>44071</v>
      </c>
      <c r="C191" s="47" t="s">
        <v>143</v>
      </c>
      <c r="D191" s="12"/>
      <c r="E191" s="13"/>
      <c r="F191" s="12"/>
      <c r="G191" s="12"/>
      <c r="H191" s="12"/>
      <c r="I191" s="12"/>
      <c r="J191" s="12"/>
      <c r="K191" s="12"/>
      <c r="N191" s="13"/>
      <c r="P191" s="37"/>
      <c r="Q191" s="46"/>
      <c r="R191" s="37"/>
      <c r="S191" s="37"/>
      <c r="T191" s="37"/>
      <c r="U191" s="37"/>
      <c r="V191" s="38"/>
      <c r="W191" s="46"/>
      <c r="X191" s="37"/>
      <c r="Y191" s="46"/>
      <c r="Z191" s="41">
        <f>Table13[[#This Row],[Time until ideal entry + 390 (6:30)]]/(1440)</f>
        <v>0.27083333333333331</v>
      </c>
      <c r="AA191" s="18"/>
      <c r="AB191" s="18" t="e">
        <f>IF(Table13[[#This Row],[HOD AFTER PM HI]]&gt;=Table13[[#This Row],[PM Hi]],((Table13[[#This Row],[HOD AFTER PM HI]]-Table13[[#This Row],[Prior day close]])/Table13[[#This Row],[Prior day close]]),Table13[[#This Row],[Prior Close to PM Hi %]])</f>
        <v>#DIV/0!</v>
      </c>
      <c r="AC191" s="42" t="e">
        <f>(Table13[[#This Row],[Price at hi of squeeze]]-Table13[[#This Row],[MKT Open Price]])/Table13[[#This Row],[MKT Open Price]]</f>
        <v>#DIV/0!</v>
      </c>
      <c r="AD191" s="18" t="e">
        <f>(Table13[[#This Row],[Price at hi of squeeze]]-Table13[[#This Row],[PM Hi]])/Table13[[#This Row],[PM Hi]]</f>
        <v>#DIV/0!</v>
      </c>
      <c r="AE191" s="18"/>
      <c r="AF191" s="20" t="e">
        <f>Table13[[#This Row],[PM VOL]]/1000000/Table13[[#This Row],[FLOAT(M)]]</f>
        <v>#DIV/0!</v>
      </c>
      <c r="AG191" s="23" t="e">
        <f>(Table13[[#This Row],[Volume]]/1000000)/Table13[[#This Row],[FLOAT(M)]]</f>
        <v>#DIV/0!</v>
      </c>
      <c r="AI191" s="18" t="e">
        <f>(Table13[[#This Row],[PM Hi]]-Table13[[#This Row],[MKT Open Price]])/(Table13[[#This Row],[PM Hi]])</f>
        <v>#DIV/0!</v>
      </c>
      <c r="AJ191" s="18" t="e">
        <f>IF(Table13[[#This Row],[PM LO]]&gt;Table13[[#This Row],[Prior day close]],(Table13[[#This Row],[PM Hi]]-Table13[[#This Row],[MKT Open Price]])/(Table13[[#This Row],[PM Hi]]-Table13[[#This Row],[Prior day close]]),(Table13[[#This Row],[PM Hi]]-Table13[[#This Row],[MKT Open Price]])/(Table13[[#This Row],[PM Hi]]-Table13[[#This Row],[PM LO]]))</f>
        <v>#DIV/0!</v>
      </c>
      <c r="AK191" s="48" t="e">
        <f>IF(Table13[[#This Row],[Prior day close]]&lt;Table13[[#This Row],[PM LO]],(I191-K191)/(I191-Table13[[#This Row],[Prior day close]]),(I191-K191)/(I191-Table13[[#This Row],[PM LO]]))</f>
        <v>#DIV/0!</v>
      </c>
      <c r="AL191" s="48">
        <f>Table13[[#This Row],[Spike % on open before drop]]+AM191</f>
        <v>0</v>
      </c>
      <c r="AM191" s="18"/>
      <c r="AN191" s="16"/>
      <c r="AO191" s="48" t="e">
        <f>IF(Table13[[#This Row],[Prior day close]]&lt;=Table13[[#This Row],[PM LO]],IF($J191&gt;=$F191,($J191-$K191)/($J191-Table13[[#This Row],[Prior day close]]),(IF($H191&lt;=$K191,($F191-$H191)/($F191-Table13[[#This Row],[Prior day close]]),(Table13[[#This Row],[PM Hi]]-Table13[[#This Row],[Lowest lo from open to squeeze]])/(Table13[[#This Row],[PM Hi]]-Table13[[#This Row],[Prior day close]])))),IF($J191&gt;=$F191,($J191-$K191)/($J191-Table13[[#This Row],[PM LO]]),(IF($H191&lt;=$K191,($F191-$H191)/($F191-Table13[[#This Row],[PM LO]]),(Table13[[#This Row],[PM Hi]]-Table13[[#This Row],[Lowest lo from open to squeeze]])/(Table13[[#This Row],[PM Hi]]-Table13[[#This Row],[PM LO]])))))</f>
        <v>#DIV/0!</v>
      </c>
      <c r="AP191" s="18"/>
      <c r="AQ191" s="17">
        <f>390+Table13[[#This Row],[Time until ideal entry point (mins) from open]]</f>
        <v>390</v>
      </c>
      <c r="AR191" s="17">
        <f>Table13[[#This Row],[Time until ideal entry + 390 (6:30)]]+Table13[[#This Row],[Duration of frontside (mins)]]</f>
        <v>390</v>
      </c>
    </row>
    <row r="192" spans="1:44" hidden="1" x14ac:dyDescent="0.25">
      <c r="A192" s="24" t="s">
        <v>217</v>
      </c>
      <c r="B192" s="47">
        <v>44077</v>
      </c>
      <c r="C192" s="47" t="s">
        <v>71</v>
      </c>
      <c r="D192" s="12"/>
      <c r="E192" s="13"/>
      <c r="F192" s="12"/>
      <c r="G192" s="12"/>
      <c r="H192" s="12"/>
      <c r="I192" s="12"/>
      <c r="J192" s="12"/>
      <c r="K192" s="12"/>
      <c r="N192" s="13"/>
      <c r="P192" s="37"/>
      <c r="Q192" s="46"/>
      <c r="R192" s="37"/>
      <c r="S192" s="37"/>
      <c r="T192" s="37"/>
      <c r="U192" s="37"/>
      <c r="V192" s="38"/>
      <c r="W192" s="46"/>
      <c r="X192" s="37"/>
      <c r="Y192" s="46"/>
      <c r="Z192" s="41">
        <f>Table13[[#This Row],[Time until ideal entry + 390 (6:30)]]/(1440)</f>
        <v>0.27083333333333331</v>
      </c>
      <c r="AA192" s="18"/>
      <c r="AB192" s="18" t="e">
        <f>IF(Table13[[#This Row],[HOD AFTER PM HI]]&gt;=Table13[[#This Row],[PM Hi]],((Table13[[#This Row],[HOD AFTER PM HI]]-Table13[[#This Row],[Prior day close]])/Table13[[#This Row],[Prior day close]]),Table13[[#This Row],[Prior Close to PM Hi %]])</f>
        <v>#DIV/0!</v>
      </c>
      <c r="AC192" s="42" t="e">
        <f>(Table13[[#This Row],[Price at hi of squeeze]]-Table13[[#This Row],[MKT Open Price]])/Table13[[#This Row],[MKT Open Price]]</f>
        <v>#DIV/0!</v>
      </c>
      <c r="AD192" s="18" t="e">
        <f>(Table13[[#This Row],[Price at hi of squeeze]]-Table13[[#This Row],[PM Hi]])/Table13[[#This Row],[PM Hi]]</f>
        <v>#DIV/0!</v>
      </c>
      <c r="AE192" s="18"/>
      <c r="AF192" s="20" t="e">
        <f>Table13[[#This Row],[PM VOL]]/1000000/Table13[[#This Row],[FLOAT(M)]]</f>
        <v>#DIV/0!</v>
      </c>
      <c r="AG192" s="23" t="e">
        <f>(Table13[[#This Row],[Volume]]/1000000)/Table13[[#This Row],[FLOAT(M)]]</f>
        <v>#DIV/0!</v>
      </c>
      <c r="AI192" s="18" t="e">
        <f>(Table13[[#This Row],[PM Hi]]-Table13[[#This Row],[MKT Open Price]])/(Table13[[#This Row],[PM Hi]])</f>
        <v>#DIV/0!</v>
      </c>
      <c r="AJ192" s="18" t="e">
        <f>IF(Table13[[#This Row],[PM LO]]&gt;Table13[[#This Row],[Prior day close]],(Table13[[#This Row],[PM Hi]]-Table13[[#This Row],[MKT Open Price]])/(Table13[[#This Row],[PM Hi]]-Table13[[#This Row],[Prior day close]]),(Table13[[#This Row],[PM Hi]]-Table13[[#This Row],[MKT Open Price]])/(Table13[[#This Row],[PM Hi]]-Table13[[#This Row],[PM LO]]))</f>
        <v>#DIV/0!</v>
      </c>
      <c r="AK192" s="48" t="e">
        <f>IF(Table13[[#This Row],[Prior day close]]&lt;Table13[[#This Row],[PM LO]],(I192-K192)/(I192-Table13[[#This Row],[Prior day close]]),(I192-K192)/(I192-Table13[[#This Row],[PM LO]]))</f>
        <v>#DIV/0!</v>
      </c>
      <c r="AL192" s="48">
        <f>Table13[[#This Row],[Spike % on open before drop]]+AM192</f>
        <v>0</v>
      </c>
      <c r="AM192" s="18"/>
      <c r="AN192" s="16"/>
      <c r="AO192" s="48" t="e">
        <f>IF(Table13[[#This Row],[Prior day close]]&lt;=Table13[[#This Row],[PM LO]],IF($J192&gt;=$F192,($J192-$K192)/($J192-Table13[[#This Row],[Prior day close]]),(IF($H192&lt;=$K192,($F192-$H192)/($F192-Table13[[#This Row],[Prior day close]]),(Table13[[#This Row],[PM Hi]]-Table13[[#This Row],[Lowest lo from open to squeeze]])/(Table13[[#This Row],[PM Hi]]-Table13[[#This Row],[Prior day close]])))),IF($J192&gt;=$F192,($J192-$K192)/($J192-Table13[[#This Row],[PM LO]]),(IF($H192&lt;=$K192,($F192-$H192)/($F192-Table13[[#This Row],[PM LO]]),(Table13[[#This Row],[PM Hi]]-Table13[[#This Row],[Lowest lo from open to squeeze]])/(Table13[[#This Row],[PM Hi]]-Table13[[#This Row],[PM LO]])))))</f>
        <v>#DIV/0!</v>
      </c>
      <c r="AP192" s="18"/>
      <c r="AQ192" s="17">
        <f>390+Table13[[#This Row],[Time until ideal entry point (mins) from open]]</f>
        <v>390</v>
      </c>
      <c r="AR192" s="17">
        <f>Table13[[#This Row],[Time until ideal entry + 390 (6:30)]]+Table13[[#This Row],[Duration of frontside (mins)]]</f>
        <v>390</v>
      </c>
    </row>
    <row r="193" spans="1:44" hidden="1" x14ac:dyDescent="0.25">
      <c r="A193" s="24" t="s">
        <v>64</v>
      </c>
      <c r="B193" s="47">
        <v>44078</v>
      </c>
      <c r="C193" s="47" t="s">
        <v>143</v>
      </c>
      <c r="D193" s="12"/>
      <c r="E193" s="13"/>
      <c r="F193" s="12"/>
      <c r="G193" s="12"/>
      <c r="H193" s="12"/>
      <c r="I193" s="12"/>
      <c r="J193" s="12"/>
      <c r="K193" s="12"/>
      <c r="N193" s="13"/>
      <c r="P193" s="37"/>
      <c r="Q193" s="46"/>
      <c r="R193" s="37"/>
      <c r="S193" s="37"/>
      <c r="T193" s="37"/>
      <c r="U193" s="37"/>
      <c r="V193" s="38"/>
      <c r="W193" s="46"/>
      <c r="X193" s="37"/>
      <c r="Y193" s="46"/>
      <c r="Z193" s="41">
        <f>Table13[[#This Row],[Time until ideal entry + 390 (6:30)]]/(1440)</f>
        <v>0.27083333333333331</v>
      </c>
      <c r="AA193" s="18"/>
      <c r="AB193" s="18" t="e">
        <f>IF(Table13[[#This Row],[HOD AFTER PM HI]]&gt;=Table13[[#This Row],[PM Hi]],((Table13[[#This Row],[HOD AFTER PM HI]]-Table13[[#This Row],[Prior day close]])/Table13[[#This Row],[Prior day close]]),Table13[[#This Row],[Prior Close to PM Hi %]])</f>
        <v>#DIV/0!</v>
      </c>
      <c r="AC193" s="42" t="e">
        <f>(Table13[[#This Row],[Price at hi of squeeze]]-Table13[[#This Row],[MKT Open Price]])/Table13[[#This Row],[MKT Open Price]]</f>
        <v>#DIV/0!</v>
      </c>
      <c r="AD193" s="18" t="e">
        <f>(Table13[[#This Row],[Price at hi of squeeze]]-Table13[[#This Row],[PM Hi]])/Table13[[#This Row],[PM Hi]]</f>
        <v>#DIV/0!</v>
      </c>
      <c r="AE193" s="18"/>
      <c r="AF193" s="20" t="e">
        <f>Table13[[#This Row],[PM VOL]]/1000000/Table13[[#This Row],[FLOAT(M)]]</f>
        <v>#DIV/0!</v>
      </c>
      <c r="AG193" s="23" t="e">
        <f>(Table13[[#This Row],[Volume]]/1000000)/Table13[[#This Row],[FLOAT(M)]]</f>
        <v>#DIV/0!</v>
      </c>
      <c r="AI193" s="18" t="e">
        <f>(Table13[[#This Row],[PM Hi]]-Table13[[#This Row],[MKT Open Price]])/(Table13[[#This Row],[PM Hi]])</f>
        <v>#DIV/0!</v>
      </c>
      <c r="AJ193" s="18" t="e">
        <f>IF(Table13[[#This Row],[PM LO]]&gt;Table13[[#This Row],[Prior day close]],(Table13[[#This Row],[PM Hi]]-Table13[[#This Row],[MKT Open Price]])/(Table13[[#This Row],[PM Hi]]-Table13[[#This Row],[Prior day close]]),(Table13[[#This Row],[PM Hi]]-Table13[[#This Row],[MKT Open Price]])/(Table13[[#This Row],[PM Hi]]-Table13[[#This Row],[PM LO]]))</f>
        <v>#DIV/0!</v>
      </c>
      <c r="AK193" s="48" t="e">
        <f>IF(Table13[[#This Row],[Prior day close]]&lt;Table13[[#This Row],[PM LO]],(I193-K193)/(I193-Table13[[#This Row],[Prior day close]]),(I193-K193)/(I193-Table13[[#This Row],[PM LO]]))</f>
        <v>#DIV/0!</v>
      </c>
      <c r="AL193" s="48">
        <f>Table13[[#This Row],[Spike % on open before drop]]+AM193</f>
        <v>0</v>
      </c>
      <c r="AM193" s="18"/>
      <c r="AN193" s="16"/>
      <c r="AO193" s="48" t="e">
        <f>IF(Table13[[#This Row],[Prior day close]]&lt;=Table13[[#This Row],[PM LO]],IF($J193&gt;=$F193,($J193-$K193)/($J193-Table13[[#This Row],[Prior day close]]),(IF($H193&lt;=$K193,($F193-$H193)/($F193-Table13[[#This Row],[Prior day close]]),(Table13[[#This Row],[PM Hi]]-Table13[[#This Row],[Lowest lo from open to squeeze]])/(Table13[[#This Row],[PM Hi]]-Table13[[#This Row],[Prior day close]])))),IF($J193&gt;=$F193,($J193-$K193)/($J193-Table13[[#This Row],[PM LO]]),(IF($H193&lt;=$K193,($F193-$H193)/($F193-Table13[[#This Row],[PM LO]]),(Table13[[#This Row],[PM Hi]]-Table13[[#This Row],[Lowest lo from open to squeeze]])/(Table13[[#This Row],[PM Hi]]-Table13[[#This Row],[PM LO]])))))</f>
        <v>#DIV/0!</v>
      </c>
      <c r="AP193" s="18"/>
      <c r="AQ193" s="17">
        <f>390+Table13[[#This Row],[Time until ideal entry point (mins) from open]]</f>
        <v>390</v>
      </c>
      <c r="AR193" s="17">
        <f>Table13[[#This Row],[Time until ideal entry + 390 (6:30)]]+Table13[[#This Row],[Duration of frontside (mins)]]</f>
        <v>390</v>
      </c>
    </row>
    <row r="194" spans="1:44" hidden="1" x14ac:dyDescent="0.25">
      <c r="A194" s="24" t="s">
        <v>68</v>
      </c>
      <c r="B194" s="47">
        <v>44084</v>
      </c>
      <c r="C194" s="47" t="s">
        <v>71</v>
      </c>
      <c r="D194" s="12"/>
      <c r="E194" s="13"/>
      <c r="F194" s="12"/>
      <c r="G194" s="12"/>
      <c r="H194" s="12"/>
      <c r="I194" s="12"/>
      <c r="J194" s="12"/>
      <c r="K194" s="12"/>
      <c r="N194" s="13"/>
      <c r="P194" s="37"/>
      <c r="Q194" s="46"/>
      <c r="R194" s="37"/>
      <c r="S194" s="37"/>
      <c r="T194" s="37"/>
      <c r="U194" s="37"/>
      <c r="V194" s="38"/>
      <c r="W194" s="46"/>
      <c r="X194" s="37"/>
      <c r="Y194" s="46"/>
      <c r="Z194" s="41">
        <f>Table13[[#This Row],[Time until ideal entry + 390 (6:30)]]/(1440)</f>
        <v>0.27083333333333331</v>
      </c>
      <c r="AA194" s="18"/>
      <c r="AB194" s="18" t="e">
        <f>IF(Table13[[#This Row],[HOD AFTER PM HI]]&gt;=Table13[[#This Row],[PM Hi]],((Table13[[#This Row],[HOD AFTER PM HI]]-Table13[[#This Row],[Prior day close]])/Table13[[#This Row],[Prior day close]]),Table13[[#This Row],[Prior Close to PM Hi %]])</f>
        <v>#DIV/0!</v>
      </c>
      <c r="AC194" s="42" t="e">
        <f>(Table13[[#This Row],[Price at hi of squeeze]]-Table13[[#This Row],[MKT Open Price]])/Table13[[#This Row],[MKT Open Price]]</f>
        <v>#DIV/0!</v>
      </c>
      <c r="AD194" s="18" t="e">
        <f>(Table13[[#This Row],[Price at hi of squeeze]]-Table13[[#This Row],[PM Hi]])/Table13[[#This Row],[PM Hi]]</f>
        <v>#DIV/0!</v>
      </c>
      <c r="AE194" s="18"/>
      <c r="AF194" s="20" t="e">
        <f>Table13[[#This Row],[PM VOL]]/1000000/Table13[[#This Row],[FLOAT(M)]]</f>
        <v>#DIV/0!</v>
      </c>
      <c r="AG194" s="23" t="e">
        <f>(Table13[[#This Row],[Volume]]/1000000)/Table13[[#This Row],[FLOAT(M)]]</f>
        <v>#DIV/0!</v>
      </c>
      <c r="AI194" s="18" t="e">
        <f>(Table13[[#This Row],[PM Hi]]-Table13[[#This Row],[MKT Open Price]])/(Table13[[#This Row],[PM Hi]])</f>
        <v>#DIV/0!</v>
      </c>
      <c r="AJ194" s="18" t="e">
        <f>IF(Table13[[#This Row],[PM LO]]&gt;Table13[[#This Row],[Prior day close]],(Table13[[#This Row],[PM Hi]]-Table13[[#This Row],[MKT Open Price]])/(Table13[[#This Row],[PM Hi]]-Table13[[#This Row],[Prior day close]]),(Table13[[#This Row],[PM Hi]]-Table13[[#This Row],[MKT Open Price]])/(Table13[[#This Row],[PM Hi]]-Table13[[#This Row],[PM LO]]))</f>
        <v>#DIV/0!</v>
      </c>
      <c r="AK194" s="48" t="e">
        <f>IF(Table13[[#This Row],[Prior day close]]&lt;Table13[[#This Row],[PM LO]],(I194-K194)/(I194-Table13[[#This Row],[Prior day close]]),(I194-K194)/(I194-Table13[[#This Row],[PM LO]]))</f>
        <v>#DIV/0!</v>
      </c>
      <c r="AL194" s="48">
        <f>Table13[[#This Row],[Spike % on open before drop]]+AM194</f>
        <v>0</v>
      </c>
      <c r="AM194" s="18"/>
      <c r="AN194" s="16"/>
      <c r="AO194" s="48" t="e">
        <f>IF(Table13[[#This Row],[Prior day close]]&lt;=Table13[[#This Row],[PM LO]],IF($J194&gt;=$F194,($J194-$K194)/($J194-Table13[[#This Row],[Prior day close]]),(IF($H194&lt;=$K194,($F194-$H194)/($F194-Table13[[#This Row],[Prior day close]]),(Table13[[#This Row],[PM Hi]]-Table13[[#This Row],[Lowest lo from open to squeeze]])/(Table13[[#This Row],[PM Hi]]-Table13[[#This Row],[Prior day close]])))),IF($J194&gt;=$F194,($J194-$K194)/($J194-Table13[[#This Row],[PM LO]]),(IF($H194&lt;=$K194,($F194-$H194)/($F194-Table13[[#This Row],[PM LO]]),(Table13[[#This Row],[PM Hi]]-Table13[[#This Row],[Lowest lo from open to squeeze]])/(Table13[[#This Row],[PM Hi]]-Table13[[#This Row],[PM LO]])))))</f>
        <v>#DIV/0!</v>
      </c>
      <c r="AP194" s="18"/>
      <c r="AQ194" s="17">
        <f>390+Table13[[#This Row],[Time until ideal entry point (mins) from open]]</f>
        <v>390</v>
      </c>
      <c r="AR194" s="17">
        <f>Table13[[#This Row],[Time until ideal entry + 390 (6:30)]]+Table13[[#This Row],[Duration of frontside (mins)]]</f>
        <v>390</v>
      </c>
    </row>
    <row r="195" spans="1:44" hidden="1" x14ac:dyDescent="0.25">
      <c r="A195" s="24" t="s">
        <v>218</v>
      </c>
      <c r="B195" s="47">
        <v>44085</v>
      </c>
      <c r="C195" s="47" t="s">
        <v>71</v>
      </c>
      <c r="D195" s="12"/>
      <c r="E195" s="13"/>
      <c r="F195" s="12"/>
      <c r="G195" s="12"/>
      <c r="H195" s="12"/>
      <c r="I195" s="12"/>
      <c r="J195" s="12"/>
      <c r="K195" s="12"/>
      <c r="N195" s="13"/>
      <c r="P195" s="37"/>
      <c r="Q195" s="46"/>
      <c r="R195" s="37"/>
      <c r="S195" s="37"/>
      <c r="T195" s="37"/>
      <c r="U195" s="37"/>
      <c r="V195" s="38"/>
      <c r="W195" s="46"/>
      <c r="X195" s="37"/>
      <c r="Y195" s="46"/>
      <c r="Z195" s="41">
        <f>Table13[[#This Row],[Time until ideal entry + 390 (6:30)]]/(1440)</f>
        <v>0.27083333333333331</v>
      </c>
      <c r="AA195" s="18"/>
      <c r="AB195" s="18" t="e">
        <f>IF(Table13[[#This Row],[HOD AFTER PM HI]]&gt;=Table13[[#This Row],[PM Hi]],((Table13[[#This Row],[HOD AFTER PM HI]]-Table13[[#This Row],[Prior day close]])/Table13[[#This Row],[Prior day close]]),Table13[[#This Row],[Prior Close to PM Hi %]])</f>
        <v>#DIV/0!</v>
      </c>
      <c r="AC195" s="42" t="e">
        <f>(Table13[[#This Row],[Price at hi of squeeze]]-Table13[[#This Row],[MKT Open Price]])/Table13[[#This Row],[MKT Open Price]]</f>
        <v>#DIV/0!</v>
      </c>
      <c r="AD195" s="18" t="e">
        <f>(Table13[[#This Row],[Price at hi of squeeze]]-Table13[[#This Row],[PM Hi]])/Table13[[#This Row],[PM Hi]]</f>
        <v>#DIV/0!</v>
      </c>
      <c r="AE195" s="18"/>
      <c r="AF195" s="20" t="e">
        <f>Table13[[#This Row],[PM VOL]]/1000000/Table13[[#This Row],[FLOAT(M)]]</f>
        <v>#DIV/0!</v>
      </c>
      <c r="AG195" s="23" t="e">
        <f>(Table13[[#This Row],[Volume]]/1000000)/Table13[[#This Row],[FLOAT(M)]]</f>
        <v>#DIV/0!</v>
      </c>
      <c r="AI195" s="18" t="e">
        <f>(Table13[[#This Row],[PM Hi]]-Table13[[#This Row],[MKT Open Price]])/(Table13[[#This Row],[PM Hi]])</f>
        <v>#DIV/0!</v>
      </c>
      <c r="AJ195" s="18" t="e">
        <f>IF(Table13[[#This Row],[PM LO]]&gt;Table13[[#This Row],[Prior day close]],(Table13[[#This Row],[PM Hi]]-Table13[[#This Row],[MKT Open Price]])/(Table13[[#This Row],[PM Hi]]-Table13[[#This Row],[Prior day close]]),(Table13[[#This Row],[PM Hi]]-Table13[[#This Row],[MKT Open Price]])/(Table13[[#This Row],[PM Hi]]-Table13[[#This Row],[PM LO]]))</f>
        <v>#DIV/0!</v>
      </c>
      <c r="AK195" s="48" t="e">
        <f>IF(Table13[[#This Row],[Prior day close]]&lt;Table13[[#This Row],[PM LO]],(I195-K195)/(I195-Table13[[#This Row],[Prior day close]]),(I195-K195)/(I195-Table13[[#This Row],[PM LO]]))</f>
        <v>#DIV/0!</v>
      </c>
      <c r="AL195" s="48">
        <f>Table13[[#This Row],[Spike % on open before drop]]+AM195</f>
        <v>0</v>
      </c>
      <c r="AM195" s="18"/>
      <c r="AN195" s="16"/>
      <c r="AO195" s="48" t="e">
        <f>IF(Table13[[#This Row],[Prior day close]]&lt;=Table13[[#This Row],[PM LO]],IF($J195&gt;=$F195,($J195-$K195)/($J195-Table13[[#This Row],[Prior day close]]),(IF($H195&lt;=$K195,($F195-$H195)/($F195-Table13[[#This Row],[Prior day close]]),(Table13[[#This Row],[PM Hi]]-Table13[[#This Row],[Lowest lo from open to squeeze]])/(Table13[[#This Row],[PM Hi]]-Table13[[#This Row],[Prior day close]])))),IF($J195&gt;=$F195,($J195-$K195)/($J195-Table13[[#This Row],[PM LO]]),(IF($H195&lt;=$K195,($F195-$H195)/($F195-Table13[[#This Row],[PM LO]]),(Table13[[#This Row],[PM Hi]]-Table13[[#This Row],[Lowest lo from open to squeeze]])/(Table13[[#This Row],[PM Hi]]-Table13[[#This Row],[PM LO]])))))</f>
        <v>#DIV/0!</v>
      </c>
      <c r="AP195" s="18"/>
      <c r="AQ195" s="17">
        <f>390+Table13[[#This Row],[Time until ideal entry point (mins) from open]]</f>
        <v>390</v>
      </c>
      <c r="AR195" s="17">
        <f>Table13[[#This Row],[Time until ideal entry + 390 (6:30)]]+Table13[[#This Row],[Duration of frontside (mins)]]</f>
        <v>390</v>
      </c>
    </row>
    <row r="196" spans="1:44" hidden="1" x14ac:dyDescent="0.25">
      <c r="A196" s="24" t="s">
        <v>219</v>
      </c>
      <c r="B196" s="47">
        <v>44092</v>
      </c>
      <c r="C196" s="47" t="s">
        <v>71</v>
      </c>
      <c r="D196" s="12"/>
      <c r="E196" s="13"/>
      <c r="F196" s="12"/>
      <c r="G196" s="12"/>
      <c r="H196" s="12"/>
      <c r="I196" s="12"/>
      <c r="J196" s="12"/>
      <c r="K196" s="12"/>
      <c r="N196" s="13"/>
      <c r="P196" s="37"/>
      <c r="Q196" s="46"/>
      <c r="R196" s="37"/>
      <c r="S196" s="37"/>
      <c r="T196" s="37"/>
      <c r="U196" s="37"/>
      <c r="V196" s="38"/>
      <c r="W196" s="46"/>
      <c r="X196" s="37"/>
      <c r="Y196" s="46"/>
      <c r="Z196" s="41">
        <f>Table13[[#This Row],[Time until ideal entry + 390 (6:30)]]/(1440)</f>
        <v>0.27083333333333331</v>
      </c>
      <c r="AA196" s="18"/>
      <c r="AB196" s="18" t="e">
        <f>IF(Table13[[#This Row],[HOD AFTER PM HI]]&gt;=Table13[[#This Row],[PM Hi]],((Table13[[#This Row],[HOD AFTER PM HI]]-Table13[[#This Row],[Prior day close]])/Table13[[#This Row],[Prior day close]]),Table13[[#This Row],[Prior Close to PM Hi %]])</f>
        <v>#DIV/0!</v>
      </c>
      <c r="AC196" s="42" t="e">
        <f>(Table13[[#This Row],[Price at hi of squeeze]]-Table13[[#This Row],[MKT Open Price]])/Table13[[#This Row],[MKT Open Price]]</f>
        <v>#DIV/0!</v>
      </c>
      <c r="AD196" s="18" t="e">
        <f>(Table13[[#This Row],[Price at hi of squeeze]]-Table13[[#This Row],[PM Hi]])/Table13[[#This Row],[PM Hi]]</f>
        <v>#DIV/0!</v>
      </c>
      <c r="AE196" s="18"/>
      <c r="AF196" s="20" t="e">
        <f>Table13[[#This Row],[PM VOL]]/1000000/Table13[[#This Row],[FLOAT(M)]]</f>
        <v>#DIV/0!</v>
      </c>
      <c r="AG196" s="23" t="e">
        <f>(Table13[[#This Row],[Volume]]/1000000)/Table13[[#This Row],[FLOAT(M)]]</f>
        <v>#DIV/0!</v>
      </c>
      <c r="AI196" s="18" t="e">
        <f>(Table13[[#This Row],[PM Hi]]-Table13[[#This Row],[MKT Open Price]])/(Table13[[#This Row],[PM Hi]])</f>
        <v>#DIV/0!</v>
      </c>
      <c r="AJ196" s="18" t="e">
        <f>IF(Table13[[#This Row],[PM LO]]&gt;Table13[[#This Row],[Prior day close]],(Table13[[#This Row],[PM Hi]]-Table13[[#This Row],[MKT Open Price]])/(Table13[[#This Row],[PM Hi]]-Table13[[#This Row],[Prior day close]]),(Table13[[#This Row],[PM Hi]]-Table13[[#This Row],[MKT Open Price]])/(Table13[[#This Row],[PM Hi]]-Table13[[#This Row],[PM LO]]))</f>
        <v>#DIV/0!</v>
      </c>
      <c r="AK196" s="48" t="e">
        <f>IF(Table13[[#This Row],[Prior day close]]&lt;Table13[[#This Row],[PM LO]],(I196-K196)/(I196-Table13[[#This Row],[Prior day close]]),(I196-K196)/(I196-Table13[[#This Row],[PM LO]]))</f>
        <v>#DIV/0!</v>
      </c>
      <c r="AL196" s="48">
        <f>Table13[[#This Row],[Spike % on open before drop]]+AM196</f>
        <v>0</v>
      </c>
      <c r="AM196" s="18"/>
      <c r="AN196" s="16"/>
      <c r="AO196" s="48" t="e">
        <f>IF(Table13[[#This Row],[Prior day close]]&lt;=Table13[[#This Row],[PM LO]],IF($J196&gt;=$F196,($J196-$K196)/($J196-Table13[[#This Row],[Prior day close]]),(IF($H196&lt;=$K196,($F196-$H196)/($F196-Table13[[#This Row],[Prior day close]]),(Table13[[#This Row],[PM Hi]]-Table13[[#This Row],[Lowest lo from open to squeeze]])/(Table13[[#This Row],[PM Hi]]-Table13[[#This Row],[Prior day close]])))),IF($J196&gt;=$F196,($J196-$K196)/($J196-Table13[[#This Row],[PM LO]]),(IF($H196&lt;=$K196,($F196-$H196)/($F196-Table13[[#This Row],[PM LO]]),(Table13[[#This Row],[PM Hi]]-Table13[[#This Row],[Lowest lo from open to squeeze]])/(Table13[[#This Row],[PM Hi]]-Table13[[#This Row],[PM LO]])))))</f>
        <v>#DIV/0!</v>
      </c>
      <c r="AP196" s="18"/>
      <c r="AQ196" s="17">
        <f>390+Table13[[#This Row],[Time until ideal entry point (mins) from open]]</f>
        <v>390</v>
      </c>
      <c r="AR196" s="17">
        <f>Table13[[#This Row],[Time until ideal entry + 390 (6:30)]]+Table13[[#This Row],[Duration of frontside (mins)]]</f>
        <v>390</v>
      </c>
    </row>
    <row r="197" spans="1:44" hidden="1" x14ac:dyDescent="0.25">
      <c r="A197" s="24" t="s">
        <v>195</v>
      </c>
      <c r="B197" s="47">
        <v>44095</v>
      </c>
      <c r="C197" s="47" t="s">
        <v>71</v>
      </c>
      <c r="D197" s="12"/>
      <c r="E197" s="13"/>
      <c r="F197" s="12"/>
      <c r="G197" s="12"/>
      <c r="H197" s="12"/>
      <c r="I197" s="12"/>
      <c r="J197" s="12"/>
      <c r="K197" s="12"/>
      <c r="N197" s="13"/>
      <c r="P197" s="37"/>
      <c r="Q197" s="46"/>
      <c r="R197" s="37"/>
      <c r="S197" s="37"/>
      <c r="T197" s="37"/>
      <c r="U197" s="37"/>
      <c r="V197" s="38"/>
      <c r="W197" s="46"/>
      <c r="X197" s="37"/>
      <c r="Y197" s="46"/>
      <c r="Z197" s="41">
        <f>Table13[[#This Row],[Time until ideal entry + 390 (6:30)]]/(1440)</f>
        <v>0.27083333333333331</v>
      </c>
      <c r="AA197" s="18"/>
      <c r="AB197" s="18" t="e">
        <f>IF(Table13[[#This Row],[HOD AFTER PM HI]]&gt;=Table13[[#This Row],[PM Hi]],((Table13[[#This Row],[HOD AFTER PM HI]]-Table13[[#This Row],[Prior day close]])/Table13[[#This Row],[Prior day close]]),Table13[[#This Row],[Prior Close to PM Hi %]])</f>
        <v>#DIV/0!</v>
      </c>
      <c r="AC197" s="42" t="e">
        <f>(Table13[[#This Row],[Price at hi of squeeze]]-Table13[[#This Row],[MKT Open Price]])/Table13[[#This Row],[MKT Open Price]]</f>
        <v>#DIV/0!</v>
      </c>
      <c r="AD197" s="18" t="e">
        <f>(Table13[[#This Row],[Price at hi of squeeze]]-Table13[[#This Row],[PM Hi]])/Table13[[#This Row],[PM Hi]]</f>
        <v>#DIV/0!</v>
      </c>
      <c r="AE197" s="18"/>
      <c r="AF197" s="20" t="e">
        <f>Table13[[#This Row],[PM VOL]]/1000000/Table13[[#This Row],[FLOAT(M)]]</f>
        <v>#DIV/0!</v>
      </c>
      <c r="AG197" s="23" t="e">
        <f>(Table13[[#This Row],[Volume]]/1000000)/Table13[[#This Row],[FLOAT(M)]]</f>
        <v>#DIV/0!</v>
      </c>
      <c r="AI197" s="18" t="e">
        <f>(Table13[[#This Row],[PM Hi]]-Table13[[#This Row],[MKT Open Price]])/(Table13[[#This Row],[PM Hi]])</f>
        <v>#DIV/0!</v>
      </c>
      <c r="AJ197" s="18" t="e">
        <f>IF(Table13[[#This Row],[PM LO]]&gt;Table13[[#This Row],[Prior day close]],(Table13[[#This Row],[PM Hi]]-Table13[[#This Row],[MKT Open Price]])/(Table13[[#This Row],[PM Hi]]-Table13[[#This Row],[Prior day close]]),(Table13[[#This Row],[PM Hi]]-Table13[[#This Row],[MKT Open Price]])/(Table13[[#This Row],[PM Hi]]-Table13[[#This Row],[PM LO]]))</f>
        <v>#DIV/0!</v>
      </c>
      <c r="AK197" s="48" t="e">
        <f>IF(Table13[[#This Row],[Prior day close]]&lt;Table13[[#This Row],[PM LO]],(I197-K197)/(I197-Table13[[#This Row],[Prior day close]]),(I197-K197)/(I197-Table13[[#This Row],[PM LO]]))</f>
        <v>#DIV/0!</v>
      </c>
      <c r="AL197" s="48">
        <f>Table13[[#This Row],[Spike % on open before drop]]+AM197</f>
        <v>0</v>
      </c>
      <c r="AM197" s="18"/>
      <c r="AN197" s="16"/>
      <c r="AO197" s="48" t="e">
        <f>IF(Table13[[#This Row],[Prior day close]]&lt;=Table13[[#This Row],[PM LO]],IF($J197&gt;=$F197,($J197-$K197)/($J197-Table13[[#This Row],[Prior day close]]),(IF($H197&lt;=$K197,($F197-$H197)/($F197-Table13[[#This Row],[Prior day close]]),(Table13[[#This Row],[PM Hi]]-Table13[[#This Row],[Lowest lo from open to squeeze]])/(Table13[[#This Row],[PM Hi]]-Table13[[#This Row],[Prior day close]])))),IF($J197&gt;=$F197,($J197-$K197)/($J197-Table13[[#This Row],[PM LO]]),(IF($H197&lt;=$K197,($F197-$H197)/($F197-Table13[[#This Row],[PM LO]]),(Table13[[#This Row],[PM Hi]]-Table13[[#This Row],[Lowest lo from open to squeeze]])/(Table13[[#This Row],[PM Hi]]-Table13[[#This Row],[PM LO]])))))</f>
        <v>#DIV/0!</v>
      </c>
      <c r="AP197" s="18"/>
      <c r="AQ197" s="17">
        <f>390+Table13[[#This Row],[Time until ideal entry point (mins) from open]]</f>
        <v>390</v>
      </c>
      <c r="AR197" s="17">
        <f>Table13[[#This Row],[Time until ideal entry + 390 (6:30)]]+Table13[[#This Row],[Duration of frontside (mins)]]</f>
        <v>390</v>
      </c>
    </row>
    <row r="198" spans="1:44" hidden="1" x14ac:dyDescent="0.25">
      <c r="A198" s="24" t="s">
        <v>220</v>
      </c>
      <c r="B198" s="47">
        <v>44096</v>
      </c>
      <c r="C198" s="47" t="s">
        <v>71</v>
      </c>
      <c r="D198" s="12"/>
      <c r="E198" s="13"/>
      <c r="F198" s="12"/>
      <c r="G198" s="12"/>
      <c r="H198" s="12"/>
      <c r="I198" s="12"/>
      <c r="J198" s="12"/>
      <c r="K198" s="12"/>
      <c r="N198" s="13"/>
      <c r="P198" s="37"/>
      <c r="Q198" s="46"/>
      <c r="R198" s="37"/>
      <c r="S198" s="37"/>
      <c r="T198" s="37"/>
      <c r="U198" s="37"/>
      <c r="V198" s="38"/>
      <c r="W198" s="46"/>
      <c r="X198" s="37"/>
      <c r="Y198" s="46"/>
      <c r="Z198" s="41">
        <f>Table13[[#This Row],[Time until ideal entry + 390 (6:30)]]/(1440)</f>
        <v>0.27083333333333331</v>
      </c>
      <c r="AA198" s="18"/>
      <c r="AB198" s="18" t="e">
        <f>IF(Table13[[#This Row],[HOD AFTER PM HI]]&gt;=Table13[[#This Row],[PM Hi]],((Table13[[#This Row],[HOD AFTER PM HI]]-Table13[[#This Row],[Prior day close]])/Table13[[#This Row],[Prior day close]]),Table13[[#This Row],[Prior Close to PM Hi %]])</f>
        <v>#DIV/0!</v>
      </c>
      <c r="AC198" s="42" t="e">
        <f>(Table13[[#This Row],[Price at hi of squeeze]]-Table13[[#This Row],[MKT Open Price]])/Table13[[#This Row],[MKT Open Price]]</f>
        <v>#DIV/0!</v>
      </c>
      <c r="AD198" s="18" t="e">
        <f>(Table13[[#This Row],[Price at hi of squeeze]]-Table13[[#This Row],[PM Hi]])/Table13[[#This Row],[PM Hi]]</f>
        <v>#DIV/0!</v>
      </c>
      <c r="AE198" s="18"/>
      <c r="AF198" s="20" t="e">
        <f>Table13[[#This Row],[PM VOL]]/1000000/Table13[[#This Row],[FLOAT(M)]]</f>
        <v>#DIV/0!</v>
      </c>
      <c r="AG198" s="23" t="e">
        <f>(Table13[[#This Row],[Volume]]/1000000)/Table13[[#This Row],[FLOAT(M)]]</f>
        <v>#DIV/0!</v>
      </c>
      <c r="AI198" s="18" t="e">
        <f>(Table13[[#This Row],[PM Hi]]-Table13[[#This Row],[MKT Open Price]])/(Table13[[#This Row],[PM Hi]])</f>
        <v>#DIV/0!</v>
      </c>
      <c r="AJ198" s="18" t="e">
        <f>IF(Table13[[#This Row],[PM LO]]&gt;Table13[[#This Row],[Prior day close]],(Table13[[#This Row],[PM Hi]]-Table13[[#This Row],[MKT Open Price]])/(Table13[[#This Row],[PM Hi]]-Table13[[#This Row],[Prior day close]]),(Table13[[#This Row],[PM Hi]]-Table13[[#This Row],[MKT Open Price]])/(Table13[[#This Row],[PM Hi]]-Table13[[#This Row],[PM LO]]))</f>
        <v>#DIV/0!</v>
      </c>
      <c r="AK198" s="48" t="e">
        <f>IF(Table13[[#This Row],[Prior day close]]&lt;Table13[[#This Row],[PM LO]],(I198-K198)/(I198-Table13[[#This Row],[Prior day close]]),(I198-K198)/(I198-Table13[[#This Row],[PM LO]]))</f>
        <v>#DIV/0!</v>
      </c>
      <c r="AL198" s="48">
        <f>Table13[[#This Row],[Spike % on open before drop]]+AM198</f>
        <v>0</v>
      </c>
      <c r="AM198" s="18"/>
      <c r="AN198" s="16"/>
      <c r="AO198" s="48" t="e">
        <f>IF(Table13[[#This Row],[Prior day close]]&lt;=Table13[[#This Row],[PM LO]],IF($J198&gt;=$F198,($J198-$K198)/($J198-Table13[[#This Row],[Prior day close]]),(IF($H198&lt;=$K198,($F198-$H198)/($F198-Table13[[#This Row],[Prior day close]]),(Table13[[#This Row],[PM Hi]]-Table13[[#This Row],[Lowest lo from open to squeeze]])/(Table13[[#This Row],[PM Hi]]-Table13[[#This Row],[Prior day close]])))),IF($J198&gt;=$F198,($J198-$K198)/($J198-Table13[[#This Row],[PM LO]]),(IF($H198&lt;=$K198,($F198-$H198)/($F198-Table13[[#This Row],[PM LO]]),(Table13[[#This Row],[PM Hi]]-Table13[[#This Row],[Lowest lo from open to squeeze]])/(Table13[[#This Row],[PM Hi]]-Table13[[#This Row],[PM LO]])))))</f>
        <v>#DIV/0!</v>
      </c>
      <c r="AP198" s="18"/>
      <c r="AQ198" s="17">
        <f>390+Table13[[#This Row],[Time until ideal entry point (mins) from open]]</f>
        <v>390</v>
      </c>
      <c r="AR198" s="17">
        <f>Table13[[#This Row],[Time until ideal entry + 390 (6:30)]]+Table13[[#This Row],[Duration of frontside (mins)]]</f>
        <v>390</v>
      </c>
    </row>
    <row r="199" spans="1:44" hidden="1" x14ac:dyDescent="0.25">
      <c r="A199" s="24" t="s">
        <v>210</v>
      </c>
      <c r="B199" s="47">
        <v>44096</v>
      </c>
      <c r="C199" s="47" t="s">
        <v>71</v>
      </c>
      <c r="D199" s="12"/>
      <c r="E199" s="13"/>
      <c r="F199" s="12"/>
      <c r="G199" s="12"/>
      <c r="H199" s="12"/>
      <c r="I199" s="12"/>
      <c r="J199" s="12"/>
      <c r="K199" s="12"/>
      <c r="N199" s="13"/>
      <c r="P199" s="37"/>
      <c r="Q199" s="46"/>
      <c r="R199" s="37"/>
      <c r="S199" s="37"/>
      <c r="T199" s="37"/>
      <c r="U199" s="37"/>
      <c r="V199" s="38"/>
      <c r="W199" s="46"/>
      <c r="X199" s="37"/>
      <c r="Y199" s="46"/>
      <c r="Z199" s="41">
        <f>Table13[[#This Row],[Time until ideal entry + 390 (6:30)]]/(1440)</f>
        <v>0.27083333333333331</v>
      </c>
      <c r="AA199" s="18"/>
      <c r="AB199" s="18" t="e">
        <f>IF(Table13[[#This Row],[HOD AFTER PM HI]]&gt;=Table13[[#This Row],[PM Hi]],((Table13[[#This Row],[HOD AFTER PM HI]]-Table13[[#This Row],[Prior day close]])/Table13[[#This Row],[Prior day close]]),Table13[[#This Row],[Prior Close to PM Hi %]])</f>
        <v>#DIV/0!</v>
      </c>
      <c r="AC199" s="42" t="e">
        <f>(Table13[[#This Row],[Price at hi of squeeze]]-Table13[[#This Row],[MKT Open Price]])/Table13[[#This Row],[MKT Open Price]]</f>
        <v>#DIV/0!</v>
      </c>
      <c r="AD199" s="18" t="e">
        <f>(Table13[[#This Row],[Price at hi of squeeze]]-Table13[[#This Row],[PM Hi]])/Table13[[#This Row],[PM Hi]]</f>
        <v>#DIV/0!</v>
      </c>
      <c r="AE199" s="18"/>
      <c r="AF199" s="20" t="e">
        <f>Table13[[#This Row],[PM VOL]]/1000000/Table13[[#This Row],[FLOAT(M)]]</f>
        <v>#DIV/0!</v>
      </c>
      <c r="AG199" s="23" t="e">
        <f>(Table13[[#This Row],[Volume]]/1000000)/Table13[[#This Row],[FLOAT(M)]]</f>
        <v>#DIV/0!</v>
      </c>
      <c r="AI199" s="18" t="e">
        <f>(Table13[[#This Row],[PM Hi]]-Table13[[#This Row],[MKT Open Price]])/(Table13[[#This Row],[PM Hi]])</f>
        <v>#DIV/0!</v>
      </c>
      <c r="AJ199" s="18" t="e">
        <f>IF(Table13[[#This Row],[PM LO]]&gt;Table13[[#This Row],[Prior day close]],(Table13[[#This Row],[PM Hi]]-Table13[[#This Row],[MKT Open Price]])/(Table13[[#This Row],[PM Hi]]-Table13[[#This Row],[Prior day close]]),(Table13[[#This Row],[PM Hi]]-Table13[[#This Row],[MKT Open Price]])/(Table13[[#This Row],[PM Hi]]-Table13[[#This Row],[PM LO]]))</f>
        <v>#DIV/0!</v>
      </c>
      <c r="AK199" s="48" t="e">
        <f>IF(Table13[[#This Row],[Prior day close]]&lt;Table13[[#This Row],[PM LO]],(I199-K199)/(I199-Table13[[#This Row],[Prior day close]]),(I199-K199)/(I199-Table13[[#This Row],[PM LO]]))</f>
        <v>#DIV/0!</v>
      </c>
      <c r="AL199" s="48">
        <f>Table13[[#This Row],[Spike % on open before drop]]+AM199</f>
        <v>0</v>
      </c>
      <c r="AM199" s="18"/>
      <c r="AN199" s="16"/>
      <c r="AO199" s="48" t="e">
        <f>IF(Table13[[#This Row],[Prior day close]]&lt;=Table13[[#This Row],[PM LO]],IF($J199&gt;=$F199,($J199-$K199)/($J199-Table13[[#This Row],[Prior day close]]),(IF($H199&lt;=$K199,($F199-$H199)/($F199-Table13[[#This Row],[Prior day close]]),(Table13[[#This Row],[PM Hi]]-Table13[[#This Row],[Lowest lo from open to squeeze]])/(Table13[[#This Row],[PM Hi]]-Table13[[#This Row],[Prior day close]])))),IF($J199&gt;=$F199,($J199-$K199)/($J199-Table13[[#This Row],[PM LO]]),(IF($H199&lt;=$K199,($F199-$H199)/($F199-Table13[[#This Row],[PM LO]]),(Table13[[#This Row],[PM Hi]]-Table13[[#This Row],[Lowest lo from open to squeeze]])/(Table13[[#This Row],[PM Hi]]-Table13[[#This Row],[PM LO]])))))</f>
        <v>#DIV/0!</v>
      </c>
      <c r="AP199" s="18"/>
      <c r="AQ199" s="17">
        <f>390+Table13[[#This Row],[Time until ideal entry point (mins) from open]]</f>
        <v>390</v>
      </c>
      <c r="AR199" s="17">
        <f>Table13[[#This Row],[Time until ideal entry + 390 (6:30)]]+Table13[[#This Row],[Duration of frontside (mins)]]</f>
        <v>390</v>
      </c>
    </row>
    <row r="200" spans="1:44" hidden="1" x14ac:dyDescent="0.25">
      <c r="A200" s="24" t="s">
        <v>91</v>
      </c>
      <c r="B200" s="47">
        <v>44098</v>
      </c>
      <c r="C200" s="47" t="s">
        <v>71</v>
      </c>
      <c r="D200" s="12"/>
      <c r="E200" s="13"/>
      <c r="F200" s="12"/>
      <c r="G200" s="12"/>
      <c r="H200" s="12"/>
      <c r="I200" s="12"/>
      <c r="J200" s="12"/>
      <c r="K200" s="12"/>
      <c r="N200" s="13"/>
      <c r="P200" s="37"/>
      <c r="Q200" s="46"/>
      <c r="R200" s="37"/>
      <c r="S200" s="37"/>
      <c r="T200" s="37"/>
      <c r="U200" s="37"/>
      <c r="V200" s="38"/>
      <c r="W200" s="46"/>
      <c r="X200" s="37"/>
      <c r="Y200" s="46"/>
      <c r="Z200" s="41">
        <f>Table13[[#This Row],[Time until ideal entry + 390 (6:30)]]/(1440)</f>
        <v>0.27083333333333331</v>
      </c>
      <c r="AA200" s="18"/>
      <c r="AB200" s="18" t="e">
        <f>IF(Table13[[#This Row],[HOD AFTER PM HI]]&gt;=Table13[[#This Row],[PM Hi]],((Table13[[#This Row],[HOD AFTER PM HI]]-Table13[[#This Row],[Prior day close]])/Table13[[#This Row],[Prior day close]]),Table13[[#This Row],[Prior Close to PM Hi %]])</f>
        <v>#DIV/0!</v>
      </c>
      <c r="AC200" s="42" t="e">
        <f>(Table13[[#This Row],[Price at hi of squeeze]]-Table13[[#This Row],[MKT Open Price]])/Table13[[#This Row],[MKT Open Price]]</f>
        <v>#DIV/0!</v>
      </c>
      <c r="AD200" s="18" t="e">
        <f>(Table13[[#This Row],[Price at hi of squeeze]]-Table13[[#This Row],[PM Hi]])/Table13[[#This Row],[PM Hi]]</f>
        <v>#DIV/0!</v>
      </c>
      <c r="AE200" s="18"/>
      <c r="AF200" s="20" t="e">
        <f>Table13[[#This Row],[PM VOL]]/1000000/Table13[[#This Row],[FLOAT(M)]]</f>
        <v>#DIV/0!</v>
      </c>
      <c r="AG200" s="23" t="e">
        <f>(Table13[[#This Row],[Volume]]/1000000)/Table13[[#This Row],[FLOAT(M)]]</f>
        <v>#DIV/0!</v>
      </c>
      <c r="AI200" s="18" t="e">
        <f>(Table13[[#This Row],[PM Hi]]-Table13[[#This Row],[MKT Open Price]])/(Table13[[#This Row],[PM Hi]])</f>
        <v>#DIV/0!</v>
      </c>
      <c r="AJ200" s="18" t="e">
        <f>IF(Table13[[#This Row],[PM LO]]&gt;Table13[[#This Row],[Prior day close]],(Table13[[#This Row],[PM Hi]]-Table13[[#This Row],[MKT Open Price]])/(Table13[[#This Row],[PM Hi]]-Table13[[#This Row],[Prior day close]]),(Table13[[#This Row],[PM Hi]]-Table13[[#This Row],[MKT Open Price]])/(Table13[[#This Row],[PM Hi]]-Table13[[#This Row],[PM LO]]))</f>
        <v>#DIV/0!</v>
      </c>
      <c r="AK200" s="48" t="e">
        <f>IF(Table13[[#This Row],[Prior day close]]&lt;Table13[[#This Row],[PM LO]],(I200-K200)/(I200-Table13[[#This Row],[Prior day close]]),(I200-K200)/(I200-Table13[[#This Row],[PM LO]]))</f>
        <v>#DIV/0!</v>
      </c>
      <c r="AL200" s="48">
        <f>Table13[[#This Row],[Spike % on open before drop]]+AM200</f>
        <v>0</v>
      </c>
      <c r="AM200" s="18"/>
      <c r="AN200" s="16"/>
      <c r="AO200" s="48" t="e">
        <f>IF(Table13[[#This Row],[Prior day close]]&lt;=Table13[[#This Row],[PM LO]],IF($J200&gt;=$F200,($J200-$K200)/($J200-Table13[[#This Row],[Prior day close]]),(IF($H200&lt;=$K200,($F200-$H200)/($F200-Table13[[#This Row],[Prior day close]]),(Table13[[#This Row],[PM Hi]]-Table13[[#This Row],[Lowest lo from open to squeeze]])/(Table13[[#This Row],[PM Hi]]-Table13[[#This Row],[Prior day close]])))),IF($J200&gt;=$F200,($J200-$K200)/($J200-Table13[[#This Row],[PM LO]]),(IF($H200&lt;=$K200,($F200-$H200)/($F200-Table13[[#This Row],[PM LO]]),(Table13[[#This Row],[PM Hi]]-Table13[[#This Row],[Lowest lo from open to squeeze]])/(Table13[[#This Row],[PM Hi]]-Table13[[#This Row],[PM LO]])))))</f>
        <v>#DIV/0!</v>
      </c>
      <c r="AP200" s="18"/>
      <c r="AQ200" s="17">
        <f>390+Table13[[#This Row],[Time until ideal entry point (mins) from open]]</f>
        <v>390</v>
      </c>
      <c r="AR200" s="17">
        <f>Table13[[#This Row],[Time until ideal entry + 390 (6:30)]]+Table13[[#This Row],[Duration of frontside (mins)]]</f>
        <v>390</v>
      </c>
    </row>
    <row r="201" spans="1:44" hidden="1" x14ac:dyDescent="0.25">
      <c r="A201" s="24" t="s">
        <v>70</v>
      </c>
      <c r="B201" s="47">
        <v>44098</v>
      </c>
      <c r="C201" s="47" t="s">
        <v>143</v>
      </c>
      <c r="D201" s="12"/>
      <c r="E201" s="13"/>
      <c r="F201" s="12"/>
      <c r="G201" s="12"/>
      <c r="H201" s="12"/>
      <c r="I201" s="12"/>
      <c r="J201" s="12"/>
      <c r="K201" s="12"/>
      <c r="N201" s="13"/>
      <c r="P201" s="37"/>
      <c r="Q201" s="46"/>
      <c r="R201" s="37"/>
      <c r="S201" s="37"/>
      <c r="T201" s="37"/>
      <c r="U201" s="37"/>
      <c r="V201" s="38"/>
      <c r="W201" s="46"/>
      <c r="X201" s="37"/>
      <c r="Y201" s="46"/>
      <c r="Z201" s="41">
        <f>Table13[[#This Row],[Time until ideal entry + 390 (6:30)]]/(1440)</f>
        <v>0.27083333333333331</v>
      </c>
      <c r="AA201" s="18"/>
      <c r="AB201" s="18" t="e">
        <f>IF(Table13[[#This Row],[HOD AFTER PM HI]]&gt;=Table13[[#This Row],[PM Hi]],((Table13[[#This Row],[HOD AFTER PM HI]]-Table13[[#This Row],[Prior day close]])/Table13[[#This Row],[Prior day close]]),Table13[[#This Row],[Prior Close to PM Hi %]])</f>
        <v>#DIV/0!</v>
      </c>
      <c r="AC201" s="42" t="e">
        <f>(Table13[[#This Row],[Price at hi of squeeze]]-Table13[[#This Row],[MKT Open Price]])/Table13[[#This Row],[MKT Open Price]]</f>
        <v>#DIV/0!</v>
      </c>
      <c r="AD201" s="18" t="e">
        <f>(Table13[[#This Row],[Price at hi of squeeze]]-Table13[[#This Row],[PM Hi]])/Table13[[#This Row],[PM Hi]]</f>
        <v>#DIV/0!</v>
      </c>
      <c r="AE201" s="18"/>
      <c r="AF201" s="20" t="e">
        <f>Table13[[#This Row],[PM VOL]]/1000000/Table13[[#This Row],[FLOAT(M)]]</f>
        <v>#DIV/0!</v>
      </c>
      <c r="AG201" s="23" t="e">
        <f>(Table13[[#This Row],[Volume]]/1000000)/Table13[[#This Row],[FLOAT(M)]]</f>
        <v>#DIV/0!</v>
      </c>
      <c r="AI201" s="18" t="e">
        <f>(Table13[[#This Row],[PM Hi]]-Table13[[#This Row],[MKT Open Price]])/(Table13[[#This Row],[PM Hi]])</f>
        <v>#DIV/0!</v>
      </c>
      <c r="AJ201" s="18" t="e">
        <f>IF(Table13[[#This Row],[PM LO]]&gt;Table13[[#This Row],[Prior day close]],(Table13[[#This Row],[PM Hi]]-Table13[[#This Row],[MKT Open Price]])/(Table13[[#This Row],[PM Hi]]-Table13[[#This Row],[Prior day close]]),(Table13[[#This Row],[PM Hi]]-Table13[[#This Row],[MKT Open Price]])/(Table13[[#This Row],[PM Hi]]-Table13[[#This Row],[PM LO]]))</f>
        <v>#DIV/0!</v>
      </c>
      <c r="AK201" s="48" t="e">
        <f>IF(Table13[[#This Row],[Prior day close]]&lt;Table13[[#This Row],[PM LO]],(I201-K201)/(I201-Table13[[#This Row],[Prior day close]]),(I201-K201)/(I201-Table13[[#This Row],[PM LO]]))</f>
        <v>#DIV/0!</v>
      </c>
      <c r="AL201" s="48">
        <f>Table13[[#This Row],[Spike % on open before drop]]+AM201</f>
        <v>0</v>
      </c>
      <c r="AM201" s="18"/>
      <c r="AN201" s="16"/>
      <c r="AO201" s="48" t="e">
        <f>IF(Table13[[#This Row],[Prior day close]]&lt;=Table13[[#This Row],[PM LO]],IF($J201&gt;=$F201,($J201-$K201)/($J201-Table13[[#This Row],[Prior day close]]),(IF($H201&lt;=$K201,($F201-$H201)/($F201-Table13[[#This Row],[Prior day close]]),(Table13[[#This Row],[PM Hi]]-Table13[[#This Row],[Lowest lo from open to squeeze]])/(Table13[[#This Row],[PM Hi]]-Table13[[#This Row],[Prior day close]])))),IF($J201&gt;=$F201,($J201-$K201)/($J201-Table13[[#This Row],[PM LO]]),(IF($H201&lt;=$K201,($F201-$H201)/($F201-Table13[[#This Row],[PM LO]]),(Table13[[#This Row],[PM Hi]]-Table13[[#This Row],[Lowest lo from open to squeeze]])/(Table13[[#This Row],[PM Hi]]-Table13[[#This Row],[PM LO]])))))</f>
        <v>#DIV/0!</v>
      </c>
      <c r="AP201" s="18"/>
      <c r="AQ201" s="17">
        <f>390+Table13[[#This Row],[Time until ideal entry point (mins) from open]]</f>
        <v>390</v>
      </c>
      <c r="AR201" s="17">
        <f>Table13[[#This Row],[Time until ideal entry + 390 (6:30)]]+Table13[[#This Row],[Duration of frontside (mins)]]</f>
        <v>390</v>
      </c>
    </row>
    <row r="202" spans="1:44" hidden="1" x14ac:dyDescent="0.25">
      <c r="A202" s="24" t="s">
        <v>133</v>
      </c>
      <c r="B202" s="47">
        <v>44099</v>
      </c>
      <c r="C202" s="47" t="s">
        <v>143</v>
      </c>
      <c r="D202" s="12"/>
      <c r="E202" s="13"/>
      <c r="F202" s="12"/>
      <c r="G202" s="12"/>
      <c r="H202" s="12"/>
      <c r="I202" s="12"/>
      <c r="J202" s="12"/>
      <c r="K202" s="12"/>
      <c r="N202" s="13"/>
      <c r="P202" s="37"/>
      <c r="Q202" s="46"/>
      <c r="R202" s="37"/>
      <c r="S202" s="37"/>
      <c r="T202" s="37"/>
      <c r="U202" s="37"/>
      <c r="V202" s="38"/>
      <c r="W202" s="46"/>
      <c r="X202" s="37"/>
      <c r="Y202" s="46"/>
      <c r="Z202" s="41">
        <f>Table13[[#This Row],[Time until ideal entry + 390 (6:30)]]/(1440)</f>
        <v>0.27083333333333331</v>
      </c>
      <c r="AA202" s="18"/>
      <c r="AB202" s="18" t="e">
        <f>IF(Table13[[#This Row],[HOD AFTER PM HI]]&gt;=Table13[[#This Row],[PM Hi]],((Table13[[#This Row],[HOD AFTER PM HI]]-Table13[[#This Row],[Prior day close]])/Table13[[#This Row],[Prior day close]]),Table13[[#This Row],[Prior Close to PM Hi %]])</f>
        <v>#DIV/0!</v>
      </c>
      <c r="AC202" s="42" t="e">
        <f>(Table13[[#This Row],[Price at hi of squeeze]]-Table13[[#This Row],[MKT Open Price]])/Table13[[#This Row],[MKT Open Price]]</f>
        <v>#DIV/0!</v>
      </c>
      <c r="AD202" s="18" t="e">
        <f>(Table13[[#This Row],[Price at hi of squeeze]]-Table13[[#This Row],[PM Hi]])/Table13[[#This Row],[PM Hi]]</f>
        <v>#DIV/0!</v>
      </c>
      <c r="AE202" s="18"/>
      <c r="AF202" s="20" t="e">
        <f>Table13[[#This Row],[PM VOL]]/1000000/Table13[[#This Row],[FLOAT(M)]]</f>
        <v>#DIV/0!</v>
      </c>
      <c r="AG202" s="23" t="e">
        <f>(Table13[[#This Row],[Volume]]/1000000)/Table13[[#This Row],[FLOAT(M)]]</f>
        <v>#DIV/0!</v>
      </c>
      <c r="AI202" s="18" t="e">
        <f>(Table13[[#This Row],[PM Hi]]-Table13[[#This Row],[MKT Open Price]])/(Table13[[#This Row],[PM Hi]])</f>
        <v>#DIV/0!</v>
      </c>
      <c r="AJ202" s="18" t="e">
        <f>IF(Table13[[#This Row],[PM LO]]&gt;Table13[[#This Row],[Prior day close]],(Table13[[#This Row],[PM Hi]]-Table13[[#This Row],[MKT Open Price]])/(Table13[[#This Row],[PM Hi]]-Table13[[#This Row],[Prior day close]]),(Table13[[#This Row],[PM Hi]]-Table13[[#This Row],[MKT Open Price]])/(Table13[[#This Row],[PM Hi]]-Table13[[#This Row],[PM LO]]))</f>
        <v>#DIV/0!</v>
      </c>
      <c r="AK202" s="48" t="e">
        <f>IF(Table13[[#This Row],[Prior day close]]&lt;Table13[[#This Row],[PM LO]],(I202-K202)/(I202-Table13[[#This Row],[Prior day close]]),(I202-K202)/(I202-Table13[[#This Row],[PM LO]]))</f>
        <v>#DIV/0!</v>
      </c>
      <c r="AL202" s="48">
        <f>Table13[[#This Row],[Spike % on open before drop]]+AM202</f>
        <v>0</v>
      </c>
      <c r="AM202" s="18"/>
      <c r="AN202" s="16"/>
      <c r="AO202" s="48" t="e">
        <f>IF(Table13[[#This Row],[Prior day close]]&lt;=Table13[[#This Row],[PM LO]],IF($J202&gt;=$F202,($J202-$K202)/($J202-Table13[[#This Row],[Prior day close]]),(IF($H202&lt;=$K202,($F202-$H202)/($F202-Table13[[#This Row],[Prior day close]]),(Table13[[#This Row],[PM Hi]]-Table13[[#This Row],[Lowest lo from open to squeeze]])/(Table13[[#This Row],[PM Hi]]-Table13[[#This Row],[Prior day close]])))),IF($J202&gt;=$F202,($J202-$K202)/($J202-Table13[[#This Row],[PM LO]]),(IF($H202&lt;=$K202,($F202-$H202)/($F202-Table13[[#This Row],[PM LO]]),(Table13[[#This Row],[PM Hi]]-Table13[[#This Row],[Lowest lo from open to squeeze]])/(Table13[[#This Row],[PM Hi]]-Table13[[#This Row],[PM LO]])))))</f>
        <v>#DIV/0!</v>
      </c>
      <c r="AP202" s="18"/>
      <c r="AQ202" s="17">
        <f>390+Table13[[#This Row],[Time until ideal entry point (mins) from open]]</f>
        <v>390</v>
      </c>
      <c r="AR202" s="17">
        <f>Table13[[#This Row],[Time until ideal entry + 390 (6:30)]]+Table13[[#This Row],[Duration of frontside (mins)]]</f>
        <v>390</v>
      </c>
    </row>
    <row r="203" spans="1:44" hidden="1" x14ac:dyDescent="0.25">
      <c r="A203" s="24" t="s">
        <v>221</v>
      </c>
      <c r="B203" s="47">
        <v>44102</v>
      </c>
      <c r="C203" s="47" t="s">
        <v>143</v>
      </c>
      <c r="D203" s="12"/>
      <c r="E203" s="13"/>
      <c r="F203" s="12"/>
      <c r="G203" s="12"/>
      <c r="H203" s="12"/>
      <c r="I203" s="12"/>
      <c r="J203" s="12"/>
      <c r="K203" s="12"/>
      <c r="N203" s="13"/>
      <c r="P203" s="37"/>
      <c r="Q203" s="46"/>
      <c r="R203" s="37"/>
      <c r="S203" s="37"/>
      <c r="T203" s="37"/>
      <c r="U203" s="37"/>
      <c r="V203" s="38"/>
      <c r="W203" s="46"/>
      <c r="X203" s="37"/>
      <c r="Y203" s="46"/>
      <c r="Z203" s="41">
        <f>Table13[[#This Row],[Time until ideal entry + 390 (6:30)]]/(1440)</f>
        <v>0.27083333333333331</v>
      </c>
      <c r="AA203" s="18"/>
      <c r="AB203" s="18" t="e">
        <f>IF(Table13[[#This Row],[HOD AFTER PM HI]]&gt;=Table13[[#This Row],[PM Hi]],((Table13[[#This Row],[HOD AFTER PM HI]]-Table13[[#This Row],[Prior day close]])/Table13[[#This Row],[Prior day close]]),Table13[[#This Row],[Prior Close to PM Hi %]])</f>
        <v>#DIV/0!</v>
      </c>
      <c r="AC203" s="42" t="e">
        <f>(Table13[[#This Row],[Price at hi of squeeze]]-Table13[[#This Row],[MKT Open Price]])/Table13[[#This Row],[MKT Open Price]]</f>
        <v>#DIV/0!</v>
      </c>
      <c r="AD203" s="18" t="e">
        <f>(Table13[[#This Row],[Price at hi of squeeze]]-Table13[[#This Row],[PM Hi]])/Table13[[#This Row],[PM Hi]]</f>
        <v>#DIV/0!</v>
      </c>
      <c r="AE203" s="18"/>
      <c r="AF203" s="20" t="e">
        <f>Table13[[#This Row],[PM VOL]]/1000000/Table13[[#This Row],[FLOAT(M)]]</f>
        <v>#DIV/0!</v>
      </c>
      <c r="AG203" s="23" t="e">
        <f>(Table13[[#This Row],[Volume]]/1000000)/Table13[[#This Row],[FLOAT(M)]]</f>
        <v>#DIV/0!</v>
      </c>
      <c r="AI203" s="18" t="e">
        <f>(Table13[[#This Row],[PM Hi]]-Table13[[#This Row],[MKT Open Price]])/(Table13[[#This Row],[PM Hi]])</f>
        <v>#DIV/0!</v>
      </c>
      <c r="AJ203" s="18" t="e">
        <f>IF(Table13[[#This Row],[PM LO]]&gt;Table13[[#This Row],[Prior day close]],(Table13[[#This Row],[PM Hi]]-Table13[[#This Row],[MKT Open Price]])/(Table13[[#This Row],[PM Hi]]-Table13[[#This Row],[Prior day close]]),(Table13[[#This Row],[PM Hi]]-Table13[[#This Row],[MKT Open Price]])/(Table13[[#This Row],[PM Hi]]-Table13[[#This Row],[PM LO]]))</f>
        <v>#DIV/0!</v>
      </c>
      <c r="AK203" s="48" t="e">
        <f>IF(Table13[[#This Row],[Prior day close]]&lt;Table13[[#This Row],[PM LO]],(I203-K203)/(I203-Table13[[#This Row],[Prior day close]]),(I203-K203)/(I203-Table13[[#This Row],[PM LO]]))</f>
        <v>#DIV/0!</v>
      </c>
      <c r="AL203" s="48">
        <f>Table13[[#This Row],[Spike % on open before drop]]+AM203</f>
        <v>0</v>
      </c>
      <c r="AM203" s="18"/>
      <c r="AN203" s="16"/>
      <c r="AO203" s="48" t="e">
        <f>IF(Table13[[#This Row],[Prior day close]]&lt;=Table13[[#This Row],[PM LO]],IF($J203&gt;=$F203,($J203-$K203)/($J203-Table13[[#This Row],[Prior day close]]),(IF($H203&lt;=$K203,($F203-$H203)/($F203-Table13[[#This Row],[Prior day close]]),(Table13[[#This Row],[PM Hi]]-Table13[[#This Row],[Lowest lo from open to squeeze]])/(Table13[[#This Row],[PM Hi]]-Table13[[#This Row],[Prior day close]])))),IF($J203&gt;=$F203,($J203-$K203)/($J203-Table13[[#This Row],[PM LO]]),(IF($H203&lt;=$K203,($F203-$H203)/($F203-Table13[[#This Row],[PM LO]]),(Table13[[#This Row],[PM Hi]]-Table13[[#This Row],[Lowest lo from open to squeeze]])/(Table13[[#This Row],[PM Hi]]-Table13[[#This Row],[PM LO]])))))</f>
        <v>#DIV/0!</v>
      </c>
      <c r="AP203" s="18"/>
      <c r="AQ203" s="17">
        <f>390+Table13[[#This Row],[Time until ideal entry point (mins) from open]]</f>
        <v>390</v>
      </c>
      <c r="AR203" s="17">
        <f>Table13[[#This Row],[Time until ideal entry + 390 (6:30)]]+Table13[[#This Row],[Duration of frontside (mins)]]</f>
        <v>390</v>
      </c>
    </row>
    <row r="204" spans="1:44" hidden="1" x14ac:dyDescent="0.25">
      <c r="A204" s="24" t="s">
        <v>222</v>
      </c>
      <c r="B204" s="47">
        <v>44103</v>
      </c>
      <c r="C204" s="47" t="s">
        <v>71</v>
      </c>
      <c r="D204" s="12"/>
      <c r="E204" s="13"/>
      <c r="F204" s="12"/>
      <c r="G204" s="12"/>
      <c r="H204" s="12"/>
      <c r="I204" s="12"/>
      <c r="J204" s="12"/>
      <c r="K204" s="12"/>
      <c r="N204" s="13"/>
      <c r="P204" s="37"/>
      <c r="Q204" s="46"/>
      <c r="R204" s="37"/>
      <c r="S204" s="37"/>
      <c r="T204" s="37"/>
      <c r="U204" s="37"/>
      <c r="V204" s="38"/>
      <c r="W204" s="46"/>
      <c r="X204" s="37"/>
      <c r="Y204" s="46"/>
      <c r="Z204" s="41">
        <f>Table13[[#This Row],[Time until ideal entry + 390 (6:30)]]/(1440)</f>
        <v>0.27083333333333331</v>
      </c>
      <c r="AA204" s="18"/>
      <c r="AB204" s="18" t="e">
        <f>IF(Table13[[#This Row],[HOD AFTER PM HI]]&gt;=Table13[[#This Row],[PM Hi]],((Table13[[#This Row],[HOD AFTER PM HI]]-Table13[[#This Row],[Prior day close]])/Table13[[#This Row],[Prior day close]]),Table13[[#This Row],[Prior Close to PM Hi %]])</f>
        <v>#DIV/0!</v>
      </c>
      <c r="AC204" s="42" t="e">
        <f>(Table13[[#This Row],[Price at hi of squeeze]]-Table13[[#This Row],[MKT Open Price]])/Table13[[#This Row],[MKT Open Price]]</f>
        <v>#DIV/0!</v>
      </c>
      <c r="AD204" s="18" t="e">
        <f>(Table13[[#This Row],[Price at hi of squeeze]]-Table13[[#This Row],[PM Hi]])/Table13[[#This Row],[PM Hi]]</f>
        <v>#DIV/0!</v>
      </c>
      <c r="AE204" s="18"/>
      <c r="AF204" s="20" t="e">
        <f>Table13[[#This Row],[PM VOL]]/1000000/Table13[[#This Row],[FLOAT(M)]]</f>
        <v>#DIV/0!</v>
      </c>
      <c r="AG204" s="23" t="e">
        <f>(Table13[[#This Row],[Volume]]/1000000)/Table13[[#This Row],[FLOAT(M)]]</f>
        <v>#DIV/0!</v>
      </c>
      <c r="AI204" s="18" t="e">
        <f>(Table13[[#This Row],[PM Hi]]-Table13[[#This Row],[MKT Open Price]])/(Table13[[#This Row],[PM Hi]])</f>
        <v>#DIV/0!</v>
      </c>
      <c r="AJ204" s="18" t="e">
        <f>IF(Table13[[#This Row],[PM LO]]&gt;Table13[[#This Row],[Prior day close]],(Table13[[#This Row],[PM Hi]]-Table13[[#This Row],[MKT Open Price]])/(Table13[[#This Row],[PM Hi]]-Table13[[#This Row],[Prior day close]]),(Table13[[#This Row],[PM Hi]]-Table13[[#This Row],[MKT Open Price]])/(Table13[[#This Row],[PM Hi]]-Table13[[#This Row],[PM LO]]))</f>
        <v>#DIV/0!</v>
      </c>
      <c r="AK204" s="48" t="e">
        <f>IF(Table13[[#This Row],[Prior day close]]&lt;Table13[[#This Row],[PM LO]],(I204-K204)/(I204-Table13[[#This Row],[Prior day close]]),(I204-K204)/(I204-Table13[[#This Row],[PM LO]]))</f>
        <v>#DIV/0!</v>
      </c>
      <c r="AL204" s="48">
        <f>Table13[[#This Row],[Spike % on open before drop]]+AM204</f>
        <v>0</v>
      </c>
      <c r="AM204" s="18"/>
      <c r="AN204" s="16"/>
      <c r="AO204" s="48" t="e">
        <f>IF(Table13[[#This Row],[Prior day close]]&lt;=Table13[[#This Row],[PM LO]],IF($J204&gt;=$F204,($J204-$K204)/($J204-Table13[[#This Row],[Prior day close]]),(IF($H204&lt;=$K204,($F204-$H204)/($F204-Table13[[#This Row],[Prior day close]]),(Table13[[#This Row],[PM Hi]]-Table13[[#This Row],[Lowest lo from open to squeeze]])/(Table13[[#This Row],[PM Hi]]-Table13[[#This Row],[Prior day close]])))),IF($J204&gt;=$F204,($J204-$K204)/($J204-Table13[[#This Row],[PM LO]]),(IF($H204&lt;=$K204,($F204-$H204)/($F204-Table13[[#This Row],[PM LO]]),(Table13[[#This Row],[PM Hi]]-Table13[[#This Row],[Lowest lo from open to squeeze]])/(Table13[[#This Row],[PM Hi]]-Table13[[#This Row],[PM LO]])))))</f>
        <v>#DIV/0!</v>
      </c>
      <c r="AP204" s="18"/>
      <c r="AQ204" s="17">
        <f>390+Table13[[#This Row],[Time until ideal entry point (mins) from open]]</f>
        <v>390</v>
      </c>
      <c r="AR204" s="17">
        <f>Table13[[#This Row],[Time until ideal entry + 390 (6:30)]]+Table13[[#This Row],[Duration of frontside (mins)]]</f>
        <v>390</v>
      </c>
    </row>
    <row r="205" spans="1:44" hidden="1" x14ac:dyDescent="0.25">
      <c r="A205" s="24" t="s">
        <v>223</v>
      </c>
      <c r="B205" s="47">
        <v>44104</v>
      </c>
      <c r="C205" s="47" t="s">
        <v>71</v>
      </c>
      <c r="D205" s="12"/>
      <c r="E205" s="13"/>
      <c r="F205" s="12"/>
      <c r="G205" s="12"/>
      <c r="H205" s="12"/>
      <c r="I205" s="12"/>
      <c r="J205" s="12"/>
      <c r="K205" s="12"/>
      <c r="N205" s="13"/>
      <c r="P205" s="37"/>
      <c r="Q205" s="46"/>
      <c r="R205" s="37"/>
      <c r="S205" s="37"/>
      <c r="T205" s="37"/>
      <c r="U205" s="37"/>
      <c r="V205" s="38"/>
      <c r="W205" s="46"/>
      <c r="X205" s="37"/>
      <c r="Y205" s="46"/>
      <c r="Z205" s="41">
        <f>Table13[[#This Row],[Time until ideal entry + 390 (6:30)]]/(1440)</f>
        <v>0.27083333333333331</v>
      </c>
      <c r="AA205" s="18"/>
      <c r="AB205" s="18" t="e">
        <f>IF(Table13[[#This Row],[HOD AFTER PM HI]]&gt;=Table13[[#This Row],[PM Hi]],((Table13[[#This Row],[HOD AFTER PM HI]]-Table13[[#This Row],[Prior day close]])/Table13[[#This Row],[Prior day close]]),Table13[[#This Row],[Prior Close to PM Hi %]])</f>
        <v>#DIV/0!</v>
      </c>
      <c r="AC205" s="42" t="e">
        <f>(Table13[[#This Row],[Price at hi of squeeze]]-Table13[[#This Row],[MKT Open Price]])/Table13[[#This Row],[MKT Open Price]]</f>
        <v>#DIV/0!</v>
      </c>
      <c r="AD205" s="18" t="e">
        <f>(Table13[[#This Row],[Price at hi of squeeze]]-Table13[[#This Row],[PM Hi]])/Table13[[#This Row],[PM Hi]]</f>
        <v>#DIV/0!</v>
      </c>
      <c r="AE205" s="18"/>
      <c r="AF205" s="20" t="e">
        <f>Table13[[#This Row],[PM VOL]]/1000000/Table13[[#This Row],[FLOAT(M)]]</f>
        <v>#DIV/0!</v>
      </c>
      <c r="AG205" s="23" t="e">
        <f>(Table13[[#This Row],[Volume]]/1000000)/Table13[[#This Row],[FLOAT(M)]]</f>
        <v>#DIV/0!</v>
      </c>
      <c r="AI205" s="18" t="e">
        <f>(Table13[[#This Row],[PM Hi]]-Table13[[#This Row],[MKT Open Price]])/(Table13[[#This Row],[PM Hi]])</f>
        <v>#DIV/0!</v>
      </c>
      <c r="AJ205" s="18" t="e">
        <f>IF(Table13[[#This Row],[PM LO]]&gt;Table13[[#This Row],[Prior day close]],(Table13[[#This Row],[PM Hi]]-Table13[[#This Row],[MKT Open Price]])/(Table13[[#This Row],[PM Hi]]-Table13[[#This Row],[Prior day close]]),(Table13[[#This Row],[PM Hi]]-Table13[[#This Row],[MKT Open Price]])/(Table13[[#This Row],[PM Hi]]-Table13[[#This Row],[PM LO]]))</f>
        <v>#DIV/0!</v>
      </c>
      <c r="AK205" s="48" t="e">
        <f>IF(Table13[[#This Row],[Prior day close]]&lt;Table13[[#This Row],[PM LO]],(I205-K205)/(I205-Table13[[#This Row],[Prior day close]]),(I205-K205)/(I205-Table13[[#This Row],[PM LO]]))</f>
        <v>#DIV/0!</v>
      </c>
      <c r="AL205" s="48">
        <f>Table13[[#This Row],[Spike % on open before drop]]+AM205</f>
        <v>0</v>
      </c>
      <c r="AM205" s="18"/>
      <c r="AN205" s="16"/>
      <c r="AO205" s="48" t="e">
        <f>IF(Table13[[#This Row],[Prior day close]]&lt;=Table13[[#This Row],[PM LO]],IF($J205&gt;=$F205,($J205-$K205)/($J205-Table13[[#This Row],[Prior day close]]),(IF($H205&lt;=$K205,($F205-$H205)/($F205-Table13[[#This Row],[Prior day close]]),(Table13[[#This Row],[PM Hi]]-Table13[[#This Row],[Lowest lo from open to squeeze]])/(Table13[[#This Row],[PM Hi]]-Table13[[#This Row],[Prior day close]])))),IF($J205&gt;=$F205,($J205-$K205)/($J205-Table13[[#This Row],[PM LO]]),(IF($H205&lt;=$K205,($F205-$H205)/($F205-Table13[[#This Row],[PM LO]]),(Table13[[#This Row],[PM Hi]]-Table13[[#This Row],[Lowest lo from open to squeeze]])/(Table13[[#This Row],[PM Hi]]-Table13[[#This Row],[PM LO]])))))</f>
        <v>#DIV/0!</v>
      </c>
      <c r="AP205" s="18"/>
      <c r="AQ205" s="17">
        <f>390+Table13[[#This Row],[Time until ideal entry point (mins) from open]]</f>
        <v>390</v>
      </c>
      <c r="AR205" s="17">
        <f>Table13[[#This Row],[Time until ideal entry + 390 (6:30)]]+Table13[[#This Row],[Duration of frontside (mins)]]</f>
        <v>390</v>
      </c>
    </row>
    <row r="206" spans="1:44" hidden="1" x14ac:dyDescent="0.25">
      <c r="A206" s="24" t="s">
        <v>224</v>
      </c>
      <c r="B206" s="47">
        <v>44105</v>
      </c>
      <c r="C206" s="47" t="s">
        <v>71</v>
      </c>
      <c r="D206" s="12"/>
      <c r="E206" s="13"/>
      <c r="F206" s="12"/>
      <c r="G206" s="12"/>
      <c r="H206" s="12"/>
      <c r="I206" s="12"/>
      <c r="J206" s="12"/>
      <c r="K206" s="12"/>
      <c r="N206" s="13"/>
      <c r="P206" s="37"/>
      <c r="Q206" s="46"/>
      <c r="R206" s="37"/>
      <c r="S206" s="37"/>
      <c r="T206" s="37"/>
      <c r="U206" s="37"/>
      <c r="V206" s="38"/>
      <c r="W206" s="46"/>
      <c r="X206" s="37"/>
      <c r="Y206" s="46"/>
      <c r="Z206" s="41">
        <f>Table13[[#This Row],[Time until ideal entry + 390 (6:30)]]/(1440)</f>
        <v>0.27083333333333331</v>
      </c>
      <c r="AA206" s="18"/>
      <c r="AB206" s="18" t="e">
        <f>IF(Table13[[#This Row],[HOD AFTER PM HI]]&gt;=Table13[[#This Row],[PM Hi]],((Table13[[#This Row],[HOD AFTER PM HI]]-Table13[[#This Row],[Prior day close]])/Table13[[#This Row],[Prior day close]]),Table13[[#This Row],[Prior Close to PM Hi %]])</f>
        <v>#DIV/0!</v>
      </c>
      <c r="AC206" s="42" t="e">
        <f>(Table13[[#This Row],[Price at hi of squeeze]]-Table13[[#This Row],[MKT Open Price]])/Table13[[#This Row],[MKT Open Price]]</f>
        <v>#DIV/0!</v>
      </c>
      <c r="AD206" s="18" t="e">
        <f>(Table13[[#This Row],[Price at hi of squeeze]]-Table13[[#This Row],[PM Hi]])/Table13[[#This Row],[PM Hi]]</f>
        <v>#DIV/0!</v>
      </c>
      <c r="AE206" s="18"/>
      <c r="AF206" s="20" t="e">
        <f>Table13[[#This Row],[PM VOL]]/1000000/Table13[[#This Row],[FLOAT(M)]]</f>
        <v>#DIV/0!</v>
      </c>
      <c r="AG206" s="23" t="e">
        <f>(Table13[[#This Row],[Volume]]/1000000)/Table13[[#This Row],[FLOAT(M)]]</f>
        <v>#DIV/0!</v>
      </c>
      <c r="AI206" s="18" t="e">
        <f>(Table13[[#This Row],[PM Hi]]-Table13[[#This Row],[MKT Open Price]])/(Table13[[#This Row],[PM Hi]])</f>
        <v>#DIV/0!</v>
      </c>
      <c r="AJ206" s="18" t="e">
        <f>IF(Table13[[#This Row],[PM LO]]&gt;Table13[[#This Row],[Prior day close]],(Table13[[#This Row],[PM Hi]]-Table13[[#This Row],[MKT Open Price]])/(Table13[[#This Row],[PM Hi]]-Table13[[#This Row],[Prior day close]]),(Table13[[#This Row],[PM Hi]]-Table13[[#This Row],[MKT Open Price]])/(Table13[[#This Row],[PM Hi]]-Table13[[#This Row],[PM LO]]))</f>
        <v>#DIV/0!</v>
      </c>
      <c r="AK206" s="48" t="e">
        <f>IF(Table13[[#This Row],[Prior day close]]&lt;Table13[[#This Row],[PM LO]],(I206-K206)/(I206-Table13[[#This Row],[Prior day close]]),(I206-K206)/(I206-Table13[[#This Row],[PM LO]]))</f>
        <v>#DIV/0!</v>
      </c>
      <c r="AL206" s="48">
        <f>Table13[[#This Row],[Spike % on open before drop]]+AM206</f>
        <v>0</v>
      </c>
      <c r="AM206" s="18"/>
      <c r="AN206" s="16"/>
      <c r="AO206" s="48" t="e">
        <f>IF(Table13[[#This Row],[Prior day close]]&lt;=Table13[[#This Row],[PM LO]],IF($J206&gt;=$F206,($J206-$K206)/($J206-Table13[[#This Row],[Prior day close]]),(IF($H206&lt;=$K206,($F206-$H206)/($F206-Table13[[#This Row],[Prior day close]]),(Table13[[#This Row],[PM Hi]]-Table13[[#This Row],[Lowest lo from open to squeeze]])/(Table13[[#This Row],[PM Hi]]-Table13[[#This Row],[Prior day close]])))),IF($J206&gt;=$F206,($J206-$K206)/($J206-Table13[[#This Row],[PM LO]]),(IF($H206&lt;=$K206,($F206-$H206)/($F206-Table13[[#This Row],[PM LO]]),(Table13[[#This Row],[PM Hi]]-Table13[[#This Row],[Lowest lo from open to squeeze]])/(Table13[[#This Row],[PM Hi]]-Table13[[#This Row],[PM LO]])))))</f>
        <v>#DIV/0!</v>
      </c>
      <c r="AP206" s="18"/>
      <c r="AQ206" s="17">
        <f>390+Table13[[#This Row],[Time until ideal entry point (mins) from open]]</f>
        <v>390</v>
      </c>
      <c r="AR206" s="17">
        <f>Table13[[#This Row],[Time until ideal entry + 390 (6:30)]]+Table13[[#This Row],[Duration of frontside (mins)]]</f>
        <v>390</v>
      </c>
    </row>
    <row r="207" spans="1:44" hidden="1" x14ac:dyDescent="0.25">
      <c r="A207" s="24" t="s">
        <v>225</v>
      </c>
      <c r="B207" s="47">
        <v>44109</v>
      </c>
      <c r="C207" s="47" t="s">
        <v>143</v>
      </c>
      <c r="D207" s="12"/>
      <c r="E207" s="13"/>
      <c r="F207" s="12"/>
      <c r="G207" s="12"/>
      <c r="H207" s="12"/>
      <c r="I207" s="12"/>
      <c r="J207" s="12"/>
      <c r="K207" s="12"/>
      <c r="N207" s="13"/>
      <c r="P207" s="37"/>
      <c r="Q207" s="46"/>
      <c r="R207" s="37"/>
      <c r="S207" s="37"/>
      <c r="T207" s="37"/>
      <c r="U207" s="37"/>
      <c r="V207" s="38"/>
      <c r="W207" s="46"/>
      <c r="X207" s="37"/>
      <c r="Y207" s="46"/>
      <c r="Z207" s="41">
        <f>Table13[[#This Row],[Time until ideal entry + 390 (6:30)]]/(1440)</f>
        <v>0.27083333333333331</v>
      </c>
      <c r="AA207" s="18"/>
      <c r="AB207" s="18" t="e">
        <f>IF(Table13[[#This Row],[HOD AFTER PM HI]]&gt;=Table13[[#This Row],[PM Hi]],((Table13[[#This Row],[HOD AFTER PM HI]]-Table13[[#This Row],[Prior day close]])/Table13[[#This Row],[Prior day close]]),Table13[[#This Row],[Prior Close to PM Hi %]])</f>
        <v>#DIV/0!</v>
      </c>
      <c r="AC207" s="42" t="e">
        <f>(Table13[[#This Row],[Price at hi of squeeze]]-Table13[[#This Row],[MKT Open Price]])/Table13[[#This Row],[MKT Open Price]]</f>
        <v>#DIV/0!</v>
      </c>
      <c r="AD207" s="18" t="e">
        <f>(Table13[[#This Row],[Price at hi of squeeze]]-Table13[[#This Row],[PM Hi]])/Table13[[#This Row],[PM Hi]]</f>
        <v>#DIV/0!</v>
      </c>
      <c r="AE207" s="18"/>
      <c r="AF207" s="20" t="e">
        <f>Table13[[#This Row],[PM VOL]]/1000000/Table13[[#This Row],[FLOAT(M)]]</f>
        <v>#DIV/0!</v>
      </c>
      <c r="AG207" s="23" t="e">
        <f>(Table13[[#This Row],[Volume]]/1000000)/Table13[[#This Row],[FLOAT(M)]]</f>
        <v>#DIV/0!</v>
      </c>
      <c r="AI207" s="18" t="e">
        <f>(Table13[[#This Row],[PM Hi]]-Table13[[#This Row],[MKT Open Price]])/(Table13[[#This Row],[PM Hi]])</f>
        <v>#DIV/0!</v>
      </c>
      <c r="AJ207" s="18" t="e">
        <f>IF(Table13[[#This Row],[PM LO]]&gt;Table13[[#This Row],[Prior day close]],(Table13[[#This Row],[PM Hi]]-Table13[[#This Row],[MKT Open Price]])/(Table13[[#This Row],[PM Hi]]-Table13[[#This Row],[Prior day close]]),(Table13[[#This Row],[PM Hi]]-Table13[[#This Row],[MKT Open Price]])/(Table13[[#This Row],[PM Hi]]-Table13[[#This Row],[PM LO]]))</f>
        <v>#DIV/0!</v>
      </c>
      <c r="AK207" s="48" t="e">
        <f>IF(Table13[[#This Row],[Prior day close]]&lt;Table13[[#This Row],[PM LO]],(I207-K207)/(I207-Table13[[#This Row],[Prior day close]]),(I207-K207)/(I207-Table13[[#This Row],[PM LO]]))</f>
        <v>#DIV/0!</v>
      </c>
      <c r="AL207" s="48">
        <f>Table13[[#This Row],[Spike % on open before drop]]+AM207</f>
        <v>0</v>
      </c>
      <c r="AM207" s="18"/>
      <c r="AN207" s="16"/>
      <c r="AO207" s="48" t="e">
        <f>IF(Table13[[#This Row],[Prior day close]]&lt;=Table13[[#This Row],[PM LO]],IF($J207&gt;=$F207,($J207-$K207)/($J207-Table13[[#This Row],[Prior day close]]),(IF($H207&lt;=$K207,($F207-$H207)/($F207-Table13[[#This Row],[Prior day close]]),(Table13[[#This Row],[PM Hi]]-Table13[[#This Row],[Lowest lo from open to squeeze]])/(Table13[[#This Row],[PM Hi]]-Table13[[#This Row],[Prior day close]])))),IF($J207&gt;=$F207,($J207-$K207)/($J207-Table13[[#This Row],[PM LO]]),(IF($H207&lt;=$K207,($F207-$H207)/($F207-Table13[[#This Row],[PM LO]]),(Table13[[#This Row],[PM Hi]]-Table13[[#This Row],[Lowest lo from open to squeeze]])/(Table13[[#This Row],[PM Hi]]-Table13[[#This Row],[PM LO]])))))</f>
        <v>#DIV/0!</v>
      </c>
      <c r="AP207" s="18"/>
      <c r="AQ207" s="17">
        <f>390+Table13[[#This Row],[Time until ideal entry point (mins) from open]]</f>
        <v>390</v>
      </c>
      <c r="AR207" s="17">
        <f>Table13[[#This Row],[Time until ideal entry + 390 (6:30)]]+Table13[[#This Row],[Duration of frontside (mins)]]</f>
        <v>390</v>
      </c>
    </row>
    <row r="208" spans="1:44" hidden="1" x14ac:dyDescent="0.25">
      <c r="A208" s="24" t="s">
        <v>226</v>
      </c>
      <c r="B208" s="47">
        <v>44109</v>
      </c>
      <c r="C208" s="47" t="s">
        <v>71</v>
      </c>
      <c r="D208" s="12"/>
      <c r="E208" s="13"/>
      <c r="F208" s="12"/>
      <c r="G208" s="12"/>
      <c r="H208" s="12"/>
      <c r="I208" s="12"/>
      <c r="J208" s="12"/>
      <c r="K208" s="12"/>
      <c r="N208" s="13"/>
      <c r="P208" s="37"/>
      <c r="Q208" s="46"/>
      <c r="R208" s="37"/>
      <c r="S208" s="37"/>
      <c r="T208" s="37"/>
      <c r="U208" s="37"/>
      <c r="V208" s="38"/>
      <c r="W208" s="46"/>
      <c r="X208" s="37"/>
      <c r="Y208" s="46"/>
      <c r="Z208" s="41">
        <f>Table13[[#This Row],[Time until ideal entry + 390 (6:30)]]/(1440)</f>
        <v>0.27083333333333331</v>
      </c>
      <c r="AA208" s="18"/>
      <c r="AB208" s="18" t="e">
        <f>IF(Table13[[#This Row],[HOD AFTER PM HI]]&gt;=Table13[[#This Row],[PM Hi]],((Table13[[#This Row],[HOD AFTER PM HI]]-Table13[[#This Row],[Prior day close]])/Table13[[#This Row],[Prior day close]]),Table13[[#This Row],[Prior Close to PM Hi %]])</f>
        <v>#DIV/0!</v>
      </c>
      <c r="AC208" s="42" t="e">
        <f>(Table13[[#This Row],[Price at hi of squeeze]]-Table13[[#This Row],[MKT Open Price]])/Table13[[#This Row],[MKT Open Price]]</f>
        <v>#DIV/0!</v>
      </c>
      <c r="AD208" s="18" t="e">
        <f>(Table13[[#This Row],[Price at hi of squeeze]]-Table13[[#This Row],[PM Hi]])/Table13[[#This Row],[PM Hi]]</f>
        <v>#DIV/0!</v>
      </c>
      <c r="AE208" s="18"/>
      <c r="AF208" s="20" t="e">
        <f>Table13[[#This Row],[PM VOL]]/1000000/Table13[[#This Row],[FLOAT(M)]]</f>
        <v>#DIV/0!</v>
      </c>
      <c r="AG208" s="23" t="e">
        <f>(Table13[[#This Row],[Volume]]/1000000)/Table13[[#This Row],[FLOAT(M)]]</f>
        <v>#DIV/0!</v>
      </c>
      <c r="AI208" s="18" t="e">
        <f>(Table13[[#This Row],[PM Hi]]-Table13[[#This Row],[MKT Open Price]])/(Table13[[#This Row],[PM Hi]])</f>
        <v>#DIV/0!</v>
      </c>
      <c r="AJ208" s="18" t="e">
        <f>IF(Table13[[#This Row],[PM LO]]&gt;Table13[[#This Row],[Prior day close]],(Table13[[#This Row],[PM Hi]]-Table13[[#This Row],[MKT Open Price]])/(Table13[[#This Row],[PM Hi]]-Table13[[#This Row],[Prior day close]]),(Table13[[#This Row],[PM Hi]]-Table13[[#This Row],[MKT Open Price]])/(Table13[[#This Row],[PM Hi]]-Table13[[#This Row],[PM LO]]))</f>
        <v>#DIV/0!</v>
      </c>
      <c r="AK208" s="48" t="e">
        <f>IF(Table13[[#This Row],[Prior day close]]&lt;Table13[[#This Row],[PM LO]],(I208-K208)/(I208-Table13[[#This Row],[Prior day close]]),(I208-K208)/(I208-Table13[[#This Row],[PM LO]]))</f>
        <v>#DIV/0!</v>
      </c>
      <c r="AL208" s="48">
        <f>Table13[[#This Row],[Spike % on open before drop]]+AM208</f>
        <v>0</v>
      </c>
      <c r="AM208" s="18"/>
      <c r="AN208" s="16"/>
      <c r="AO208" s="48" t="e">
        <f>IF(Table13[[#This Row],[Prior day close]]&lt;=Table13[[#This Row],[PM LO]],IF($J208&gt;=$F208,($J208-$K208)/($J208-Table13[[#This Row],[Prior day close]]),(IF($H208&lt;=$K208,($F208-$H208)/($F208-Table13[[#This Row],[Prior day close]]),(Table13[[#This Row],[PM Hi]]-Table13[[#This Row],[Lowest lo from open to squeeze]])/(Table13[[#This Row],[PM Hi]]-Table13[[#This Row],[Prior day close]])))),IF($J208&gt;=$F208,($J208-$K208)/($J208-Table13[[#This Row],[PM LO]]),(IF($H208&lt;=$K208,($F208-$H208)/($F208-Table13[[#This Row],[PM LO]]),(Table13[[#This Row],[PM Hi]]-Table13[[#This Row],[Lowest lo from open to squeeze]])/(Table13[[#This Row],[PM Hi]]-Table13[[#This Row],[PM LO]])))))</f>
        <v>#DIV/0!</v>
      </c>
      <c r="AP208" s="18"/>
      <c r="AQ208" s="17">
        <f>390+Table13[[#This Row],[Time until ideal entry point (mins) from open]]</f>
        <v>390</v>
      </c>
      <c r="AR208" s="17">
        <f>Table13[[#This Row],[Time until ideal entry + 390 (6:30)]]+Table13[[#This Row],[Duration of frontside (mins)]]</f>
        <v>390</v>
      </c>
    </row>
    <row r="209" spans="1:44" hidden="1" x14ac:dyDescent="0.25">
      <c r="A209" s="24" t="s">
        <v>67</v>
      </c>
      <c r="B209" s="47">
        <v>44113</v>
      </c>
      <c r="C209" s="47" t="s">
        <v>71</v>
      </c>
      <c r="D209" s="12"/>
      <c r="E209" s="13"/>
      <c r="F209" s="12"/>
      <c r="G209" s="12"/>
      <c r="H209" s="12"/>
      <c r="I209" s="12"/>
      <c r="J209" s="12"/>
      <c r="K209" s="12"/>
      <c r="N209" s="13"/>
      <c r="P209" s="37"/>
      <c r="Q209" s="46"/>
      <c r="R209" s="37"/>
      <c r="S209" s="37"/>
      <c r="T209" s="37"/>
      <c r="U209" s="37"/>
      <c r="V209" s="38"/>
      <c r="W209" s="46"/>
      <c r="X209" s="37"/>
      <c r="Y209" s="46"/>
      <c r="Z209" s="41">
        <f>Table13[[#This Row],[Time until ideal entry + 390 (6:30)]]/(1440)</f>
        <v>0.27083333333333331</v>
      </c>
      <c r="AA209" s="18"/>
      <c r="AB209" s="18" t="e">
        <f>IF(Table13[[#This Row],[HOD AFTER PM HI]]&gt;=Table13[[#This Row],[PM Hi]],((Table13[[#This Row],[HOD AFTER PM HI]]-Table13[[#This Row],[Prior day close]])/Table13[[#This Row],[Prior day close]]),Table13[[#This Row],[Prior Close to PM Hi %]])</f>
        <v>#DIV/0!</v>
      </c>
      <c r="AC209" s="42" t="e">
        <f>(Table13[[#This Row],[Price at hi of squeeze]]-Table13[[#This Row],[MKT Open Price]])/Table13[[#This Row],[MKT Open Price]]</f>
        <v>#DIV/0!</v>
      </c>
      <c r="AD209" s="18" t="e">
        <f>(Table13[[#This Row],[Price at hi of squeeze]]-Table13[[#This Row],[PM Hi]])/Table13[[#This Row],[PM Hi]]</f>
        <v>#DIV/0!</v>
      </c>
      <c r="AE209" s="18"/>
      <c r="AF209" s="20" t="e">
        <f>Table13[[#This Row],[PM VOL]]/1000000/Table13[[#This Row],[FLOAT(M)]]</f>
        <v>#DIV/0!</v>
      </c>
      <c r="AG209" s="23" t="e">
        <f>(Table13[[#This Row],[Volume]]/1000000)/Table13[[#This Row],[FLOAT(M)]]</f>
        <v>#DIV/0!</v>
      </c>
      <c r="AI209" s="18" t="e">
        <f>(Table13[[#This Row],[PM Hi]]-Table13[[#This Row],[MKT Open Price]])/(Table13[[#This Row],[PM Hi]])</f>
        <v>#DIV/0!</v>
      </c>
      <c r="AJ209" s="18" t="e">
        <f>IF(Table13[[#This Row],[PM LO]]&gt;Table13[[#This Row],[Prior day close]],(Table13[[#This Row],[PM Hi]]-Table13[[#This Row],[MKT Open Price]])/(Table13[[#This Row],[PM Hi]]-Table13[[#This Row],[Prior day close]]),(Table13[[#This Row],[PM Hi]]-Table13[[#This Row],[MKT Open Price]])/(Table13[[#This Row],[PM Hi]]-Table13[[#This Row],[PM LO]]))</f>
        <v>#DIV/0!</v>
      </c>
      <c r="AK209" s="48" t="e">
        <f>IF(Table13[[#This Row],[Prior day close]]&lt;Table13[[#This Row],[PM LO]],(I209-K209)/(I209-Table13[[#This Row],[Prior day close]]),(I209-K209)/(I209-Table13[[#This Row],[PM LO]]))</f>
        <v>#DIV/0!</v>
      </c>
      <c r="AL209" s="48">
        <f>Table13[[#This Row],[Spike % on open before drop]]+AM209</f>
        <v>0</v>
      </c>
      <c r="AM209" s="18"/>
      <c r="AN209" s="16"/>
      <c r="AO209" s="48" t="e">
        <f>IF(Table13[[#This Row],[Prior day close]]&lt;=Table13[[#This Row],[PM LO]],IF($J209&gt;=$F209,($J209-$K209)/($J209-Table13[[#This Row],[Prior day close]]),(IF($H209&lt;=$K209,($F209-$H209)/($F209-Table13[[#This Row],[Prior day close]]),(Table13[[#This Row],[PM Hi]]-Table13[[#This Row],[Lowest lo from open to squeeze]])/(Table13[[#This Row],[PM Hi]]-Table13[[#This Row],[Prior day close]])))),IF($J209&gt;=$F209,($J209-$K209)/($J209-Table13[[#This Row],[PM LO]]),(IF($H209&lt;=$K209,($F209-$H209)/($F209-Table13[[#This Row],[PM LO]]),(Table13[[#This Row],[PM Hi]]-Table13[[#This Row],[Lowest lo from open to squeeze]])/(Table13[[#This Row],[PM Hi]]-Table13[[#This Row],[PM LO]])))))</f>
        <v>#DIV/0!</v>
      </c>
      <c r="AP209" s="18"/>
      <c r="AQ209" s="17">
        <f>390+Table13[[#This Row],[Time until ideal entry point (mins) from open]]</f>
        <v>390</v>
      </c>
      <c r="AR209" s="17">
        <f>Table13[[#This Row],[Time until ideal entry + 390 (6:30)]]+Table13[[#This Row],[Duration of frontside (mins)]]</f>
        <v>390</v>
      </c>
    </row>
    <row r="210" spans="1:44" hidden="1" x14ac:dyDescent="0.25">
      <c r="A210" s="24" t="s">
        <v>227</v>
      </c>
      <c r="B210" s="47">
        <v>44113</v>
      </c>
      <c r="C210" s="47" t="s">
        <v>71</v>
      </c>
      <c r="D210" s="12"/>
      <c r="E210" s="13"/>
      <c r="F210" s="12"/>
      <c r="G210" s="12"/>
      <c r="H210" s="12"/>
      <c r="I210" s="12"/>
      <c r="J210" s="12"/>
      <c r="K210" s="12"/>
      <c r="N210" s="13"/>
      <c r="P210" s="37"/>
      <c r="Q210" s="46"/>
      <c r="R210" s="37"/>
      <c r="S210" s="37"/>
      <c r="T210" s="37"/>
      <c r="U210" s="37"/>
      <c r="V210" s="38"/>
      <c r="W210" s="46"/>
      <c r="X210" s="37"/>
      <c r="Y210" s="46"/>
      <c r="Z210" s="41">
        <f>Table13[[#This Row],[Time until ideal entry + 390 (6:30)]]/(1440)</f>
        <v>0.27083333333333331</v>
      </c>
      <c r="AA210" s="18"/>
      <c r="AB210" s="18" t="e">
        <f>IF(Table13[[#This Row],[HOD AFTER PM HI]]&gt;=Table13[[#This Row],[PM Hi]],((Table13[[#This Row],[HOD AFTER PM HI]]-Table13[[#This Row],[Prior day close]])/Table13[[#This Row],[Prior day close]]),Table13[[#This Row],[Prior Close to PM Hi %]])</f>
        <v>#DIV/0!</v>
      </c>
      <c r="AC210" s="42" t="e">
        <f>(Table13[[#This Row],[Price at hi of squeeze]]-Table13[[#This Row],[MKT Open Price]])/Table13[[#This Row],[MKT Open Price]]</f>
        <v>#DIV/0!</v>
      </c>
      <c r="AD210" s="18" t="e">
        <f>(Table13[[#This Row],[Price at hi of squeeze]]-Table13[[#This Row],[PM Hi]])/Table13[[#This Row],[PM Hi]]</f>
        <v>#DIV/0!</v>
      </c>
      <c r="AE210" s="18"/>
      <c r="AF210" s="20" t="e">
        <f>Table13[[#This Row],[PM VOL]]/1000000/Table13[[#This Row],[FLOAT(M)]]</f>
        <v>#DIV/0!</v>
      </c>
      <c r="AG210" s="23" t="e">
        <f>(Table13[[#This Row],[Volume]]/1000000)/Table13[[#This Row],[FLOAT(M)]]</f>
        <v>#DIV/0!</v>
      </c>
      <c r="AI210" s="18" t="e">
        <f>(Table13[[#This Row],[PM Hi]]-Table13[[#This Row],[MKT Open Price]])/(Table13[[#This Row],[PM Hi]])</f>
        <v>#DIV/0!</v>
      </c>
      <c r="AJ210" s="18" t="e">
        <f>IF(Table13[[#This Row],[PM LO]]&gt;Table13[[#This Row],[Prior day close]],(Table13[[#This Row],[PM Hi]]-Table13[[#This Row],[MKT Open Price]])/(Table13[[#This Row],[PM Hi]]-Table13[[#This Row],[Prior day close]]),(Table13[[#This Row],[PM Hi]]-Table13[[#This Row],[MKT Open Price]])/(Table13[[#This Row],[PM Hi]]-Table13[[#This Row],[PM LO]]))</f>
        <v>#DIV/0!</v>
      </c>
      <c r="AK210" s="48" t="e">
        <f>IF(Table13[[#This Row],[Prior day close]]&lt;Table13[[#This Row],[PM LO]],(I210-K210)/(I210-Table13[[#This Row],[Prior day close]]),(I210-K210)/(I210-Table13[[#This Row],[PM LO]]))</f>
        <v>#DIV/0!</v>
      </c>
      <c r="AL210" s="48">
        <f>Table13[[#This Row],[Spike % on open before drop]]+AM210</f>
        <v>0</v>
      </c>
      <c r="AM210" s="18"/>
      <c r="AN210" s="16"/>
      <c r="AO210" s="48" t="e">
        <f>IF(Table13[[#This Row],[Prior day close]]&lt;=Table13[[#This Row],[PM LO]],IF($J210&gt;=$F210,($J210-$K210)/($J210-Table13[[#This Row],[Prior day close]]),(IF($H210&lt;=$K210,($F210-$H210)/($F210-Table13[[#This Row],[Prior day close]]),(Table13[[#This Row],[PM Hi]]-Table13[[#This Row],[Lowest lo from open to squeeze]])/(Table13[[#This Row],[PM Hi]]-Table13[[#This Row],[Prior day close]])))),IF($J210&gt;=$F210,($J210-$K210)/($J210-Table13[[#This Row],[PM LO]]),(IF($H210&lt;=$K210,($F210-$H210)/($F210-Table13[[#This Row],[PM LO]]),(Table13[[#This Row],[PM Hi]]-Table13[[#This Row],[Lowest lo from open to squeeze]])/(Table13[[#This Row],[PM Hi]]-Table13[[#This Row],[PM LO]])))))</f>
        <v>#DIV/0!</v>
      </c>
      <c r="AP210" s="18"/>
      <c r="AQ210" s="17">
        <f>390+Table13[[#This Row],[Time until ideal entry point (mins) from open]]</f>
        <v>390</v>
      </c>
      <c r="AR210" s="17">
        <f>Table13[[#This Row],[Time until ideal entry + 390 (6:30)]]+Table13[[#This Row],[Duration of frontside (mins)]]</f>
        <v>390</v>
      </c>
    </row>
    <row r="211" spans="1:44" hidden="1" x14ac:dyDescent="0.25">
      <c r="A211" s="24" t="s">
        <v>228</v>
      </c>
      <c r="B211" s="47">
        <v>44118</v>
      </c>
      <c r="C211" s="47" t="s">
        <v>143</v>
      </c>
      <c r="D211" s="12"/>
      <c r="E211" s="13"/>
      <c r="F211" s="12"/>
      <c r="G211" s="12"/>
      <c r="H211" s="12"/>
      <c r="I211" s="12"/>
      <c r="J211" s="12"/>
      <c r="K211" s="12"/>
      <c r="N211" s="13"/>
      <c r="P211" s="37"/>
      <c r="Q211" s="46"/>
      <c r="R211" s="37"/>
      <c r="S211" s="37"/>
      <c r="T211" s="37"/>
      <c r="U211" s="37"/>
      <c r="V211" s="38"/>
      <c r="W211" s="46"/>
      <c r="X211" s="37"/>
      <c r="Y211" s="46"/>
      <c r="Z211" s="41">
        <f>Table13[[#This Row],[Time until ideal entry + 390 (6:30)]]/(1440)</f>
        <v>0.27083333333333331</v>
      </c>
      <c r="AA211" s="18"/>
      <c r="AB211" s="18" t="e">
        <f>IF(Table13[[#This Row],[HOD AFTER PM HI]]&gt;=Table13[[#This Row],[PM Hi]],((Table13[[#This Row],[HOD AFTER PM HI]]-Table13[[#This Row],[Prior day close]])/Table13[[#This Row],[Prior day close]]),Table13[[#This Row],[Prior Close to PM Hi %]])</f>
        <v>#DIV/0!</v>
      </c>
      <c r="AC211" s="42" t="e">
        <f>(Table13[[#This Row],[Price at hi of squeeze]]-Table13[[#This Row],[MKT Open Price]])/Table13[[#This Row],[MKT Open Price]]</f>
        <v>#DIV/0!</v>
      </c>
      <c r="AD211" s="18" t="e">
        <f>(Table13[[#This Row],[Price at hi of squeeze]]-Table13[[#This Row],[PM Hi]])/Table13[[#This Row],[PM Hi]]</f>
        <v>#DIV/0!</v>
      </c>
      <c r="AE211" s="18"/>
      <c r="AF211" s="20" t="e">
        <f>Table13[[#This Row],[PM VOL]]/1000000/Table13[[#This Row],[FLOAT(M)]]</f>
        <v>#DIV/0!</v>
      </c>
      <c r="AG211" s="23" t="e">
        <f>(Table13[[#This Row],[Volume]]/1000000)/Table13[[#This Row],[FLOAT(M)]]</f>
        <v>#DIV/0!</v>
      </c>
      <c r="AI211" s="18" t="e">
        <f>(Table13[[#This Row],[PM Hi]]-Table13[[#This Row],[MKT Open Price]])/(Table13[[#This Row],[PM Hi]])</f>
        <v>#DIV/0!</v>
      </c>
      <c r="AJ211" s="18" t="e">
        <f>IF(Table13[[#This Row],[PM LO]]&gt;Table13[[#This Row],[Prior day close]],(Table13[[#This Row],[PM Hi]]-Table13[[#This Row],[MKT Open Price]])/(Table13[[#This Row],[PM Hi]]-Table13[[#This Row],[Prior day close]]),(Table13[[#This Row],[PM Hi]]-Table13[[#This Row],[MKT Open Price]])/(Table13[[#This Row],[PM Hi]]-Table13[[#This Row],[PM LO]]))</f>
        <v>#DIV/0!</v>
      </c>
      <c r="AK211" s="48" t="e">
        <f>IF(Table13[[#This Row],[Prior day close]]&lt;Table13[[#This Row],[PM LO]],(I211-K211)/(I211-Table13[[#This Row],[Prior day close]]),(I211-K211)/(I211-Table13[[#This Row],[PM LO]]))</f>
        <v>#DIV/0!</v>
      </c>
      <c r="AL211" s="48">
        <f>Table13[[#This Row],[Spike % on open before drop]]+AM211</f>
        <v>0</v>
      </c>
      <c r="AM211" s="18"/>
      <c r="AN211" s="16"/>
      <c r="AO211" s="48" t="e">
        <f>IF(Table13[[#This Row],[Prior day close]]&lt;=Table13[[#This Row],[PM LO]],IF($J211&gt;=$F211,($J211-$K211)/($J211-Table13[[#This Row],[Prior day close]]),(IF($H211&lt;=$K211,($F211-$H211)/($F211-Table13[[#This Row],[Prior day close]]),(Table13[[#This Row],[PM Hi]]-Table13[[#This Row],[Lowest lo from open to squeeze]])/(Table13[[#This Row],[PM Hi]]-Table13[[#This Row],[Prior day close]])))),IF($J211&gt;=$F211,($J211-$K211)/($J211-Table13[[#This Row],[PM LO]]),(IF($H211&lt;=$K211,($F211-$H211)/($F211-Table13[[#This Row],[PM LO]]),(Table13[[#This Row],[PM Hi]]-Table13[[#This Row],[Lowest lo from open to squeeze]])/(Table13[[#This Row],[PM Hi]]-Table13[[#This Row],[PM LO]])))))</f>
        <v>#DIV/0!</v>
      </c>
      <c r="AP211" s="18"/>
      <c r="AQ211" s="17">
        <f>390+Table13[[#This Row],[Time until ideal entry point (mins) from open]]</f>
        <v>390</v>
      </c>
      <c r="AR211" s="17">
        <f>Table13[[#This Row],[Time until ideal entry + 390 (6:30)]]+Table13[[#This Row],[Duration of frontside (mins)]]</f>
        <v>390</v>
      </c>
    </row>
    <row r="212" spans="1:44" hidden="1" x14ac:dyDescent="0.25">
      <c r="A212" s="24" t="s">
        <v>229</v>
      </c>
      <c r="B212" s="47">
        <v>44119</v>
      </c>
      <c r="C212" s="47" t="s">
        <v>143</v>
      </c>
      <c r="D212" s="12"/>
      <c r="E212" s="13"/>
      <c r="F212" s="12"/>
      <c r="G212" s="12"/>
      <c r="H212" s="12"/>
      <c r="I212" s="12"/>
      <c r="J212" s="12"/>
      <c r="K212" s="12"/>
      <c r="N212" s="13"/>
      <c r="P212" s="37"/>
      <c r="Q212" s="46"/>
      <c r="R212" s="37"/>
      <c r="S212" s="37"/>
      <c r="T212" s="37"/>
      <c r="U212" s="37"/>
      <c r="V212" s="38"/>
      <c r="W212" s="46"/>
      <c r="X212" s="37"/>
      <c r="Y212" s="46"/>
      <c r="Z212" s="41">
        <f>Table13[[#This Row],[Time until ideal entry + 390 (6:30)]]/(1440)</f>
        <v>0.27083333333333331</v>
      </c>
      <c r="AA212" s="18"/>
      <c r="AB212" s="18" t="e">
        <f>IF(Table13[[#This Row],[HOD AFTER PM HI]]&gt;=Table13[[#This Row],[PM Hi]],((Table13[[#This Row],[HOD AFTER PM HI]]-Table13[[#This Row],[Prior day close]])/Table13[[#This Row],[Prior day close]]),Table13[[#This Row],[Prior Close to PM Hi %]])</f>
        <v>#DIV/0!</v>
      </c>
      <c r="AC212" s="42" t="e">
        <f>(Table13[[#This Row],[Price at hi of squeeze]]-Table13[[#This Row],[MKT Open Price]])/Table13[[#This Row],[MKT Open Price]]</f>
        <v>#DIV/0!</v>
      </c>
      <c r="AD212" s="18" t="e">
        <f>(Table13[[#This Row],[Price at hi of squeeze]]-Table13[[#This Row],[PM Hi]])/Table13[[#This Row],[PM Hi]]</f>
        <v>#DIV/0!</v>
      </c>
      <c r="AE212" s="18"/>
      <c r="AF212" s="20" t="e">
        <f>Table13[[#This Row],[PM VOL]]/1000000/Table13[[#This Row],[FLOAT(M)]]</f>
        <v>#DIV/0!</v>
      </c>
      <c r="AG212" s="23" t="e">
        <f>(Table13[[#This Row],[Volume]]/1000000)/Table13[[#This Row],[FLOAT(M)]]</f>
        <v>#DIV/0!</v>
      </c>
      <c r="AI212" s="18" t="e">
        <f>(Table13[[#This Row],[PM Hi]]-Table13[[#This Row],[MKT Open Price]])/(Table13[[#This Row],[PM Hi]])</f>
        <v>#DIV/0!</v>
      </c>
      <c r="AJ212" s="18" t="e">
        <f>IF(Table13[[#This Row],[PM LO]]&gt;Table13[[#This Row],[Prior day close]],(Table13[[#This Row],[PM Hi]]-Table13[[#This Row],[MKT Open Price]])/(Table13[[#This Row],[PM Hi]]-Table13[[#This Row],[Prior day close]]),(Table13[[#This Row],[PM Hi]]-Table13[[#This Row],[MKT Open Price]])/(Table13[[#This Row],[PM Hi]]-Table13[[#This Row],[PM LO]]))</f>
        <v>#DIV/0!</v>
      </c>
      <c r="AK212" s="48" t="e">
        <f>IF(Table13[[#This Row],[Prior day close]]&lt;Table13[[#This Row],[PM LO]],(I212-K212)/(I212-Table13[[#This Row],[Prior day close]]),(I212-K212)/(I212-Table13[[#This Row],[PM LO]]))</f>
        <v>#DIV/0!</v>
      </c>
      <c r="AL212" s="48">
        <f>Table13[[#This Row],[Spike % on open before drop]]+AM212</f>
        <v>0</v>
      </c>
      <c r="AM212" s="18"/>
      <c r="AN212" s="16"/>
      <c r="AO212" s="48" t="e">
        <f>IF(Table13[[#This Row],[Prior day close]]&lt;=Table13[[#This Row],[PM LO]],IF($J212&gt;=$F212,($J212-$K212)/($J212-Table13[[#This Row],[Prior day close]]),(IF($H212&lt;=$K212,($F212-$H212)/($F212-Table13[[#This Row],[Prior day close]]),(Table13[[#This Row],[PM Hi]]-Table13[[#This Row],[Lowest lo from open to squeeze]])/(Table13[[#This Row],[PM Hi]]-Table13[[#This Row],[Prior day close]])))),IF($J212&gt;=$F212,($J212-$K212)/($J212-Table13[[#This Row],[PM LO]]),(IF($H212&lt;=$K212,($F212-$H212)/($F212-Table13[[#This Row],[PM LO]]),(Table13[[#This Row],[PM Hi]]-Table13[[#This Row],[Lowest lo from open to squeeze]])/(Table13[[#This Row],[PM Hi]]-Table13[[#This Row],[PM LO]])))))</f>
        <v>#DIV/0!</v>
      </c>
      <c r="AP212" s="18"/>
      <c r="AQ212" s="17">
        <f>390+Table13[[#This Row],[Time until ideal entry point (mins) from open]]</f>
        <v>390</v>
      </c>
      <c r="AR212" s="17">
        <f>Table13[[#This Row],[Time until ideal entry + 390 (6:30)]]+Table13[[#This Row],[Duration of frontside (mins)]]</f>
        <v>390</v>
      </c>
    </row>
    <row r="213" spans="1:44" hidden="1" x14ac:dyDescent="0.25">
      <c r="A213" s="24" t="s">
        <v>230</v>
      </c>
      <c r="B213" s="47">
        <v>44124</v>
      </c>
      <c r="C213" s="47" t="s">
        <v>143</v>
      </c>
      <c r="D213" s="12"/>
      <c r="E213" s="13"/>
      <c r="F213" s="12"/>
      <c r="G213" s="12"/>
      <c r="H213" s="12"/>
      <c r="I213" s="12"/>
      <c r="J213" s="12"/>
      <c r="K213" s="12"/>
      <c r="N213" s="13"/>
      <c r="P213" s="37"/>
      <c r="Q213" s="46"/>
      <c r="R213" s="37"/>
      <c r="S213" s="37"/>
      <c r="T213" s="37"/>
      <c r="U213" s="37"/>
      <c r="V213" s="38"/>
      <c r="W213" s="46"/>
      <c r="X213" s="37"/>
      <c r="Y213" s="46"/>
      <c r="Z213" s="41">
        <f>Table13[[#This Row],[Time until ideal entry + 390 (6:30)]]/(1440)</f>
        <v>0.27083333333333331</v>
      </c>
      <c r="AA213" s="18"/>
      <c r="AB213" s="18" t="e">
        <f>IF(Table13[[#This Row],[HOD AFTER PM HI]]&gt;=Table13[[#This Row],[PM Hi]],((Table13[[#This Row],[HOD AFTER PM HI]]-Table13[[#This Row],[Prior day close]])/Table13[[#This Row],[Prior day close]]),Table13[[#This Row],[Prior Close to PM Hi %]])</f>
        <v>#DIV/0!</v>
      </c>
      <c r="AC213" s="42" t="e">
        <f>(Table13[[#This Row],[Price at hi of squeeze]]-Table13[[#This Row],[MKT Open Price]])/Table13[[#This Row],[MKT Open Price]]</f>
        <v>#DIV/0!</v>
      </c>
      <c r="AD213" s="18" t="e">
        <f>(Table13[[#This Row],[Price at hi of squeeze]]-Table13[[#This Row],[PM Hi]])/Table13[[#This Row],[PM Hi]]</f>
        <v>#DIV/0!</v>
      </c>
      <c r="AE213" s="18"/>
      <c r="AF213" s="20" t="e">
        <f>Table13[[#This Row],[PM VOL]]/1000000/Table13[[#This Row],[FLOAT(M)]]</f>
        <v>#DIV/0!</v>
      </c>
      <c r="AG213" s="23" t="e">
        <f>(Table13[[#This Row],[Volume]]/1000000)/Table13[[#This Row],[FLOAT(M)]]</f>
        <v>#DIV/0!</v>
      </c>
      <c r="AI213" s="18" t="e">
        <f>(Table13[[#This Row],[PM Hi]]-Table13[[#This Row],[MKT Open Price]])/(Table13[[#This Row],[PM Hi]])</f>
        <v>#DIV/0!</v>
      </c>
      <c r="AJ213" s="18" t="e">
        <f>IF(Table13[[#This Row],[PM LO]]&gt;Table13[[#This Row],[Prior day close]],(Table13[[#This Row],[PM Hi]]-Table13[[#This Row],[MKT Open Price]])/(Table13[[#This Row],[PM Hi]]-Table13[[#This Row],[Prior day close]]),(Table13[[#This Row],[PM Hi]]-Table13[[#This Row],[MKT Open Price]])/(Table13[[#This Row],[PM Hi]]-Table13[[#This Row],[PM LO]]))</f>
        <v>#DIV/0!</v>
      </c>
      <c r="AK213" s="48" t="e">
        <f>IF(Table13[[#This Row],[Prior day close]]&lt;Table13[[#This Row],[PM LO]],(I213-K213)/(I213-Table13[[#This Row],[Prior day close]]),(I213-K213)/(I213-Table13[[#This Row],[PM LO]]))</f>
        <v>#DIV/0!</v>
      </c>
      <c r="AL213" s="48">
        <f>Table13[[#This Row],[Spike % on open before drop]]+AM213</f>
        <v>0</v>
      </c>
      <c r="AM213" s="18"/>
      <c r="AN213" s="16"/>
      <c r="AO213" s="48" t="e">
        <f>IF(Table13[[#This Row],[Prior day close]]&lt;=Table13[[#This Row],[PM LO]],IF($J213&gt;=$F213,($J213-$K213)/($J213-Table13[[#This Row],[Prior day close]]),(IF($H213&lt;=$K213,($F213-$H213)/($F213-Table13[[#This Row],[Prior day close]]),(Table13[[#This Row],[PM Hi]]-Table13[[#This Row],[Lowest lo from open to squeeze]])/(Table13[[#This Row],[PM Hi]]-Table13[[#This Row],[Prior day close]])))),IF($J213&gt;=$F213,($J213-$K213)/($J213-Table13[[#This Row],[PM LO]]),(IF($H213&lt;=$K213,($F213-$H213)/($F213-Table13[[#This Row],[PM LO]]),(Table13[[#This Row],[PM Hi]]-Table13[[#This Row],[Lowest lo from open to squeeze]])/(Table13[[#This Row],[PM Hi]]-Table13[[#This Row],[PM LO]])))))</f>
        <v>#DIV/0!</v>
      </c>
      <c r="AP213" s="18"/>
      <c r="AQ213" s="17">
        <f>390+Table13[[#This Row],[Time until ideal entry point (mins) from open]]</f>
        <v>390</v>
      </c>
      <c r="AR213" s="17">
        <f>Table13[[#This Row],[Time until ideal entry + 390 (6:30)]]+Table13[[#This Row],[Duration of frontside (mins)]]</f>
        <v>390</v>
      </c>
    </row>
    <row r="214" spans="1:44" hidden="1" x14ac:dyDescent="0.25">
      <c r="A214" s="24" t="s">
        <v>231</v>
      </c>
      <c r="B214" s="47">
        <v>44126</v>
      </c>
      <c r="C214" s="47" t="s">
        <v>143</v>
      </c>
      <c r="D214" s="12"/>
      <c r="E214" s="13"/>
      <c r="F214" s="12"/>
      <c r="G214" s="12"/>
      <c r="H214" s="12"/>
      <c r="I214" s="12"/>
      <c r="J214" s="12"/>
      <c r="K214" s="12"/>
      <c r="N214" s="13"/>
      <c r="P214" s="37"/>
      <c r="Q214" s="46"/>
      <c r="R214" s="37"/>
      <c r="S214" s="37"/>
      <c r="T214" s="37"/>
      <c r="U214" s="37"/>
      <c r="V214" s="38"/>
      <c r="W214" s="46"/>
      <c r="X214" s="37"/>
      <c r="Y214" s="46"/>
      <c r="Z214" s="41">
        <f>Table13[[#This Row],[Time until ideal entry + 390 (6:30)]]/(1440)</f>
        <v>0.27083333333333331</v>
      </c>
      <c r="AA214" s="18"/>
      <c r="AB214" s="18" t="e">
        <f>IF(Table13[[#This Row],[HOD AFTER PM HI]]&gt;=Table13[[#This Row],[PM Hi]],((Table13[[#This Row],[HOD AFTER PM HI]]-Table13[[#This Row],[Prior day close]])/Table13[[#This Row],[Prior day close]]),Table13[[#This Row],[Prior Close to PM Hi %]])</f>
        <v>#DIV/0!</v>
      </c>
      <c r="AC214" s="42" t="e">
        <f>(Table13[[#This Row],[Price at hi of squeeze]]-Table13[[#This Row],[MKT Open Price]])/Table13[[#This Row],[MKT Open Price]]</f>
        <v>#DIV/0!</v>
      </c>
      <c r="AD214" s="18" t="e">
        <f>(Table13[[#This Row],[Price at hi of squeeze]]-Table13[[#This Row],[PM Hi]])/Table13[[#This Row],[PM Hi]]</f>
        <v>#DIV/0!</v>
      </c>
      <c r="AE214" s="18"/>
      <c r="AF214" s="20" t="e">
        <f>Table13[[#This Row],[PM VOL]]/1000000/Table13[[#This Row],[FLOAT(M)]]</f>
        <v>#DIV/0!</v>
      </c>
      <c r="AG214" s="23" t="e">
        <f>(Table13[[#This Row],[Volume]]/1000000)/Table13[[#This Row],[FLOAT(M)]]</f>
        <v>#DIV/0!</v>
      </c>
      <c r="AI214" s="18" t="e">
        <f>(Table13[[#This Row],[PM Hi]]-Table13[[#This Row],[MKT Open Price]])/(Table13[[#This Row],[PM Hi]])</f>
        <v>#DIV/0!</v>
      </c>
      <c r="AJ214" s="18" t="e">
        <f>IF(Table13[[#This Row],[PM LO]]&gt;Table13[[#This Row],[Prior day close]],(Table13[[#This Row],[PM Hi]]-Table13[[#This Row],[MKT Open Price]])/(Table13[[#This Row],[PM Hi]]-Table13[[#This Row],[Prior day close]]),(Table13[[#This Row],[PM Hi]]-Table13[[#This Row],[MKT Open Price]])/(Table13[[#This Row],[PM Hi]]-Table13[[#This Row],[PM LO]]))</f>
        <v>#DIV/0!</v>
      </c>
      <c r="AK214" s="48" t="e">
        <f>IF(Table13[[#This Row],[Prior day close]]&lt;Table13[[#This Row],[PM LO]],(I214-K214)/(I214-Table13[[#This Row],[Prior day close]]),(I214-K214)/(I214-Table13[[#This Row],[PM LO]]))</f>
        <v>#DIV/0!</v>
      </c>
      <c r="AL214" s="48">
        <f>Table13[[#This Row],[Spike % on open before drop]]+AM214</f>
        <v>0</v>
      </c>
      <c r="AM214" s="18"/>
      <c r="AN214" s="16"/>
      <c r="AO214" s="48" t="e">
        <f>IF(Table13[[#This Row],[Prior day close]]&lt;=Table13[[#This Row],[PM LO]],IF($J214&gt;=$F214,($J214-$K214)/($J214-Table13[[#This Row],[Prior day close]]),(IF($H214&lt;=$K214,($F214-$H214)/($F214-Table13[[#This Row],[Prior day close]]),(Table13[[#This Row],[PM Hi]]-Table13[[#This Row],[Lowest lo from open to squeeze]])/(Table13[[#This Row],[PM Hi]]-Table13[[#This Row],[Prior day close]])))),IF($J214&gt;=$F214,($J214-$K214)/($J214-Table13[[#This Row],[PM LO]]),(IF($H214&lt;=$K214,($F214-$H214)/($F214-Table13[[#This Row],[PM LO]]),(Table13[[#This Row],[PM Hi]]-Table13[[#This Row],[Lowest lo from open to squeeze]])/(Table13[[#This Row],[PM Hi]]-Table13[[#This Row],[PM LO]])))))</f>
        <v>#DIV/0!</v>
      </c>
      <c r="AP214" s="18"/>
      <c r="AQ214" s="17">
        <f>390+Table13[[#This Row],[Time until ideal entry point (mins) from open]]</f>
        <v>390</v>
      </c>
      <c r="AR214" s="17">
        <f>Table13[[#This Row],[Time until ideal entry + 390 (6:30)]]+Table13[[#This Row],[Duration of frontside (mins)]]</f>
        <v>390</v>
      </c>
    </row>
    <row r="215" spans="1:44" hidden="1" x14ac:dyDescent="0.25">
      <c r="A215" s="24" t="s">
        <v>232</v>
      </c>
      <c r="B215" s="47">
        <v>44130</v>
      </c>
      <c r="C215" s="47" t="s">
        <v>143</v>
      </c>
      <c r="D215" s="12"/>
      <c r="E215" s="13"/>
      <c r="F215" s="12"/>
      <c r="G215" s="12"/>
      <c r="H215" s="12"/>
      <c r="I215" s="12"/>
      <c r="J215" s="12"/>
      <c r="K215" s="12"/>
      <c r="N215" s="13"/>
      <c r="P215" s="37"/>
      <c r="Q215" s="46"/>
      <c r="R215" s="37"/>
      <c r="S215" s="37"/>
      <c r="T215" s="37"/>
      <c r="U215" s="37"/>
      <c r="V215" s="38"/>
      <c r="W215" s="46"/>
      <c r="X215" s="37"/>
      <c r="Y215" s="46"/>
      <c r="Z215" s="41">
        <f>Table13[[#This Row],[Time until ideal entry + 390 (6:30)]]/(1440)</f>
        <v>0.27083333333333331</v>
      </c>
      <c r="AA215" s="18"/>
      <c r="AB215" s="18" t="e">
        <f>IF(Table13[[#This Row],[HOD AFTER PM HI]]&gt;=Table13[[#This Row],[PM Hi]],((Table13[[#This Row],[HOD AFTER PM HI]]-Table13[[#This Row],[Prior day close]])/Table13[[#This Row],[Prior day close]]),Table13[[#This Row],[Prior Close to PM Hi %]])</f>
        <v>#DIV/0!</v>
      </c>
      <c r="AC215" s="42" t="e">
        <f>(Table13[[#This Row],[Price at hi of squeeze]]-Table13[[#This Row],[MKT Open Price]])/Table13[[#This Row],[MKT Open Price]]</f>
        <v>#DIV/0!</v>
      </c>
      <c r="AD215" s="18" t="e">
        <f>(Table13[[#This Row],[Price at hi of squeeze]]-Table13[[#This Row],[PM Hi]])/Table13[[#This Row],[PM Hi]]</f>
        <v>#DIV/0!</v>
      </c>
      <c r="AE215" s="18"/>
      <c r="AF215" s="20" t="e">
        <f>Table13[[#This Row],[PM VOL]]/1000000/Table13[[#This Row],[FLOAT(M)]]</f>
        <v>#DIV/0!</v>
      </c>
      <c r="AG215" s="23" t="e">
        <f>(Table13[[#This Row],[Volume]]/1000000)/Table13[[#This Row],[FLOAT(M)]]</f>
        <v>#DIV/0!</v>
      </c>
      <c r="AI215" s="18" t="e">
        <f>(Table13[[#This Row],[PM Hi]]-Table13[[#This Row],[MKT Open Price]])/(Table13[[#This Row],[PM Hi]])</f>
        <v>#DIV/0!</v>
      </c>
      <c r="AJ215" s="18" t="e">
        <f>IF(Table13[[#This Row],[PM LO]]&gt;Table13[[#This Row],[Prior day close]],(Table13[[#This Row],[PM Hi]]-Table13[[#This Row],[MKT Open Price]])/(Table13[[#This Row],[PM Hi]]-Table13[[#This Row],[Prior day close]]),(Table13[[#This Row],[PM Hi]]-Table13[[#This Row],[MKT Open Price]])/(Table13[[#This Row],[PM Hi]]-Table13[[#This Row],[PM LO]]))</f>
        <v>#DIV/0!</v>
      </c>
      <c r="AK215" s="48" t="e">
        <f>IF(Table13[[#This Row],[Prior day close]]&lt;Table13[[#This Row],[PM LO]],(I215-K215)/(I215-Table13[[#This Row],[Prior day close]]),(I215-K215)/(I215-Table13[[#This Row],[PM LO]]))</f>
        <v>#DIV/0!</v>
      </c>
      <c r="AL215" s="48">
        <f>Table13[[#This Row],[Spike % on open before drop]]+AM215</f>
        <v>0</v>
      </c>
      <c r="AM215" s="18"/>
      <c r="AN215" s="16"/>
      <c r="AO215" s="48" t="e">
        <f>IF(Table13[[#This Row],[Prior day close]]&lt;=Table13[[#This Row],[PM LO]],IF($J215&gt;=$F215,($J215-$K215)/($J215-Table13[[#This Row],[Prior day close]]),(IF($H215&lt;=$K215,($F215-$H215)/($F215-Table13[[#This Row],[Prior day close]]),(Table13[[#This Row],[PM Hi]]-Table13[[#This Row],[Lowest lo from open to squeeze]])/(Table13[[#This Row],[PM Hi]]-Table13[[#This Row],[Prior day close]])))),IF($J215&gt;=$F215,($J215-$K215)/($J215-Table13[[#This Row],[PM LO]]),(IF($H215&lt;=$K215,($F215-$H215)/($F215-Table13[[#This Row],[PM LO]]),(Table13[[#This Row],[PM Hi]]-Table13[[#This Row],[Lowest lo from open to squeeze]])/(Table13[[#This Row],[PM Hi]]-Table13[[#This Row],[PM LO]])))))</f>
        <v>#DIV/0!</v>
      </c>
      <c r="AP215" s="18"/>
      <c r="AQ215" s="17">
        <f>390+Table13[[#This Row],[Time until ideal entry point (mins) from open]]</f>
        <v>390</v>
      </c>
      <c r="AR215" s="17">
        <f>Table13[[#This Row],[Time until ideal entry + 390 (6:30)]]+Table13[[#This Row],[Duration of frontside (mins)]]</f>
        <v>390</v>
      </c>
    </row>
    <row r="216" spans="1:44" hidden="1" x14ac:dyDescent="0.25">
      <c r="A216" s="24" t="s">
        <v>124</v>
      </c>
      <c r="B216" s="47">
        <v>44140</v>
      </c>
      <c r="C216" s="47" t="s">
        <v>143</v>
      </c>
      <c r="D216" s="12"/>
      <c r="E216" s="13"/>
      <c r="F216" s="12"/>
      <c r="G216" s="12"/>
      <c r="H216" s="12"/>
      <c r="I216" s="12"/>
      <c r="J216" s="12"/>
      <c r="K216" s="12"/>
      <c r="N216" s="13"/>
      <c r="P216" s="37"/>
      <c r="Q216" s="46"/>
      <c r="R216" s="37"/>
      <c r="S216" s="37"/>
      <c r="T216" s="37"/>
      <c r="U216" s="37"/>
      <c r="V216" s="38"/>
      <c r="W216" s="46"/>
      <c r="X216" s="37"/>
      <c r="Y216" s="46"/>
      <c r="Z216" s="41">
        <f>Table13[[#This Row],[Time until ideal entry + 390 (6:30)]]/(1440)</f>
        <v>0.27083333333333331</v>
      </c>
      <c r="AA216" s="18"/>
      <c r="AB216" s="18" t="e">
        <f>IF(Table13[[#This Row],[HOD AFTER PM HI]]&gt;=Table13[[#This Row],[PM Hi]],((Table13[[#This Row],[HOD AFTER PM HI]]-Table13[[#This Row],[Prior day close]])/Table13[[#This Row],[Prior day close]]),Table13[[#This Row],[Prior Close to PM Hi %]])</f>
        <v>#DIV/0!</v>
      </c>
      <c r="AC216" s="42" t="e">
        <f>(Table13[[#This Row],[Price at hi of squeeze]]-Table13[[#This Row],[MKT Open Price]])/Table13[[#This Row],[MKT Open Price]]</f>
        <v>#DIV/0!</v>
      </c>
      <c r="AD216" s="18" t="e">
        <f>(Table13[[#This Row],[Price at hi of squeeze]]-Table13[[#This Row],[PM Hi]])/Table13[[#This Row],[PM Hi]]</f>
        <v>#DIV/0!</v>
      </c>
      <c r="AE216" s="18"/>
      <c r="AF216" s="20" t="e">
        <f>Table13[[#This Row],[PM VOL]]/1000000/Table13[[#This Row],[FLOAT(M)]]</f>
        <v>#DIV/0!</v>
      </c>
      <c r="AG216" s="23" t="e">
        <f>(Table13[[#This Row],[Volume]]/1000000)/Table13[[#This Row],[FLOAT(M)]]</f>
        <v>#DIV/0!</v>
      </c>
      <c r="AI216" s="18" t="e">
        <f>(Table13[[#This Row],[PM Hi]]-Table13[[#This Row],[MKT Open Price]])/(Table13[[#This Row],[PM Hi]])</f>
        <v>#DIV/0!</v>
      </c>
      <c r="AJ216" s="18" t="e">
        <f>IF(Table13[[#This Row],[PM LO]]&gt;Table13[[#This Row],[Prior day close]],(Table13[[#This Row],[PM Hi]]-Table13[[#This Row],[MKT Open Price]])/(Table13[[#This Row],[PM Hi]]-Table13[[#This Row],[Prior day close]]),(Table13[[#This Row],[PM Hi]]-Table13[[#This Row],[MKT Open Price]])/(Table13[[#This Row],[PM Hi]]-Table13[[#This Row],[PM LO]]))</f>
        <v>#DIV/0!</v>
      </c>
      <c r="AK216" s="48" t="e">
        <f>IF(Table13[[#This Row],[Prior day close]]&lt;Table13[[#This Row],[PM LO]],(I216-K216)/(I216-Table13[[#This Row],[Prior day close]]),(I216-K216)/(I216-Table13[[#This Row],[PM LO]]))</f>
        <v>#DIV/0!</v>
      </c>
      <c r="AL216" s="48">
        <f>Table13[[#This Row],[Spike % on open before drop]]+AM216</f>
        <v>0</v>
      </c>
      <c r="AM216" s="18"/>
      <c r="AN216" s="16"/>
      <c r="AO216" s="48" t="e">
        <f>IF(Table13[[#This Row],[Prior day close]]&lt;=Table13[[#This Row],[PM LO]],IF($J216&gt;=$F216,($J216-$K216)/($J216-Table13[[#This Row],[Prior day close]]),(IF($H216&lt;=$K216,($F216-$H216)/($F216-Table13[[#This Row],[Prior day close]]),(Table13[[#This Row],[PM Hi]]-Table13[[#This Row],[Lowest lo from open to squeeze]])/(Table13[[#This Row],[PM Hi]]-Table13[[#This Row],[Prior day close]])))),IF($J216&gt;=$F216,($J216-$K216)/($J216-Table13[[#This Row],[PM LO]]),(IF($H216&lt;=$K216,($F216-$H216)/($F216-Table13[[#This Row],[PM LO]]),(Table13[[#This Row],[PM Hi]]-Table13[[#This Row],[Lowest lo from open to squeeze]])/(Table13[[#This Row],[PM Hi]]-Table13[[#This Row],[PM LO]])))))</f>
        <v>#DIV/0!</v>
      </c>
      <c r="AP216" s="18"/>
      <c r="AQ216" s="17">
        <f>390+Table13[[#This Row],[Time until ideal entry point (mins) from open]]</f>
        <v>390</v>
      </c>
      <c r="AR216" s="17">
        <f>Table13[[#This Row],[Time until ideal entry + 390 (6:30)]]+Table13[[#This Row],[Duration of frontside (mins)]]</f>
        <v>390</v>
      </c>
    </row>
    <row r="217" spans="1:44" hidden="1" x14ac:dyDescent="0.25">
      <c r="A217" s="24" t="s">
        <v>233</v>
      </c>
      <c r="B217" s="47">
        <v>44144</v>
      </c>
      <c r="C217" s="47" t="s">
        <v>143</v>
      </c>
      <c r="D217" s="12"/>
      <c r="E217" s="13"/>
      <c r="F217" s="12"/>
      <c r="G217" s="12"/>
      <c r="H217" s="12"/>
      <c r="I217" s="12"/>
      <c r="J217" s="12"/>
      <c r="K217" s="12"/>
      <c r="N217" s="13"/>
      <c r="P217" s="37"/>
      <c r="Q217" s="46"/>
      <c r="R217" s="37"/>
      <c r="S217" s="37"/>
      <c r="T217" s="37"/>
      <c r="U217" s="37"/>
      <c r="V217" s="38"/>
      <c r="W217" s="46"/>
      <c r="X217" s="37"/>
      <c r="Y217" s="46"/>
      <c r="Z217" s="41">
        <f>Table13[[#This Row],[Time until ideal entry + 390 (6:30)]]/(1440)</f>
        <v>0.27083333333333331</v>
      </c>
      <c r="AA217" s="18"/>
      <c r="AB217" s="18" t="e">
        <f>IF(Table13[[#This Row],[HOD AFTER PM HI]]&gt;=Table13[[#This Row],[PM Hi]],((Table13[[#This Row],[HOD AFTER PM HI]]-Table13[[#This Row],[Prior day close]])/Table13[[#This Row],[Prior day close]]),Table13[[#This Row],[Prior Close to PM Hi %]])</f>
        <v>#DIV/0!</v>
      </c>
      <c r="AC217" s="42" t="e">
        <f>(Table13[[#This Row],[Price at hi of squeeze]]-Table13[[#This Row],[MKT Open Price]])/Table13[[#This Row],[MKT Open Price]]</f>
        <v>#DIV/0!</v>
      </c>
      <c r="AD217" s="18" t="e">
        <f>(Table13[[#This Row],[Price at hi of squeeze]]-Table13[[#This Row],[PM Hi]])/Table13[[#This Row],[PM Hi]]</f>
        <v>#DIV/0!</v>
      </c>
      <c r="AE217" s="18"/>
      <c r="AF217" s="20" t="e">
        <f>Table13[[#This Row],[PM VOL]]/1000000/Table13[[#This Row],[FLOAT(M)]]</f>
        <v>#DIV/0!</v>
      </c>
      <c r="AG217" s="23" t="e">
        <f>(Table13[[#This Row],[Volume]]/1000000)/Table13[[#This Row],[FLOAT(M)]]</f>
        <v>#DIV/0!</v>
      </c>
      <c r="AI217" s="18" t="e">
        <f>(Table13[[#This Row],[PM Hi]]-Table13[[#This Row],[MKT Open Price]])/(Table13[[#This Row],[PM Hi]])</f>
        <v>#DIV/0!</v>
      </c>
      <c r="AJ217" s="18" t="e">
        <f>IF(Table13[[#This Row],[PM LO]]&gt;Table13[[#This Row],[Prior day close]],(Table13[[#This Row],[PM Hi]]-Table13[[#This Row],[MKT Open Price]])/(Table13[[#This Row],[PM Hi]]-Table13[[#This Row],[Prior day close]]),(Table13[[#This Row],[PM Hi]]-Table13[[#This Row],[MKT Open Price]])/(Table13[[#This Row],[PM Hi]]-Table13[[#This Row],[PM LO]]))</f>
        <v>#DIV/0!</v>
      </c>
      <c r="AK217" s="48" t="e">
        <f>IF(Table13[[#This Row],[Prior day close]]&lt;Table13[[#This Row],[PM LO]],(I217-K217)/(I217-Table13[[#This Row],[Prior day close]]),(I217-K217)/(I217-Table13[[#This Row],[PM LO]]))</f>
        <v>#DIV/0!</v>
      </c>
      <c r="AL217" s="48">
        <f>Table13[[#This Row],[Spike % on open before drop]]+AM217</f>
        <v>0</v>
      </c>
      <c r="AM217" s="18"/>
      <c r="AN217" s="16"/>
      <c r="AO217" s="48" t="e">
        <f>IF(Table13[[#This Row],[Prior day close]]&lt;=Table13[[#This Row],[PM LO]],IF($J217&gt;=$F217,($J217-$K217)/($J217-Table13[[#This Row],[Prior day close]]),(IF($H217&lt;=$K217,($F217-$H217)/($F217-Table13[[#This Row],[Prior day close]]),(Table13[[#This Row],[PM Hi]]-Table13[[#This Row],[Lowest lo from open to squeeze]])/(Table13[[#This Row],[PM Hi]]-Table13[[#This Row],[Prior day close]])))),IF($J217&gt;=$F217,($J217-$K217)/($J217-Table13[[#This Row],[PM LO]]),(IF($H217&lt;=$K217,($F217-$H217)/($F217-Table13[[#This Row],[PM LO]]),(Table13[[#This Row],[PM Hi]]-Table13[[#This Row],[Lowest lo from open to squeeze]])/(Table13[[#This Row],[PM Hi]]-Table13[[#This Row],[PM LO]])))))</f>
        <v>#DIV/0!</v>
      </c>
      <c r="AP217" s="18"/>
      <c r="AQ217" s="17">
        <f>390+Table13[[#This Row],[Time until ideal entry point (mins) from open]]</f>
        <v>390</v>
      </c>
      <c r="AR217" s="17">
        <f>Table13[[#This Row],[Time until ideal entry + 390 (6:30)]]+Table13[[#This Row],[Duration of frontside (mins)]]</f>
        <v>390</v>
      </c>
    </row>
    <row r="218" spans="1:44" hidden="1" x14ac:dyDescent="0.25">
      <c r="A218" s="24" t="s">
        <v>234</v>
      </c>
      <c r="B218" s="47">
        <v>44144</v>
      </c>
      <c r="C218" s="47" t="s">
        <v>71</v>
      </c>
      <c r="D218" s="12"/>
      <c r="E218" s="13"/>
      <c r="F218" s="12"/>
      <c r="G218" s="12"/>
      <c r="H218" s="12"/>
      <c r="I218" s="12"/>
      <c r="J218" s="12"/>
      <c r="K218" s="12"/>
      <c r="N218" s="13"/>
      <c r="P218" s="37"/>
      <c r="Q218" s="46"/>
      <c r="R218" s="37"/>
      <c r="S218" s="37"/>
      <c r="T218" s="37"/>
      <c r="U218" s="37"/>
      <c r="V218" s="38"/>
      <c r="W218" s="46"/>
      <c r="X218" s="37"/>
      <c r="Y218" s="46"/>
      <c r="Z218" s="41">
        <f>Table13[[#This Row],[Time until ideal entry + 390 (6:30)]]/(1440)</f>
        <v>0.27083333333333331</v>
      </c>
      <c r="AA218" s="18"/>
      <c r="AB218" s="18" t="e">
        <f>IF(Table13[[#This Row],[HOD AFTER PM HI]]&gt;=Table13[[#This Row],[PM Hi]],((Table13[[#This Row],[HOD AFTER PM HI]]-Table13[[#This Row],[Prior day close]])/Table13[[#This Row],[Prior day close]]),Table13[[#This Row],[Prior Close to PM Hi %]])</f>
        <v>#DIV/0!</v>
      </c>
      <c r="AC218" s="42" t="e">
        <f>(Table13[[#This Row],[Price at hi of squeeze]]-Table13[[#This Row],[MKT Open Price]])/Table13[[#This Row],[MKT Open Price]]</f>
        <v>#DIV/0!</v>
      </c>
      <c r="AD218" s="18" t="e">
        <f>(Table13[[#This Row],[Price at hi of squeeze]]-Table13[[#This Row],[PM Hi]])/Table13[[#This Row],[PM Hi]]</f>
        <v>#DIV/0!</v>
      </c>
      <c r="AE218" s="18"/>
      <c r="AF218" s="20" t="e">
        <f>Table13[[#This Row],[PM VOL]]/1000000/Table13[[#This Row],[FLOAT(M)]]</f>
        <v>#DIV/0!</v>
      </c>
      <c r="AG218" s="23" t="e">
        <f>(Table13[[#This Row],[Volume]]/1000000)/Table13[[#This Row],[FLOAT(M)]]</f>
        <v>#DIV/0!</v>
      </c>
      <c r="AI218" s="18" t="e">
        <f>(Table13[[#This Row],[PM Hi]]-Table13[[#This Row],[MKT Open Price]])/(Table13[[#This Row],[PM Hi]])</f>
        <v>#DIV/0!</v>
      </c>
      <c r="AJ218" s="18" t="e">
        <f>IF(Table13[[#This Row],[PM LO]]&gt;Table13[[#This Row],[Prior day close]],(Table13[[#This Row],[PM Hi]]-Table13[[#This Row],[MKT Open Price]])/(Table13[[#This Row],[PM Hi]]-Table13[[#This Row],[Prior day close]]),(Table13[[#This Row],[PM Hi]]-Table13[[#This Row],[MKT Open Price]])/(Table13[[#This Row],[PM Hi]]-Table13[[#This Row],[PM LO]]))</f>
        <v>#DIV/0!</v>
      </c>
      <c r="AK218" s="48" t="e">
        <f>IF(Table13[[#This Row],[Prior day close]]&lt;Table13[[#This Row],[PM LO]],(I218-K218)/(I218-Table13[[#This Row],[Prior day close]]),(I218-K218)/(I218-Table13[[#This Row],[PM LO]]))</f>
        <v>#DIV/0!</v>
      </c>
      <c r="AL218" s="48">
        <f>Table13[[#This Row],[Spike % on open before drop]]+AM218</f>
        <v>0</v>
      </c>
      <c r="AM218" s="18"/>
      <c r="AN218" s="16"/>
      <c r="AO218" s="48" t="e">
        <f>IF(Table13[[#This Row],[Prior day close]]&lt;=Table13[[#This Row],[PM LO]],IF($J218&gt;=$F218,($J218-$K218)/($J218-Table13[[#This Row],[Prior day close]]),(IF($H218&lt;=$K218,($F218-$H218)/($F218-Table13[[#This Row],[Prior day close]]),(Table13[[#This Row],[PM Hi]]-Table13[[#This Row],[Lowest lo from open to squeeze]])/(Table13[[#This Row],[PM Hi]]-Table13[[#This Row],[Prior day close]])))),IF($J218&gt;=$F218,($J218-$K218)/($J218-Table13[[#This Row],[PM LO]]),(IF($H218&lt;=$K218,($F218-$H218)/($F218-Table13[[#This Row],[PM LO]]),(Table13[[#This Row],[PM Hi]]-Table13[[#This Row],[Lowest lo from open to squeeze]])/(Table13[[#This Row],[PM Hi]]-Table13[[#This Row],[PM LO]])))))</f>
        <v>#DIV/0!</v>
      </c>
      <c r="AP218" s="18"/>
      <c r="AQ218" s="17">
        <f>390+Table13[[#This Row],[Time until ideal entry point (mins) from open]]</f>
        <v>390</v>
      </c>
      <c r="AR218" s="17">
        <f>Table13[[#This Row],[Time until ideal entry + 390 (6:30)]]+Table13[[#This Row],[Duration of frontside (mins)]]</f>
        <v>390</v>
      </c>
    </row>
    <row r="219" spans="1:44" hidden="1" x14ac:dyDescent="0.25">
      <c r="A219" s="24" t="s">
        <v>235</v>
      </c>
      <c r="B219" s="47">
        <v>44147</v>
      </c>
      <c r="C219" s="47" t="s">
        <v>71</v>
      </c>
      <c r="D219" s="12"/>
      <c r="E219" s="13"/>
      <c r="F219" s="12"/>
      <c r="G219" s="12"/>
      <c r="H219" s="12"/>
      <c r="I219" s="12"/>
      <c r="J219" s="12"/>
      <c r="K219" s="12"/>
      <c r="N219" s="13"/>
      <c r="P219" s="37"/>
      <c r="Q219" s="46"/>
      <c r="R219" s="37"/>
      <c r="S219" s="37"/>
      <c r="T219" s="37"/>
      <c r="U219" s="37"/>
      <c r="V219" s="38"/>
      <c r="W219" s="46"/>
      <c r="X219" s="37"/>
      <c r="Y219" s="46"/>
      <c r="Z219" s="41">
        <f>Table13[[#This Row],[Time until ideal entry + 390 (6:30)]]/(1440)</f>
        <v>0.27083333333333331</v>
      </c>
      <c r="AA219" s="18"/>
      <c r="AB219" s="18" t="e">
        <f>IF(Table13[[#This Row],[HOD AFTER PM HI]]&gt;=Table13[[#This Row],[PM Hi]],((Table13[[#This Row],[HOD AFTER PM HI]]-Table13[[#This Row],[Prior day close]])/Table13[[#This Row],[Prior day close]]),Table13[[#This Row],[Prior Close to PM Hi %]])</f>
        <v>#DIV/0!</v>
      </c>
      <c r="AC219" s="42" t="e">
        <f>(Table13[[#This Row],[Price at hi of squeeze]]-Table13[[#This Row],[MKT Open Price]])/Table13[[#This Row],[MKT Open Price]]</f>
        <v>#DIV/0!</v>
      </c>
      <c r="AD219" s="18" t="e">
        <f>(Table13[[#This Row],[Price at hi of squeeze]]-Table13[[#This Row],[PM Hi]])/Table13[[#This Row],[PM Hi]]</f>
        <v>#DIV/0!</v>
      </c>
      <c r="AE219" s="18"/>
      <c r="AF219" s="20" t="e">
        <f>Table13[[#This Row],[PM VOL]]/1000000/Table13[[#This Row],[FLOAT(M)]]</f>
        <v>#DIV/0!</v>
      </c>
      <c r="AG219" s="23" t="e">
        <f>(Table13[[#This Row],[Volume]]/1000000)/Table13[[#This Row],[FLOAT(M)]]</f>
        <v>#DIV/0!</v>
      </c>
      <c r="AI219" s="18" t="e">
        <f>(Table13[[#This Row],[PM Hi]]-Table13[[#This Row],[MKT Open Price]])/(Table13[[#This Row],[PM Hi]])</f>
        <v>#DIV/0!</v>
      </c>
      <c r="AJ219" s="18" t="e">
        <f>IF(Table13[[#This Row],[PM LO]]&gt;Table13[[#This Row],[Prior day close]],(Table13[[#This Row],[PM Hi]]-Table13[[#This Row],[MKT Open Price]])/(Table13[[#This Row],[PM Hi]]-Table13[[#This Row],[Prior day close]]),(Table13[[#This Row],[PM Hi]]-Table13[[#This Row],[MKT Open Price]])/(Table13[[#This Row],[PM Hi]]-Table13[[#This Row],[PM LO]]))</f>
        <v>#DIV/0!</v>
      </c>
      <c r="AK219" s="48" t="e">
        <f>IF(Table13[[#This Row],[Prior day close]]&lt;Table13[[#This Row],[PM LO]],(I219-K219)/(I219-Table13[[#This Row],[Prior day close]]),(I219-K219)/(I219-Table13[[#This Row],[PM LO]]))</f>
        <v>#DIV/0!</v>
      </c>
      <c r="AL219" s="48">
        <f>Table13[[#This Row],[Spike % on open before drop]]+AM219</f>
        <v>0</v>
      </c>
      <c r="AM219" s="18"/>
      <c r="AN219" s="16"/>
      <c r="AO219" s="48" t="e">
        <f>IF(Table13[[#This Row],[Prior day close]]&lt;=Table13[[#This Row],[PM LO]],IF($J219&gt;=$F219,($J219-$K219)/($J219-Table13[[#This Row],[Prior day close]]),(IF($H219&lt;=$K219,($F219-$H219)/($F219-Table13[[#This Row],[Prior day close]]),(Table13[[#This Row],[PM Hi]]-Table13[[#This Row],[Lowest lo from open to squeeze]])/(Table13[[#This Row],[PM Hi]]-Table13[[#This Row],[Prior day close]])))),IF($J219&gt;=$F219,($J219-$K219)/($J219-Table13[[#This Row],[PM LO]]),(IF($H219&lt;=$K219,($F219-$H219)/($F219-Table13[[#This Row],[PM LO]]),(Table13[[#This Row],[PM Hi]]-Table13[[#This Row],[Lowest lo from open to squeeze]])/(Table13[[#This Row],[PM Hi]]-Table13[[#This Row],[PM LO]])))))</f>
        <v>#DIV/0!</v>
      </c>
      <c r="AP219" s="18"/>
      <c r="AQ219" s="17">
        <f>390+Table13[[#This Row],[Time until ideal entry point (mins) from open]]</f>
        <v>390</v>
      </c>
      <c r="AR219" s="17">
        <f>Table13[[#This Row],[Time until ideal entry + 390 (6:30)]]+Table13[[#This Row],[Duration of frontside (mins)]]</f>
        <v>390</v>
      </c>
    </row>
    <row r="220" spans="1:44" hidden="1" x14ac:dyDescent="0.25">
      <c r="A220" s="24" t="s">
        <v>236</v>
      </c>
      <c r="B220" s="47">
        <v>44146</v>
      </c>
      <c r="C220" s="47" t="s">
        <v>143</v>
      </c>
      <c r="D220" s="12"/>
      <c r="E220" s="13"/>
      <c r="F220" s="12"/>
      <c r="G220" s="12"/>
      <c r="H220" s="12"/>
      <c r="I220" s="12"/>
      <c r="J220" s="12"/>
      <c r="K220" s="12"/>
      <c r="N220" s="13"/>
      <c r="P220" s="37"/>
      <c r="Q220" s="46"/>
      <c r="R220" s="37"/>
      <c r="S220" s="37"/>
      <c r="T220" s="37"/>
      <c r="U220" s="37"/>
      <c r="V220" s="38"/>
      <c r="W220" s="46"/>
      <c r="X220" s="37"/>
      <c r="Y220" s="46"/>
      <c r="Z220" s="41">
        <f>Table13[[#This Row],[Time until ideal entry + 390 (6:30)]]/(1440)</f>
        <v>0.27083333333333331</v>
      </c>
      <c r="AA220" s="18"/>
      <c r="AB220" s="18" t="e">
        <f>IF(Table13[[#This Row],[HOD AFTER PM HI]]&gt;=Table13[[#This Row],[PM Hi]],((Table13[[#This Row],[HOD AFTER PM HI]]-Table13[[#This Row],[Prior day close]])/Table13[[#This Row],[Prior day close]]),Table13[[#This Row],[Prior Close to PM Hi %]])</f>
        <v>#DIV/0!</v>
      </c>
      <c r="AC220" s="42" t="e">
        <f>(Table13[[#This Row],[Price at hi of squeeze]]-Table13[[#This Row],[MKT Open Price]])/Table13[[#This Row],[MKT Open Price]]</f>
        <v>#DIV/0!</v>
      </c>
      <c r="AD220" s="18" t="e">
        <f>(Table13[[#This Row],[Price at hi of squeeze]]-Table13[[#This Row],[PM Hi]])/Table13[[#This Row],[PM Hi]]</f>
        <v>#DIV/0!</v>
      </c>
      <c r="AE220" s="18"/>
      <c r="AF220" s="20" t="e">
        <f>Table13[[#This Row],[PM VOL]]/1000000/Table13[[#This Row],[FLOAT(M)]]</f>
        <v>#DIV/0!</v>
      </c>
      <c r="AG220" s="23" t="e">
        <f>(Table13[[#This Row],[Volume]]/1000000)/Table13[[#This Row],[FLOAT(M)]]</f>
        <v>#DIV/0!</v>
      </c>
      <c r="AI220" s="18" t="e">
        <f>(Table13[[#This Row],[PM Hi]]-Table13[[#This Row],[MKT Open Price]])/(Table13[[#This Row],[PM Hi]])</f>
        <v>#DIV/0!</v>
      </c>
      <c r="AJ220" s="18" t="e">
        <f>IF(Table13[[#This Row],[PM LO]]&gt;Table13[[#This Row],[Prior day close]],(Table13[[#This Row],[PM Hi]]-Table13[[#This Row],[MKT Open Price]])/(Table13[[#This Row],[PM Hi]]-Table13[[#This Row],[Prior day close]]),(Table13[[#This Row],[PM Hi]]-Table13[[#This Row],[MKT Open Price]])/(Table13[[#This Row],[PM Hi]]-Table13[[#This Row],[PM LO]]))</f>
        <v>#DIV/0!</v>
      </c>
      <c r="AK220" s="48" t="e">
        <f>IF(Table13[[#This Row],[Prior day close]]&lt;Table13[[#This Row],[PM LO]],(I220-K220)/(I220-Table13[[#This Row],[Prior day close]]),(I220-K220)/(I220-Table13[[#This Row],[PM LO]]))</f>
        <v>#DIV/0!</v>
      </c>
      <c r="AL220" s="48">
        <f>Table13[[#This Row],[Spike % on open before drop]]+AM220</f>
        <v>0</v>
      </c>
      <c r="AM220" s="18"/>
      <c r="AN220" s="16"/>
      <c r="AO220" s="48" t="e">
        <f>IF(Table13[[#This Row],[Prior day close]]&lt;=Table13[[#This Row],[PM LO]],IF($J220&gt;=$F220,($J220-$K220)/($J220-Table13[[#This Row],[Prior day close]]),(IF($H220&lt;=$K220,($F220-$H220)/($F220-Table13[[#This Row],[Prior day close]]),(Table13[[#This Row],[PM Hi]]-Table13[[#This Row],[Lowest lo from open to squeeze]])/(Table13[[#This Row],[PM Hi]]-Table13[[#This Row],[Prior day close]])))),IF($J220&gt;=$F220,($J220-$K220)/($J220-Table13[[#This Row],[PM LO]]),(IF($H220&lt;=$K220,($F220-$H220)/($F220-Table13[[#This Row],[PM LO]]),(Table13[[#This Row],[PM Hi]]-Table13[[#This Row],[Lowest lo from open to squeeze]])/(Table13[[#This Row],[PM Hi]]-Table13[[#This Row],[PM LO]])))))</f>
        <v>#DIV/0!</v>
      </c>
      <c r="AP220" s="18"/>
      <c r="AQ220" s="17">
        <f>390+Table13[[#This Row],[Time until ideal entry point (mins) from open]]</f>
        <v>390</v>
      </c>
      <c r="AR220" s="17">
        <f>Table13[[#This Row],[Time until ideal entry + 390 (6:30)]]+Table13[[#This Row],[Duration of frontside (mins)]]</f>
        <v>390</v>
      </c>
    </row>
    <row r="221" spans="1:44" hidden="1" x14ac:dyDescent="0.25">
      <c r="A221" s="24" t="s">
        <v>237</v>
      </c>
      <c r="B221" s="47">
        <v>44147</v>
      </c>
      <c r="C221" s="47" t="s">
        <v>143</v>
      </c>
      <c r="D221" s="12"/>
      <c r="E221" s="13"/>
      <c r="F221" s="12"/>
      <c r="G221" s="12"/>
      <c r="H221" s="12"/>
      <c r="I221" s="12"/>
      <c r="J221" s="12"/>
      <c r="K221" s="12"/>
      <c r="N221" s="13"/>
      <c r="P221" s="37"/>
      <c r="Q221" s="46"/>
      <c r="R221" s="37"/>
      <c r="S221" s="37"/>
      <c r="T221" s="37"/>
      <c r="U221" s="37"/>
      <c r="V221" s="38"/>
      <c r="W221" s="46"/>
      <c r="X221" s="37"/>
      <c r="Y221" s="46"/>
      <c r="Z221" s="41">
        <f>Table13[[#This Row],[Time until ideal entry + 390 (6:30)]]/(1440)</f>
        <v>0.27083333333333331</v>
      </c>
      <c r="AA221" s="18"/>
      <c r="AB221" s="18" t="e">
        <f>IF(Table13[[#This Row],[HOD AFTER PM HI]]&gt;=Table13[[#This Row],[PM Hi]],((Table13[[#This Row],[HOD AFTER PM HI]]-Table13[[#This Row],[Prior day close]])/Table13[[#This Row],[Prior day close]]),Table13[[#This Row],[Prior Close to PM Hi %]])</f>
        <v>#DIV/0!</v>
      </c>
      <c r="AC221" s="42" t="e">
        <f>(Table13[[#This Row],[Price at hi of squeeze]]-Table13[[#This Row],[MKT Open Price]])/Table13[[#This Row],[MKT Open Price]]</f>
        <v>#DIV/0!</v>
      </c>
      <c r="AD221" s="18" t="e">
        <f>(Table13[[#This Row],[Price at hi of squeeze]]-Table13[[#This Row],[PM Hi]])/Table13[[#This Row],[PM Hi]]</f>
        <v>#DIV/0!</v>
      </c>
      <c r="AE221" s="18"/>
      <c r="AF221" s="20" t="e">
        <f>Table13[[#This Row],[PM VOL]]/1000000/Table13[[#This Row],[FLOAT(M)]]</f>
        <v>#DIV/0!</v>
      </c>
      <c r="AG221" s="23" t="e">
        <f>(Table13[[#This Row],[Volume]]/1000000)/Table13[[#This Row],[FLOAT(M)]]</f>
        <v>#DIV/0!</v>
      </c>
      <c r="AI221" s="18" t="e">
        <f>(Table13[[#This Row],[PM Hi]]-Table13[[#This Row],[MKT Open Price]])/(Table13[[#This Row],[PM Hi]])</f>
        <v>#DIV/0!</v>
      </c>
      <c r="AJ221" s="18" t="e">
        <f>IF(Table13[[#This Row],[PM LO]]&gt;Table13[[#This Row],[Prior day close]],(Table13[[#This Row],[PM Hi]]-Table13[[#This Row],[MKT Open Price]])/(Table13[[#This Row],[PM Hi]]-Table13[[#This Row],[Prior day close]]),(Table13[[#This Row],[PM Hi]]-Table13[[#This Row],[MKT Open Price]])/(Table13[[#This Row],[PM Hi]]-Table13[[#This Row],[PM LO]]))</f>
        <v>#DIV/0!</v>
      </c>
      <c r="AK221" s="48" t="e">
        <f>IF(Table13[[#This Row],[Prior day close]]&lt;Table13[[#This Row],[PM LO]],(I221-K221)/(I221-Table13[[#This Row],[Prior day close]]),(I221-K221)/(I221-Table13[[#This Row],[PM LO]]))</f>
        <v>#DIV/0!</v>
      </c>
      <c r="AL221" s="48">
        <f>Table13[[#This Row],[Spike % on open before drop]]+AM221</f>
        <v>0</v>
      </c>
      <c r="AM221" s="18"/>
      <c r="AN221" s="16"/>
      <c r="AO221" s="48" t="e">
        <f>IF(Table13[[#This Row],[Prior day close]]&lt;=Table13[[#This Row],[PM LO]],IF($J221&gt;=$F221,($J221-$K221)/($J221-Table13[[#This Row],[Prior day close]]),(IF($H221&lt;=$K221,($F221-$H221)/($F221-Table13[[#This Row],[Prior day close]]),(Table13[[#This Row],[PM Hi]]-Table13[[#This Row],[Lowest lo from open to squeeze]])/(Table13[[#This Row],[PM Hi]]-Table13[[#This Row],[Prior day close]])))),IF($J221&gt;=$F221,($J221-$K221)/($J221-Table13[[#This Row],[PM LO]]),(IF($H221&lt;=$K221,($F221-$H221)/($F221-Table13[[#This Row],[PM LO]]),(Table13[[#This Row],[PM Hi]]-Table13[[#This Row],[Lowest lo from open to squeeze]])/(Table13[[#This Row],[PM Hi]]-Table13[[#This Row],[PM LO]])))))</f>
        <v>#DIV/0!</v>
      </c>
      <c r="AP221" s="18"/>
      <c r="AQ221" s="17">
        <f>390+Table13[[#This Row],[Time until ideal entry point (mins) from open]]</f>
        <v>390</v>
      </c>
      <c r="AR221" s="17">
        <f>Table13[[#This Row],[Time until ideal entry + 390 (6:30)]]+Table13[[#This Row],[Duration of frontside (mins)]]</f>
        <v>390</v>
      </c>
    </row>
    <row r="222" spans="1:44" hidden="1" x14ac:dyDescent="0.25">
      <c r="A222" s="24" t="s">
        <v>133</v>
      </c>
      <c r="B222" s="47">
        <v>44148</v>
      </c>
      <c r="C222" s="47" t="s">
        <v>71</v>
      </c>
      <c r="D222" s="12"/>
      <c r="E222" s="13"/>
      <c r="F222" s="12"/>
      <c r="G222" s="12"/>
      <c r="H222" s="12"/>
      <c r="I222" s="12"/>
      <c r="J222" s="12"/>
      <c r="K222" s="12"/>
      <c r="N222" s="13"/>
      <c r="P222" s="37"/>
      <c r="Q222" s="46"/>
      <c r="R222" s="37"/>
      <c r="S222" s="37"/>
      <c r="T222" s="37"/>
      <c r="U222" s="37"/>
      <c r="V222" s="38"/>
      <c r="W222" s="46"/>
      <c r="X222" s="37"/>
      <c r="Y222" s="46"/>
      <c r="Z222" s="41">
        <f>Table13[[#This Row],[Time until ideal entry + 390 (6:30)]]/(1440)</f>
        <v>0.27083333333333331</v>
      </c>
      <c r="AA222" s="18"/>
      <c r="AB222" s="18" t="e">
        <f>IF(Table13[[#This Row],[HOD AFTER PM HI]]&gt;=Table13[[#This Row],[PM Hi]],((Table13[[#This Row],[HOD AFTER PM HI]]-Table13[[#This Row],[Prior day close]])/Table13[[#This Row],[Prior day close]]),Table13[[#This Row],[Prior Close to PM Hi %]])</f>
        <v>#DIV/0!</v>
      </c>
      <c r="AC222" s="42" t="e">
        <f>(Table13[[#This Row],[Price at hi of squeeze]]-Table13[[#This Row],[MKT Open Price]])/Table13[[#This Row],[MKT Open Price]]</f>
        <v>#DIV/0!</v>
      </c>
      <c r="AD222" s="18" t="e">
        <f>(Table13[[#This Row],[Price at hi of squeeze]]-Table13[[#This Row],[PM Hi]])/Table13[[#This Row],[PM Hi]]</f>
        <v>#DIV/0!</v>
      </c>
      <c r="AE222" s="18"/>
      <c r="AF222" s="20" t="e">
        <f>Table13[[#This Row],[PM VOL]]/1000000/Table13[[#This Row],[FLOAT(M)]]</f>
        <v>#DIV/0!</v>
      </c>
      <c r="AG222" s="23" t="e">
        <f>(Table13[[#This Row],[Volume]]/1000000)/Table13[[#This Row],[FLOAT(M)]]</f>
        <v>#DIV/0!</v>
      </c>
      <c r="AI222" s="18" t="e">
        <f>(Table13[[#This Row],[PM Hi]]-Table13[[#This Row],[MKT Open Price]])/(Table13[[#This Row],[PM Hi]])</f>
        <v>#DIV/0!</v>
      </c>
      <c r="AJ222" s="18" t="e">
        <f>IF(Table13[[#This Row],[PM LO]]&gt;Table13[[#This Row],[Prior day close]],(Table13[[#This Row],[PM Hi]]-Table13[[#This Row],[MKT Open Price]])/(Table13[[#This Row],[PM Hi]]-Table13[[#This Row],[Prior day close]]),(Table13[[#This Row],[PM Hi]]-Table13[[#This Row],[MKT Open Price]])/(Table13[[#This Row],[PM Hi]]-Table13[[#This Row],[PM LO]]))</f>
        <v>#DIV/0!</v>
      </c>
      <c r="AK222" s="48" t="e">
        <f>IF(Table13[[#This Row],[Prior day close]]&lt;Table13[[#This Row],[PM LO]],(I222-K222)/(I222-Table13[[#This Row],[Prior day close]]),(I222-K222)/(I222-Table13[[#This Row],[PM LO]]))</f>
        <v>#DIV/0!</v>
      </c>
      <c r="AL222" s="48">
        <f>Table13[[#This Row],[Spike % on open before drop]]+AM222</f>
        <v>0</v>
      </c>
      <c r="AM222" s="18"/>
      <c r="AN222" s="16"/>
      <c r="AO222" s="48" t="e">
        <f>IF(Table13[[#This Row],[Prior day close]]&lt;=Table13[[#This Row],[PM LO]],IF($J222&gt;=$F222,($J222-$K222)/($J222-Table13[[#This Row],[Prior day close]]),(IF($H222&lt;=$K222,($F222-$H222)/($F222-Table13[[#This Row],[Prior day close]]),(Table13[[#This Row],[PM Hi]]-Table13[[#This Row],[Lowest lo from open to squeeze]])/(Table13[[#This Row],[PM Hi]]-Table13[[#This Row],[Prior day close]])))),IF($J222&gt;=$F222,($J222-$K222)/($J222-Table13[[#This Row],[PM LO]]),(IF($H222&lt;=$K222,($F222-$H222)/($F222-Table13[[#This Row],[PM LO]]),(Table13[[#This Row],[PM Hi]]-Table13[[#This Row],[Lowest lo from open to squeeze]])/(Table13[[#This Row],[PM Hi]]-Table13[[#This Row],[PM LO]])))))</f>
        <v>#DIV/0!</v>
      </c>
      <c r="AP222" s="18"/>
      <c r="AQ222" s="17">
        <f>390+Table13[[#This Row],[Time until ideal entry point (mins) from open]]</f>
        <v>390</v>
      </c>
      <c r="AR222" s="17">
        <f>Table13[[#This Row],[Time until ideal entry + 390 (6:30)]]+Table13[[#This Row],[Duration of frontside (mins)]]</f>
        <v>390</v>
      </c>
    </row>
    <row r="223" spans="1:44" hidden="1" x14ac:dyDescent="0.25">
      <c r="A223" s="24" t="s">
        <v>135</v>
      </c>
      <c r="B223" s="47">
        <v>44152</v>
      </c>
      <c r="C223" s="47" t="s">
        <v>143</v>
      </c>
      <c r="D223" s="12"/>
      <c r="E223" s="13"/>
      <c r="F223" s="12"/>
      <c r="G223" s="12"/>
      <c r="H223" s="12"/>
      <c r="I223" s="12"/>
      <c r="J223" s="12"/>
      <c r="K223" s="12"/>
      <c r="N223" s="13"/>
      <c r="P223" s="37"/>
      <c r="Q223" s="46"/>
      <c r="R223" s="37"/>
      <c r="S223" s="37"/>
      <c r="T223" s="37"/>
      <c r="U223" s="37"/>
      <c r="V223" s="38"/>
      <c r="W223" s="46"/>
      <c r="X223" s="37"/>
      <c r="Y223" s="46"/>
      <c r="Z223" s="41">
        <f>Table13[[#This Row],[Time until ideal entry + 390 (6:30)]]/(1440)</f>
        <v>0.27083333333333331</v>
      </c>
      <c r="AA223" s="18"/>
      <c r="AB223" s="18" t="e">
        <f>IF(Table13[[#This Row],[HOD AFTER PM HI]]&gt;=Table13[[#This Row],[PM Hi]],((Table13[[#This Row],[HOD AFTER PM HI]]-Table13[[#This Row],[Prior day close]])/Table13[[#This Row],[Prior day close]]),Table13[[#This Row],[Prior Close to PM Hi %]])</f>
        <v>#DIV/0!</v>
      </c>
      <c r="AC223" s="42" t="e">
        <f>(Table13[[#This Row],[Price at hi of squeeze]]-Table13[[#This Row],[MKT Open Price]])/Table13[[#This Row],[MKT Open Price]]</f>
        <v>#DIV/0!</v>
      </c>
      <c r="AD223" s="18" t="e">
        <f>(Table13[[#This Row],[Price at hi of squeeze]]-Table13[[#This Row],[PM Hi]])/Table13[[#This Row],[PM Hi]]</f>
        <v>#DIV/0!</v>
      </c>
      <c r="AE223" s="18"/>
      <c r="AF223" s="20" t="e">
        <f>Table13[[#This Row],[PM VOL]]/1000000/Table13[[#This Row],[FLOAT(M)]]</f>
        <v>#DIV/0!</v>
      </c>
      <c r="AG223" s="23" t="e">
        <f>(Table13[[#This Row],[Volume]]/1000000)/Table13[[#This Row],[FLOAT(M)]]</f>
        <v>#DIV/0!</v>
      </c>
      <c r="AI223" s="18" t="e">
        <f>(Table13[[#This Row],[PM Hi]]-Table13[[#This Row],[MKT Open Price]])/(Table13[[#This Row],[PM Hi]])</f>
        <v>#DIV/0!</v>
      </c>
      <c r="AJ223" s="18" t="e">
        <f>IF(Table13[[#This Row],[PM LO]]&gt;Table13[[#This Row],[Prior day close]],(Table13[[#This Row],[PM Hi]]-Table13[[#This Row],[MKT Open Price]])/(Table13[[#This Row],[PM Hi]]-Table13[[#This Row],[Prior day close]]),(Table13[[#This Row],[PM Hi]]-Table13[[#This Row],[MKT Open Price]])/(Table13[[#This Row],[PM Hi]]-Table13[[#This Row],[PM LO]]))</f>
        <v>#DIV/0!</v>
      </c>
      <c r="AK223" s="48" t="e">
        <f>IF(Table13[[#This Row],[Prior day close]]&lt;Table13[[#This Row],[PM LO]],(I223-K223)/(I223-Table13[[#This Row],[Prior day close]]),(I223-K223)/(I223-Table13[[#This Row],[PM LO]]))</f>
        <v>#DIV/0!</v>
      </c>
      <c r="AL223" s="48">
        <f>Table13[[#This Row],[Spike % on open before drop]]+AM223</f>
        <v>0</v>
      </c>
      <c r="AM223" s="18"/>
      <c r="AN223" s="16"/>
      <c r="AO223" s="48" t="e">
        <f>IF(Table13[[#This Row],[Prior day close]]&lt;=Table13[[#This Row],[PM LO]],IF($J223&gt;=$F223,($J223-$K223)/($J223-Table13[[#This Row],[Prior day close]]),(IF($H223&lt;=$K223,($F223-$H223)/($F223-Table13[[#This Row],[Prior day close]]),(Table13[[#This Row],[PM Hi]]-Table13[[#This Row],[Lowest lo from open to squeeze]])/(Table13[[#This Row],[PM Hi]]-Table13[[#This Row],[Prior day close]])))),IF($J223&gt;=$F223,($J223-$K223)/($J223-Table13[[#This Row],[PM LO]]),(IF($H223&lt;=$K223,($F223-$H223)/($F223-Table13[[#This Row],[PM LO]]),(Table13[[#This Row],[PM Hi]]-Table13[[#This Row],[Lowest lo from open to squeeze]])/(Table13[[#This Row],[PM Hi]]-Table13[[#This Row],[PM LO]])))))</f>
        <v>#DIV/0!</v>
      </c>
      <c r="AP223" s="18"/>
      <c r="AQ223" s="17">
        <f>390+Table13[[#This Row],[Time until ideal entry point (mins) from open]]</f>
        <v>390</v>
      </c>
      <c r="AR223" s="17">
        <f>Table13[[#This Row],[Time until ideal entry + 390 (6:30)]]+Table13[[#This Row],[Duration of frontside (mins)]]</f>
        <v>390</v>
      </c>
    </row>
    <row r="224" spans="1:44" hidden="1" x14ac:dyDescent="0.25">
      <c r="A224" s="24" t="s">
        <v>204</v>
      </c>
      <c r="B224" s="47">
        <v>44153</v>
      </c>
      <c r="C224" s="47" t="s">
        <v>143</v>
      </c>
      <c r="D224" s="12"/>
      <c r="E224" s="13"/>
      <c r="F224" s="12"/>
      <c r="G224" s="12"/>
      <c r="H224" s="12"/>
      <c r="I224" s="12"/>
      <c r="J224" s="12"/>
      <c r="K224" s="12"/>
      <c r="N224" s="13"/>
      <c r="P224" s="37"/>
      <c r="Q224" s="46"/>
      <c r="R224" s="37"/>
      <c r="S224" s="37"/>
      <c r="T224" s="37"/>
      <c r="U224" s="37"/>
      <c r="V224" s="38"/>
      <c r="W224" s="46"/>
      <c r="X224" s="37"/>
      <c r="Y224" s="46"/>
      <c r="Z224" s="41">
        <f>Table13[[#This Row],[Time until ideal entry + 390 (6:30)]]/(1440)</f>
        <v>0.27083333333333331</v>
      </c>
      <c r="AA224" s="18"/>
      <c r="AB224" s="18" t="e">
        <f>IF(Table13[[#This Row],[HOD AFTER PM HI]]&gt;=Table13[[#This Row],[PM Hi]],((Table13[[#This Row],[HOD AFTER PM HI]]-Table13[[#This Row],[Prior day close]])/Table13[[#This Row],[Prior day close]]),Table13[[#This Row],[Prior Close to PM Hi %]])</f>
        <v>#DIV/0!</v>
      </c>
      <c r="AC224" s="42" t="e">
        <f>(Table13[[#This Row],[Price at hi of squeeze]]-Table13[[#This Row],[MKT Open Price]])/Table13[[#This Row],[MKT Open Price]]</f>
        <v>#DIV/0!</v>
      </c>
      <c r="AD224" s="18" t="e">
        <f>(Table13[[#This Row],[Price at hi of squeeze]]-Table13[[#This Row],[PM Hi]])/Table13[[#This Row],[PM Hi]]</f>
        <v>#DIV/0!</v>
      </c>
      <c r="AE224" s="18"/>
      <c r="AF224" s="20" t="e">
        <f>Table13[[#This Row],[PM VOL]]/1000000/Table13[[#This Row],[FLOAT(M)]]</f>
        <v>#DIV/0!</v>
      </c>
      <c r="AG224" s="23" t="e">
        <f>(Table13[[#This Row],[Volume]]/1000000)/Table13[[#This Row],[FLOAT(M)]]</f>
        <v>#DIV/0!</v>
      </c>
      <c r="AI224" s="18" t="e">
        <f>(Table13[[#This Row],[PM Hi]]-Table13[[#This Row],[MKT Open Price]])/(Table13[[#This Row],[PM Hi]])</f>
        <v>#DIV/0!</v>
      </c>
      <c r="AJ224" s="18" t="e">
        <f>IF(Table13[[#This Row],[PM LO]]&gt;Table13[[#This Row],[Prior day close]],(Table13[[#This Row],[PM Hi]]-Table13[[#This Row],[MKT Open Price]])/(Table13[[#This Row],[PM Hi]]-Table13[[#This Row],[Prior day close]]),(Table13[[#This Row],[PM Hi]]-Table13[[#This Row],[MKT Open Price]])/(Table13[[#This Row],[PM Hi]]-Table13[[#This Row],[PM LO]]))</f>
        <v>#DIV/0!</v>
      </c>
      <c r="AK224" s="48" t="e">
        <f>IF(Table13[[#This Row],[Prior day close]]&lt;Table13[[#This Row],[PM LO]],(I224-K224)/(I224-Table13[[#This Row],[Prior day close]]),(I224-K224)/(I224-Table13[[#This Row],[PM LO]]))</f>
        <v>#DIV/0!</v>
      </c>
      <c r="AL224" s="48">
        <f>Table13[[#This Row],[Spike % on open before drop]]+AM224</f>
        <v>0</v>
      </c>
      <c r="AM224" s="18"/>
      <c r="AN224" s="16"/>
      <c r="AO224" s="48" t="e">
        <f>IF(Table13[[#This Row],[Prior day close]]&lt;=Table13[[#This Row],[PM LO]],IF($J224&gt;=$F224,($J224-$K224)/($J224-Table13[[#This Row],[Prior day close]]),(IF($H224&lt;=$K224,($F224-$H224)/($F224-Table13[[#This Row],[Prior day close]]),(Table13[[#This Row],[PM Hi]]-Table13[[#This Row],[Lowest lo from open to squeeze]])/(Table13[[#This Row],[PM Hi]]-Table13[[#This Row],[Prior day close]])))),IF($J224&gt;=$F224,($J224-$K224)/($J224-Table13[[#This Row],[PM LO]]),(IF($H224&lt;=$K224,($F224-$H224)/($F224-Table13[[#This Row],[PM LO]]),(Table13[[#This Row],[PM Hi]]-Table13[[#This Row],[Lowest lo from open to squeeze]])/(Table13[[#This Row],[PM Hi]]-Table13[[#This Row],[PM LO]])))))</f>
        <v>#DIV/0!</v>
      </c>
      <c r="AP224" s="18"/>
      <c r="AQ224" s="17">
        <f>390+Table13[[#This Row],[Time until ideal entry point (mins) from open]]</f>
        <v>390</v>
      </c>
      <c r="AR224" s="17">
        <f>Table13[[#This Row],[Time until ideal entry + 390 (6:30)]]+Table13[[#This Row],[Duration of frontside (mins)]]</f>
        <v>390</v>
      </c>
    </row>
    <row r="225" spans="1:44" hidden="1" x14ac:dyDescent="0.25">
      <c r="A225" s="24" t="s">
        <v>238</v>
      </c>
      <c r="B225" s="47">
        <v>44168</v>
      </c>
      <c r="C225" s="47" t="s">
        <v>143</v>
      </c>
      <c r="D225" s="12"/>
      <c r="E225" s="13"/>
      <c r="F225" s="12"/>
      <c r="G225" s="12"/>
      <c r="H225" s="12"/>
      <c r="I225" s="12"/>
      <c r="J225" s="12"/>
      <c r="K225" s="12"/>
      <c r="N225" s="13"/>
      <c r="P225" s="37"/>
      <c r="Q225" s="46"/>
      <c r="R225" s="37"/>
      <c r="S225" s="37"/>
      <c r="T225" s="37"/>
      <c r="U225" s="37"/>
      <c r="V225" s="38"/>
      <c r="W225" s="46"/>
      <c r="X225" s="37"/>
      <c r="Y225" s="46"/>
      <c r="Z225" s="41">
        <f>Table13[[#This Row],[Time until ideal entry + 390 (6:30)]]/(1440)</f>
        <v>0.27083333333333331</v>
      </c>
      <c r="AA225" s="18"/>
      <c r="AB225" s="18" t="e">
        <f>IF(Table13[[#This Row],[HOD AFTER PM HI]]&gt;=Table13[[#This Row],[PM Hi]],((Table13[[#This Row],[HOD AFTER PM HI]]-Table13[[#This Row],[Prior day close]])/Table13[[#This Row],[Prior day close]]),Table13[[#This Row],[Prior Close to PM Hi %]])</f>
        <v>#DIV/0!</v>
      </c>
      <c r="AC225" s="42" t="e">
        <f>(Table13[[#This Row],[Price at hi of squeeze]]-Table13[[#This Row],[MKT Open Price]])/Table13[[#This Row],[MKT Open Price]]</f>
        <v>#DIV/0!</v>
      </c>
      <c r="AD225" s="18" t="e">
        <f>(Table13[[#This Row],[Price at hi of squeeze]]-Table13[[#This Row],[PM Hi]])/Table13[[#This Row],[PM Hi]]</f>
        <v>#DIV/0!</v>
      </c>
      <c r="AE225" s="18"/>
      <c r="AF225" s="20" t="e">
        <f>Table13[[#This Row],[PM VOL]]/1000000/Table13[[#This Row],[FLOAT(M)]]</f>
        <v>#DIV/0!</v>
      </c>
      <c r="AG225" s="23" t="e">
        <f>(Table13[[#This Row],[Volume]]/1000000)/Table13[[#This Row],[FLOAT(M)]]</f>
        <v>#DIV/0!</v>
      </c>
      <c r="AI225" s="18" t="e">
        <f>(Table13[[#This Row],[PM Hi]]-Table13[[#This Row],[MKT Open Price]])/(Table13[[#This Row],[PM Hi]])</f>
        <v>#DIV/0!</v>
      </c>
      <c r="AJ225" s="18" t="e">
        <f>IF(Table13[[#This Row],[PM LO]]&gt;Table13[[#This Row],[Prior day close]],(Table13[[#This Row],[PM Hi]]-Table13[[#This Row],[MKT Open Price]])/(Table13[[#This Row],[PM Hi]]-Table13[[#This Row],[Prior day close]]),(Table13[[#This Row],[PM Hi]]-Table13[[#This Row],[MKT Open Price]])/(Table13[[#This Row],[PM Hi]]-Table13[[#This Row],[PM LO]]))</f>
        <v>#DIV/0!</v>
      </c>
      <c r="AK225" s="48" t="e">
        <f>IF(Table13[[#This Row],[Prior day close]]&lt;Table13[[#This Row],[PM LO]],(I225-K225)/(I225-Table13[[#This Row],[Prior day close]]),(I225-K225)/(I225-Table13[[#This Row],[PM LO]]))</f>
        <v>#DIV/0!</v>
      </c>
      <c r="AL225" s="48">
        <f>Table13[[#This Row],[Spike % on open before drop]]+AM225</f>
        <v>0</v>
      </c>
      <c r="AM225" s="18"/>
      <c r="AN225" s="16"/>
      <c r="AO225" s="48" t="e">
        <f>IF(Table13[[#This Row],[Prior day close]]&lt;=Table13[[#This Row],[PM LO]],IF($J225&gt;=$F225,($J225-$K225)/($J225-Table13[[#This Row],[Prior day close]]),(IF($H225&lt;=$K225,($F225-$H225)/($F225-Table13[[#This Row],[Prior day close]]),(Table13[[#This Row],[PM Hi]]-Table13[[#This Row],[Lowest lo from open to squeeze]])/(Table13[[#This Row],[PM Hi]]-Table13[[#This Row],[Prior day close]])))),IF($J225&gt;=$F225,($J225-$K225)/($J225-Table13[[#This Row],[PM LO]]),(IF($H225&lt;=$K225,($F225-$H225)/($F225-Table13[[#This Row],[PM LO]]),(Table13[[#This Row],[PM Hi]]-Table13[[#This Row],[Lowest lo from open to squeeze]])/(Table13[[#This Row],[PM Hi]]-Table13[[#This Row],[PM LO]])))))</f>
        <v>#DIV/0!</v>
      </c>
      <c r="AP225" s="18"/>
      <c r="AQ225" s="17">
        <f>390+Table13[[#This Row],[Time until ideal entry point (mins) from open]]</f>
        <v>390</v>
      </c>
      <c r="AR225" s="17">
        <f>Table13[[#This Row],[Time until ideal entry + 390 (6:30)]]+Table13[[#This Row],[Duration of frontside (mins)]]</f>
        <v>390</v>
      </c>
    </row>
    <row r="226" spans="1:44" hidden="1" x14ac:dyDescent="0.25">
      <c r="A226" s="24" t="s">
        <v>72</v>
      </c>
      <c r="B226" s="47">
        <v>44169</v>
      </c>
      <c r="C226" s="47" t="s">
        <v>71</v>
      </c>
      <c r="D226" s="12"/>
      <c r="E226" s="13"/>
      <c r="F226" s="12"/>
      <c r="G226" s="12"/>
      <c r="H226" s="12"/>
      <c r="I226" s="12"/>
      <c r="J226" s="12"/>
      <c r="K226" s="12"/>
      <c r="N226" s="13"/>
      <c r="P226" s="37"/>
      <c r="Q226" s="46"/>
      <c r="R226" s="37"/>
      <c r="S226" s="37"/>
      <c r="T226" s="37"/>
      <c r="U226" s="37"/>
      <c r="V226" s="38"/>
      <c r="W226" s="46"/>
      <c r="X226" s="37"/>
      <c r="Y226" s="46"/>
      <c r="Z226" s="41">
        <f>Table13[[#This Row],[Time until ideal entry + 390 (6:30)]]/(1440)</f>
        <v>0.27083333333333331</v>
      </c>
      <c r="AA226" s="18"/>
      <c r="AB226" s="18" t="e">
        <f>IF(Table13[[#This Row],[HOD AFTER PM HI]]&gt;=Table13[[#This Row],[PM Hi]],((Table13[[#This Row],[HOD AFTER PM HI]]-Table13[[#This Row],[Prior day close]])/Table13[[#This Row],[Prior day close]]),Table13[[#This Row],[Prior Close to PM Hi %]])</f>
        <v>#DIV/0!</v>
      </c>
      <c r="AC226" s="42" t="e">
        <f>(Table13[[#This Row],[Price at hi of squeeze]]-Table13[[#This Row],[MKT Open Price]])/Table13[[#This Row],[MKT Open Price]]</f>
        <v>#DIV/0!</v>
      </c>
      <c r="AD226" s="18" t="e">
        <f>(Table13[[#This Row],[Price at hi of squeeze]]-Table13[[#This Row],[PM Hi]])/Table13[[#This Row],[PM Hi]]</f>
        <v>#DIV/0!</v>
      </c>
      <c r="AE226" s="18"/>
      <c r="AF226" s="20" t="e">
        <f>Table13[[#This Row],[PM VOL]]/1000000/Table13[[#This Row],[FLOAT(M)]]</f>
        <v>#DIV/0!</v>
      </c>
      <c r="AG226" s="23" t="e">
        <f>(Table13[[#This Row],[Volume]]/1000000)/Table13[[#This Row],[FLOAT(M)]]</f>
        <v>#DIV/0!</v>
      </c>
      <c r="AI226" s="18" t="e">
        <f>(Table13[[#This Row],[PM Hi]]-Table13[[#This Row],[MKT Open Price]])/(Table13[[#This Row],[PM Hi]])</f>
        <v>#DIV/0!</v>
      </c>
      <c r="AJ226" s="18" t="e">
        <f>IF(Table13[[#This Row],[PM LO]]&gt;Table13[[#This Row],[Prior day close]],(Table13[[#This Row],[PM Hi]]-Table13[[#This Row],[MKT Open Price]])/(Table13[[#This Row],[PM Hi]]-Table13[[#This Row],[Prior day close]]),(Table13[[#This Row],[PM Hi]]-Table13[[#This Row],[MKT Open Price]])/(Table13[[#This Row],[PM Hi]]-Table13[[#This Row],[PM LO]]))</f>
        <v>#DIV/0!</v>
      </c>
      <c r="AK226" s="48" t="e">
        <f>IF(Table13[[#This Row],[Prior day close]]&lt;Table13[[#This Row],[PM LO]],(I226-K226)/(I226-Table13[[#This Row],[Prior day close]]),(I226-K226)/(I226-Table13[[#This Row],[PM LO]]))</f>
        <v>#DIV/0!</v>
      </c>
      <c r="AL226" s="48">
        <f>Table13[[#This Row],[Spike % on open before drop]]+AM226</f>
        <v>0</v>
      </c>
      <c r="AM226" s="18"/>
      <c r="AN226" s="16"/>
      <c r="AO226" s="48" t="e">
        <f>IF(Table13[[#This Row],[Prior day close]]&lt;=Table13[[#This Row],[PM LO]],IF($J226&gt;=$F226,($J226-$K226)/($J226-Table13[[#This Row],[Prior day close]]),(IF($H226&lt;=$K226,($F226-$H226)/($F226-Table13[[#This Row],[Prior day close]]),(Table13[[#This Row],[PM Hi]]-Table13[[#This Row],[Lowest lo from open to squeeze]])/(Table13[[#This Row],[PM Hi]]-Table13[[#This Row],[Prior day close]])))),IF($J226&gt;=$F226,($J226-$K226)/($J226-Table13[[#This Row],[PM LO]]),(IF($H226&lt;=$K226,($F226-$H226)/($F226-Table13[[#This Row],[PM LO]]),(Table13[[#This Row],[PM Hi]]-Table13[[#This Row],[Lowest lo from open to squeeze]])/(Table13[[#This Row],[PM Hi]]-Table13[[#This Row],[PM LO]])))))</f>
        <v>#DIV/0!</v>
      </c>
      <c r="AP226" s="18"/>
      <c r="AQ226" s="17">
        <f>390+Table13[[#This Row],[Time until ideal entry point (mins) from open]]</f>
        <v>390</v>
      </c>
      <c r="AR226" s="17">
        <f>Table13[[#This Row],[Time until ideal entry + 390 (6:30)]]+Table13[[#This Row],[Duration of frontside (mins)]]</f>
        <v>390</v>
      </c>
    </row>
    <row r="227" spans="1:44" hidden="1" x14ac:dyDescent="0.25">
      <c r="A227" s="24" t="s">
        <v>105</v>
      </c>
      <c r="B227" s="47">
        <v>44172</v>
      </c>
      <c r="C227" s="47" t="s">
        <v>71</v>
      </c>
      <c r="D227" s="12"/>
      <c r="E227" s="13"/>
      <c r="F227" s="12"/>
      <c r="G227" s="12"/>
      <c r="H227" s="12"/>
      <c r="I227" s="12"/>
      <c r="J227" s="12"/>
      <c r="K227" s="12"/>
      <c r="N227" s="13"/>
      <c r="P227" s="37"/>
      <c r="Q227" s="46"/>
      <c r="R227" s="37"/>
      <c r="S227" s="37"/>
      <c r="T227" s="37"/>
      <c r="U227" s="37"/>
      <c r="V227" s="38"/>
      <c r="W227" s="46"/>
      <c r="X227" s="37"/>
      <c r="Y227" s="46"/>
      <c r="Z227" s="41">
        <f>Table13[[#This Row],[Time until ideal entry + 390 (6:30)]]/(1440)</f>
        <v>0.27083333333333331</v>
      </c>
      <c r="AA227" s="18"/>
      <c r="AB227" s="18" t="e">
        <f>IF(Table13[[#This Row],[HOD AFTER PM HI]]&gt;=Table13[[#This Row],[PM Hi]],((Table13[[#This Row],[HOD AFTER PM HI]]-Table13[[#This Row],[Prior day close]])/Table13[[#This Row],[Prior day close]]),Table13[[#This Row],[Prior Close to PM Hi %]])</f>
        <v>#DIV/0!</v>
      </c>
      <c r="AC227" s="42" t="e">
        <f>(Table13[[#This Row],[Price at hi of squeeze]]-Table13[[#This Row],[MKT Open Price]])/Table13[[#This Row],[MKT Open Price]]</f>
        <v>#DIV/0!</v>
      </c>
      <c r="AD227" s="18" t="e">
        <f>(Table13[[#This Row],[Price at hi of squeeze]]-Table13[[#This Row],[PM Hi]])/Table13[[#This Row],[PM Hi]]</f>
        <v>#DIV/0!</v>
      </c>
      <c r="AE227" s="18"/>
      <c r="AF227" s="20" t="e">
        <f>Table13[[#This Row],[PM VOL]]/1000000/Table13[[#This Row],[FLOAT(M)]]</f>
        <v>#DIV/0!</v>
      </c>
      <c r="AG227" s="23" t="e">
        <f>(Table13[[#This Row],[Volume]]/1000000)/Table13[[#This Row],[FLOAT(M)]]</f>
        <v>#DIV/0!</v>
      </c>
      <c r="AI227" s="18" t="e">
        <f>(Table13[[#This Row],[PM Hi]]-Table13[[#This Row],[MKT Open Price]])/(Table13[[#This Row],[PM Hi]])</f>
        <v>#DIV/0!</v>
      </c>
      <c r="AJ227" s="18" t="e">
        <f>IF(Table13[[#This Row],[PM LO]]&gt;Table13[[#This Row],[Prior day close]],(Table13[[#This Row],[PM Hi]]-Table13[[#This Row],[MKT Open Price]])/(Table13[[#This Row],[PM Hi]]-Table13[[#This Row],[Prior day close]]),(Table13[[#This Row],[PM Hi]]-Table13[[#This Row],[MKT Open Price]])/(Table13[[#This Row],[PM Hi]]-Table13[[#This Row],[PM LO]]))</f>
        <v>#DIV/0!</v>
      </c>
      <c r="AK227" s="48" t="e">
        <f>IF(Table13[[#This Row],[Prior day close]]&lt;Table13[[#This Row],[PM LO]],(I227-K227)/(I227-Table13[[#This Row],[Prior day close]]),(I227-K227)/(I227-Table13[[#This Row],[PM LO]]))</f>
        <v>#DIV/0!</v>
      </c>
      <c r="AL227" s="48">
        <f>Table13[[#This Row],[Spike % on open before drop]]+AM227</f>
        <v>0</v>
      </c>
      <c r="AM227" s="18"/>
      <c r="AN227" s="16"/>
      <c r="AO227" s="48" t="e">
        <f>IF(Table13[[#This Row],[Prior day close]]&lt;=Table13[[#This Row],[PM LO]],IF($J227&gt;=$F227,($J227-$K227)/($J227-Table13[[#This Row],[Prior day close]]),(IF($H227&lt;=$K227,($F227-$H227)/($F227-Table13[[#This Row],[Prior day close]]),(Table13[[#This Row],[PM Hi]]-Table13[[#This Row],[Lowest lo from open to squeeze]])/(Table13[[#This Row],[PM Hi]]-Table13[[#This Row],[Prior day close]])))),IF($J227&gt;=$F227,($J227-$K227)/($J227-Table13[[#This Row],[PM LO]]),(IF($H227&lt;=$K227,($F227-$H227)/($F227-Table13[[#This Row],[PM LO]]),(Table13[[#This Row],[PM Hi]]-Table13[[#This Row],[Lowest lo from open to squeeze]])/(Table13[[#This Row],[PM Hi]]-Table13[[#This Row],[PM LO]])))))</f>
        <v>#DIV/0!</v>
      </c>
      <c r="AP227" s="18"/>
      <c r="AQ227" s="17">
        <f>390+Table13[[#This Row],[Time until ideal entry point (mins) from open]]</f>
        <v>390</v>
      </c>
      <c r="AR227" s="17">
        <f>Table13[[#This Row],[Time until ideal entry + 390 (6:30)]]+Table13[[#This Row],[Duration of frontside (mins)]]</f>
        <v>390</v>
      </c>
    </row>
    <row r="228" spans="1:44" hidden="1" x14ac:dyDescent="0.25">
      <c r="A228" s="24" t="s">
        <v>164</v>
      </c>
      <c r="B228" s="47">
        <v>44172</v>
      </c>
      <c r="C228" s="47" t="s">
        <v>143</v>
      </c>
      <c r="D228" s="12"/>
      <c r="E228" s="13"/>
      <c r="F228" s="12"/>
      <c r="G228" s="12"/>
      <c r="H228" s="12"/>
      <c r="I228" s="12"/>
      <c r="J228" s="12"/>
      <c r="K228" s="12"/>
      <c r="N228" s="13"/>
      <c r="P228" s="37"/>
      <c r="Q228" s="46"/>
      <c r="R228" s="37"/>
      <c r="S228" s="37"/>
      <c r="T228" s="37"/>
      <c r="U228" s="37"/>
      <c r="V228" s="38"/>
      <c r="W228" s="46"/>
      <c r="X228" s="37"/>
      <c r="Y228" s="46"/>
      <c r="Z228" s="41">
        <f>Table13[[#This Row],[Time until ideal entry + 390 (6:30)]]/(1440)</f>
        <v>0.27083333333333331</v>
      </c>
      <c r="AA228" s="18"/>
      <c r="AB228" s="18" t="e">
        <f>IF(Table13[[#This Row],[HOD AFTER PM HI]]&gt;=Table13[[#This Row],[PM Hi]],((Table13[[#This Row],[HOD AFTER PM HI]]-Table13[[#This Row],[Prior day close]])/Table13[[#This Row],[Prior day close]]),Table13[[#This Row],[Prior Close to PM Hi %]])</f>
        <v>#DIV/0!</v>
      </c>
      <c r="AC228" s="42" t="e">
        <f>(Table13[[#This Row],[Price at hi of squeeze]]-Table13[[#This Row],[MKT Open Price]])/Table13[[#This Row],[MKT Open Price]]</f>
        <v>#DIV/0!</v>
      </c>
      <c r="AD228" s="18" t="e">
        <f>(Table13[[#This Row],[Price at hi of squeeze]]-Table13[[#This Row],[PM Hi]])/Table13[[#This Row],[PM Hi]]</f>
        <v>#DIV/0!</v>
      </c>
      <c r="AE228" s="18"/>
      <c r="AF228" s="20" t="e">
        <f>Table13[[#This Row],[PM VOL]]/1000000/Table13[[#This Row],[FLOAT(M)]]</f>
        <v>#DIV/0!</v>
      </c>
      <c r="AG228" s="23" t="e">
        <f>(Table13[[#This Row],[Volume]]/1000000)/Table13[[#This Row],[FLOAT(M)]]</f>
        <v>#DIV/0!</v>
      </c>
      <c r="AI228" s="18" t="e">
        <f>(Table13[[#This Row],[PM Hi]]-Table13[[#This Row],[MKT Open Price]])/(Table13[[#This Row],[PM Hi]])</f>
        <v>#DIV/0!</v>
      </c>
      <c r="AJ228" s="18" t="e">
        <f>IF(Table13[[#This Row],[PM LO]]&gt;Table13[[#This Row],[Prior day close]],(Table13[[#This Row],[PM Hi]]-Table13[[#This Row],[MKT Open Price]])/(Table13[[#This Row],[PM Hi]]-Table13[[#This Row],[Prior day close]]),(Table13[[#This Row],[PM Hi]]-Table13[[#This Row],[MKT Open Price]])/(Table13[[#This Row],[PM Hi]]-Table13[[#This Row],[PM LO]]))</f>
        <v>#DIV/0!</v>
      </c>
      <c r="AK228" s="48" t="e">
        <f>IF(Table13[[#This Row],[Prior day close]]&lt;Table13[[#This Row],[PM LO]],(I228-K228)/(I228-Table13[[#This Row],[Prior day close]]),(I228-K228)/(I228-Table13[[#This Row],[PM LO]]))</f>
        <v>#DIV/0!</v>
      </c>
      <c r="AL228" s="48">
        <f>Table13[[#This Row],[Spike % on open before drop]]+AM228</f>
        <v>0</v>
      </c>
      <c r="AM228" s="18"/>
      <c r="AN228" s="16"/>
      <c r="AO228" s="48" t="e">
        <f>IF(Table13[[#This Row],[Prior day close]]&lt;=Table13[[#This Row],[PM LO]],IF($J228&gt;=$F228,($J228-$K228)/($J228-Table13[[#This Row],[Prior day close]]),(IF($H228&lt;=$K228,($F228-$H228)/($F228-Table13[[#This Row],[Prior day close]]),(Table13[[#This Row],[PM Hi]]-Table13[[#This Row],[Lowest lo from open to squeeze]])/(Table13[[#This Row],[PM Hi]]-Table13[[#This Row],[Prior day close]])))),IF($J228&gt;=$F228,($J228-$K228)/($J228-Table13[[#This Row],[PM LO]]),(IF($H228&lt;=$K228,($F228-$H228)/($F228-Table13[[#This Row],[PM LO]]),(Table13[[#This Row],[PM Hi]]-Table13[[#This Row],[Lowest lo from open to squeeze]])/(Table13[[#This Row],[PM Hi]]-Table13[[#This Row],[PM LO]])))))</f>
        <v>#DIV/0!</v>
      </c>
      <c r="AP228" s="18"/>
      <c r="AQ228" s="17">
        <f>390+Table13[[#This Row],[Time until ideal entry point (mins) from open]]</f>
        <v>390</v>
      </c>
      <c r="AR228" s="17">
        <f>Table13[[#This Row],[Time until ideal entry + 390 (6:30)]]+Table13[[#This Row],[Duration of frontside (mins)]]</f>
        <v>390</v>
      </c>
    </row>
    <row r="229" spans="1:44" hidden="1" x14ac:dyDescent="0.25">
      <c r="A229" s="24" t="s">
        <v>132</v>
      </c>
      <c r="B229" s="47">
        <v>44172</v>
      </c>
      <c r="C229" s="47" t="s">
        <v>143</v>
      </c>
      <c r="D229" s="12"/>
      <c r="E229" s="13"/>
      <c r="F229" s="12"/>
      <c r="G229" s="12"/>
      <c r="H229" s="12"/>
      <c r="I229" s="12"/>
      <c r="J229" s="12"/>
      <c r="K229" s="12"/>
      <c r="N229" s="13"/>
      <c r="P229" s="37"/>
      <c r="Q229" s="46"/>
      <c r="R229" s="37"/>
      <c r="S229" s="37"/>
      <c r="T229" s="37"/>
      <c r="U229" s="37"/>
      <c r="V229" s="38"/>
      <c r="W229" s="46"/>
      <c r="X229" s="37"/>
      <c r="Y229" s="46"/>
      <c r="Z229" s="41">
        <f>Table13[[#This Row],[Time until ideal entry + 390 (6:30)]]/(1440)</f>
        <v>0.27083333333333331</v>
      </c>
      <c r="AA229" s="18"/>
      <c r="AB229" s="18" t="e">
        <f>IF(Table13[[#This Row],[HOD AFTER PM HI]]&gt;=Table13[[#This Row],[PM Hi]],((Table13[[#This Row],[HOD AFTER PM HI]]-Table13[[#This Row],[Prior day close]])/Table13[[#This Row],[Prior day close]]),Table13[[#This Row],[Prior Close to PM Hi %]])</f>
        <v>#DIV/0!</v>
      </c>
      <c r="AC229" s="42" t="e">
        <f>(Table13[[#This Row],[Price at hi of squeeze]]-Table13[[#This Row],[MKT Open Price]])/Table13[[#This Row],[MKT Open Price]]</f>
        <v>#DIV/0!</v>
      </c>
      <c r="AD229" s="18" t="e">
        <f>(Table13[[#This Row],[Price at hi of squeeze]]-Table13[[#This Row],[PM Hi]])/Table13[[#This Row],[PM Hi]]</f>
        <v>#DIV/0!</v>
      </c>
      <c r="AE229" s="18"/>
      <c r="AF229" s="20" t="e">
        <f>Table13[[#This Row],[PM VOL]]/1000000/Table13[[#This Row],[FLOAT(M)]]</f>
        <v>#DIV/0!</v>
      </c>
      <c r="AG229" s="23" t="e">
        <f>(Table13[[#This Row],[Volume]]/1000000)/Table13[[#This Row],[FLOAT(M)]]</f>
        <v>#DIV/0!</v>
      </c>
      <c r="AI229" s="18" t="e">
        <f>(Table13[[#This Row],[PM Hi]]-Table13[[#This Row],[MKT Open Price]])/(Table13[[#This Row],[PM Hi]])</f>
        <v>#DIV/0!</v>
      </c>
      <c r="AJ229" s="18" t="e">
        <f>IF(Table13[[#This Row],[PM LO]]&gt;Table13[[#This Row],[Prior day close]],(Table13[[#This Row],[PM Hi]]-Table13[[#This Row],[MKT Open Price]])/(Table13[[#This Row],[PM Hi]]-Table13[[#This Row],[Prior day close]]),(Table13[[#This Row],[PM Hi]]-Table13[[#This Row],[MKT Open Price]])/(Table13[[#This Row],[PM Hi]]-Table13[[#This Row],[PM LO]]))</f>
        <v>#DIV/0!</v>
      </c>
      <c r="AK229" s="48" t="e">
        <f>IF(Table13[[#This Row],[Prior day close]]&lt;Table13[[#This Row],[PM LO]],(I229-K229)/(I229-Table13[[#This Row],[Prior day close]]),(I229-K229)/(I229-Table13[[#This Row],[PM LO]]))</f>
        <v>#DIV/0!</v>
      </c>
      <c r="AL229" s="48">
        <f>Table13[[#This Row],[Spike % on open before drop]]+AM229</f>
        <v>0</v>
      </c>
      <c r="AM229" s="18"/>
      <c r="AN229" s="16"/>
      <c r="AO229" s="48" t="e">
        <f>IF(Table13[[#This Row],[Prior day close]]&lt;=Table13[[#This Row],[PM LO]],IF($J229&gt;=$F229,($J229-$K229)/($J229-Table13[[#This Row],[Prior day close]]),(IF($H229&lt;=$K229,($F229-$H229)/($F229-Table13[[#This Row],[Prior day close]]),(Table13[[#This Row],[PM Hi]]-Table13[[#This Row],[Lowest lo from open to squeeze]])/(Table13[[#This Row],[PM Hi]]-Table13[[#This Row],[Prior day close]])))),IF($J229&gt;=$F229,($J229-$K229)/($J229-Table13[[#This Row],[PM LO]]),(IF($H229&lt;=$K229,($F229-$H229)/($F229-Table13[[#This Row],[PM LO]]),(Table13[[#This Row],[PM Hi]]-Table13[[#This Row],[Lowest lo from open to squeeze]])/(Table13[[#This Row],[PM Hi]]-Table13[[#This Row],[PM LO]])))))</f>
        <v>#DIV/0!</v>
      </c>
      <c r="AP229" s="18"/>
      <c r="AQ229" s="17">
        <f>390+Table13[[#This Row],[Time until ideal entry point (mins) from open]]</f>
        <v>390</v>
      </c>
      <c r="AR229" s="17">
        <f>Table13[[#This Row],[Time until ideal entry + 390 (6:30)]]+Table13[[#This Row],[Duration of frontside (mins)]]</f>
        <v>390</v>
      </c>
    </row>
    <row r="230" spans="1:44" hidden="1" x14ac:dyDescent="0.25">
      <c r="A230" s="24" t="s">
        <v>239</v>
      </c>
      <c r="B230" s="47">
        <v>44173</v>
      </c>
      <c r="C230" s="47" t="s">
        <v>71</v>
      </c>
      <c r="D230" s="12"/>
      <c r="E230" s="13"/>
      <c r="F230" s="12"/>
      <c r="G230" s="12"/>
      <c r="H230" s="12"/>
      <c r="I230" s="12"/>
      <c r="J230" s="12"/>
      <c r="K230" s="12"/>
      <c r="N230" s="13"/>
      <c r="P230" s="37"/>
      <c r="Q230" s="46"/>
      <c r="R230" s="37"/>
      <c r="S230" s="37"/>
      <c r="T230" s="37"/>
      <c r="U230" s="37"/>
      <c r="V230" s="38"/>
      <c r="W230" s="46"/>
      <c r="X230" s="37"/>
      <c r="Y230" s="46"/>
      <c r="Z230" s="41">
        <f>Table13[[#This Row],[Time until ideal entry + 390 (6:30)]]/(1440)</f>
        <v>0.27083333333333331</v>
      </c>
      <c r="AA230" s="18"/>
      <c r="AB230" s="18" t="e">
        <f>IF(Table13[[#This Row],[HOD AFTER PM HI]]&gt;=Table13[[#This Row],[PM Hi]],((Table13[[#This Row],[HOD AFTER PM HI]]-Table13[[#This Row],[Prior day close]])/Table13[[#This Row],[Prior day close]]),Table13[[#This Row],[Prior Close to PM Hi %]])</f>
        <v>#DIV/0!</v>
      </c>
      <c r="AC230" s="42" t="e">
        <f>(Table13[[#This Row],[Price at hi of squeeze]]-Table13[[#This Row],[MKT Open Price]])/Table13[[#This Row],[MKT Open Price]]</f>
        <v>#DIV/0!</v>
      </c>
      <c r="AD230" s="18" t="e">
        <f>(Table13[[#This Row],[Price at hi of squeeze]]-Table13[[#This Row],[PM Hi]])/Table13[[#This Row],[PM Hi]]</f>
        <v>#DIV/0!</v>
      </c>
      <c r="AE230" s="18"/>
      <c r="AF230" s="20" t="e">
        <f>Table13[[#This Row],[PM VOL]]/1000000/Table13[[#This Row],[FLOAT(M)]]</f>
        <v>#DIV/0!</v>
      </c>
      <c r="AG230" s="23" t="e">
        <f>(Table13[[#This Row],[Volume]]/1000000)/Table13[[#This Row],[FLOAT(M)]]</f>
        <v>#DIV/0!</v>
      </c>
      <c r="AI230" s="18" t="e">
        <f>(Table13[[#This Row],[PM Hi]]-Table13[[#This Row],[MKT Open Price]])/(Table13[[#This Row],[PM Hi]])</f>
        <v>#DIV/0!</v>
      </c>
      <c r="AJ230" s="18" t="e">
        <f>IF(Table13[[#This Row],[PM LO]]&gt;Table13[[#This Row],[Prior day close]],(Table13[[#This Row],[PM Hi]]-Table13[[#This Row],[MKT Open Price]])/(Table13[[#This Row],[PM Hi]]-Table13[[#This Row],[Prior day close]]),(Table13[[#This Row],[PM Hi]]-Table13[[#This Row],[MKT Open Price]])/(Table13[[#This Row],[PM Hi]]-Table13[[#This Row],[PM LO]]))</f>
        <v>#DIV/0!</v>
      </c>
      <c r="AK230" s="48" t="e">
        <f>IF(Table13[[#This Row],[Prior day close]]&lt;Table13[[#This Row],[PM LO]],(I230-K230)/(I230-Table13[[#This Row],[Prior day close]]),(I230-K230)/(I230-Table13[[#This Row],[PM LO]]))</f>
        <v>#DIV/0!</v>
      </c>
      <c r="AL230" s="48">
        <f>Table13[[#This Row],[Spike % on open before drop]]+AM230</f>
        <v>0</v>
      </c>
      <c r="AM230" s="18"/>
      <c r="AN230" s="16"/>
      <c r="AO230" s="48" t="e">
        <f>IF(Table13[[#This Row],[Prior day close]]&lt;=Table13[[#This Row],[PM LO]],IF($J230&gt;=$F230,($J230-$K230)/($J230-Table13[[#This Row],[Prior day close]]),(IF($H230&lt;=$K230,($F230-$H230)/($F230-Table13[[#This Row],[Prior day close]]),(Table13[[#This Row],[PM Hi]]-Table13[[#This Row],[Lowest lo from open to squeeze]])/(Table13[[#This Row],[PM Hi]]-Table13[[#This Row],[Prior day close]])))),IF($J230&gt;=$F230,($J230-$K230)/($J230-Table13[[#This Row],[PM LO]]),(IF($H230&lt;=$K230,($F230-$H230)/($F230-Table13[[#This Row],[PM LO]]),(Table13[[#This Row],[PM Hi]]-Table13[[#This Row],[Lowest lo from open to squeeze]])/(Table13[[#This Row],[PM Hi]]-Table13[[#This Row],[PM LO]])))))</f>
        <v>#DIV/0!</v>
      </c>
      <c r="AP230" s="18"/>
      <c r="AQ230" s="17">
        <f>390+Table13[[#This Row],[Time until ideal entry point (mins) from open]]</f>
        <v>390</v>
      </c>
      <c r="AR230" s="17">
        <f>Table13[[#This Row],[Time until ideal entry + 390 (6:30)]]+Table13[[#This Row],[Duration of frontside (mins)]]</f>
        <v>390</v>
      </c>
    </row>
    <row r="231" spans="1:44" hidden="1" x14ac:dyDescent="0.25">
      <c r="A231" s="24" t="s">
        <v>45</v>
      </c>
      <c r="B231" s="47">
        <v>44174</v>
      </c>
      <c r="C231" s="47" t="s">
        <v>71</v>
      </c>
      <c r="D231" s="12"/>
      <c r="E231" s="13"/>
      <c r="F231" s="12"/>
      <c r="G231" s="12"/>
      <c r="H231" s="12"/>
      <c r="I231" s="12"/>
      <c r="J231" s="12"/>
      <c r="K231" s="12"/>
      <c r="N231" s="13"/>
      <c r="P231" s="37"/>
      <c r="Q231" s="46"/>
      <c r="R231" s="37"/>
      <c r="S231" s="37"/>
      <c r="T231" s="37"/>
      <c r="U231" s="37"/>
      <c r="V231" s="38"/>
      <c r="W231" s="46"/>
      <c r="X231" s="37"/>
      <c r="Y231" s="46"/>
      <c r="Z231" s="41">
        <f>Table13[[#This Row],[Time until ideal entry + 390 (6:30)]]/(1440)</f>
        <v>0.27083333333333331</v>
      </c>
      <c r="AA231" s="18"/>
      <c r="AB231" s="18" t="e">
        <f>IF(Table13[[#This Row],[HOD AFTER PM HI]]&gt;=Table13[[#This Row],[PM Hi]],((Table13[[#This Row],[HOD AFTER PM HI]]-Table13[[#This Row],[Prior day close]])/Table13[[#This Row],[Prior day close]]),Table13[[#This Row],[Prior Close to PM Hi %]])</f>
        <v>#DIV/0!</v>
      </c>
      <c r="AC231" s="42" t="e">
        <f>(Table13[[#This Row],[Price at hi of squeeze]]-Table13[[#This Row],[MKT Open Price]])/Table13[[#This Row],[MKT Open Price]]</f>
        <v>#DIV/0!</v>
      </c>
      <c r="AD231" s="18" t="e">
        <f>(Table13[[#This Row],[Price at hi of squeeze]]-Table13[[#This Row],[PM Hi]])/Table13[[#This Row],[PM Hi]]</f>
        <v>#DIV/0!</v>
      </c>
      <c r="AE231" s="18"/>
      <c r="AF231" s="20" t="e">
        <f>Table13[[#This Row],[PM VOL]]/1000000/Table13[[#This Row],[FLOAT(M)]]</f>
        <v>#DIV/0!</v>
      </c>
      <c r="AG231" s="23" t="e">
        <f>(Table13[[#This Row],[Volume]]/1000000)/Table13[[#This Row],[FLOAT(M)]]</f>
        <v>#DIV/0!</v>
      </c>
      <c r="AI231" s="18" t="e">
        <f>(Table13[[#This Row],[PM Hi]]-Table13[[#This Row],[MKT Open Price]])/(Table13[[#This Row],[PM Hi]])</f>
        <v>#DIV/0!</v>
      </c>
      <c r="AJ231" s="18" t="e">
        <f>IF(Table13[[#This Row],[PM LO]]&gt;Table13[[#This Row],[Prior day close]],(Table13[[#This Row],[PM Hi]]-Table13[[#This Row],[MKT Open Price]])/(Table13[[#This Row],[PM Hi]]-Table13[[#This Row],[Prior day close]]),(Table13[[#This Row],[PM Hi]]-Table13[[#This Row],[MKT Open Price]])/(Table13[[#This Row],[PM Hi]]-Table13[[#This Row],[PM LO]]))</f>
        <v>#DIV/0!</v>
      </c>
      <c r="AK231" s="48" t="e">
        <f>IF(Table13[[#This Row],[Prior day close]]&lt;Table13[[#This Row],[PM LO]],(I231-K231)/(I231-Table13[[#This Row],[Prior day close]]),(I231-K231)/(I231-Table13[[#This Row],[PM LO]]))</f>
        <v>#DIV/0!</v>
      </c>
      <c r="AL231" s="48">
        <f>Table13[[#This Row],[Spike % on open before drop]]+AM231</f>
        <v>0</v>
      </c>
      <c r="AM231" s="18"/>
      <c r="AN231" s="16"/>
      <c r="AO231" s="48" t="e">
        <f>IF(Table13[[#This Row],[Prior day close]]&lt;=Table13[[#This Row],[PM LO]],IF($J231&gt;=$F231,($J231-$K231)/($J231-Table13[[#This Row],[Prior day close]]),(IF($H231&lt;=$K231,($F231-$H231)/($F231-Table13[[#This Row],[Prior day close]]),(Table13[[#This Row],[PM Hi]]-Table13[[#This Row],[Lowest lo from open to squeeze]])/(Table13[[#This Row],[PM Hi]]-Table13[[#This Row],[Prior day close]])))),IF($J231&gt;=$F231,($J231-$K231)/($J231-Table13[[#This Row],[PM LO]]),(IF($H231&lt;=$K231,($F231-$H231)/($F231-Table13[[#This Row],[PM LO]]),(Table13[[#This Row],[PM Hi]]-Table13[[#This Row],[Lowest lo from open to squeeze]])/(Table13[[#This Row],[PM Hi]]-Table13[[#This Row],[PM LO]])))))</f>
        <v>#DIV/0!</v>
      </c>
      <c r="AP231" s="18"/>
      <c r="AQ231" s="17">
        <f>390+Table13[[#This Row],[Time until ideal entry point (mins) from open]]</f>
        <v>390</v>
      </c>
      <c r="AR231" s="17">
        <f>Table13[[#This Row],[Time until ideal entry + 390 (6:30)]]+Table13[[#This Row],[Duration of frontside (mins)]]</f>
        <v>390</v>
      </c>
    </row>
    <row r="232" spans="1:44" hidden="1" x14ac:dyDescent="0.25">
      <c r="A232" s="24" t="s">
        <v>240</v>
      </c>
      <c r="B232" s="47">
        <v>44175</v>
      </c>
      <c r="C232" s="47" t="s">
        <v>143</v>
      </c>
      <c r="D232" s="12"/>
      <c r="E232" s="13"/>
      <c r="F232" s="12"/>
      <c r="G232" s="12"/>
      <c r="H232" s="12"/>
      <c r="I232" s="12"/>
      <c r="J232" s="12"/>
      <c r="K232" s="12"/>
      <c r="N232" s="13"/>
      <c r="P232" s="37"/>
      <c r="Q232" s="46"/>
      <c r="R232" s="37"/>
      <c r="S232" s="37"/>
      <c r="T232" s="37"/>
      <c r="U232" s="37"/>
      <c r="V232" s="38"/>
      <c r="W232" s="46"/>
      <c r="X232" s="37"/>
      <c r="Y232" s="46"/>
      <c r="Z232" s="41">
        <f>Table13[[#This Row],[Time until ideal entry + 390 (6:30)]]/(1440)</f>
        <v>0.27083333333333331</v>
      </c>
      <c r="AA232" s="18"/>
      <c r="AB232" s="18" t="e">
        <f>IF(Table13[[#This Row],[HOD AFTER PM HI]]&gt;=Table13[[#This Row],[PM Hi]],((Table13[[#This Row],[HOD AFTER PM HI]]-Table13[[#This Row],[Prior day close]])/Table13[[#This Row],[Prior day close]]),Table13[[#This Row],[Prior Close to PM Hi %]])</f>
        <v>#DIV/0!</v>
      </c>
      <c r="AC232" s="42" t="e">
        <f>(Table13[[#This Row],[Price at hi of squeeze]]-Table13[[#This Row],[MKT Open Price]])/Table13[[#This Row],[MKT Open Price]]</f>
        <v>#DIV/0!</v>
      </c>
      <c r="AD232" s="18" t="e">
        <f>(Table13[[#This Row],[Price at hi of squeeze]]-Table13[[#This Row],[PM Hi]])/Table13[[#This Row],[PM Hi]]</f>
        <v>#DIV/0!</v>
      </c>
      <c r="AE232" s="18"/>
      <c r="AF232" s="20" t="e">
        <f>Table13[[#This Row],[PM VOL]]/1000000/Table13[[#This Row],[FLOAT(M)]]</f>
        <v>#DIV/0!</v>
      </c>
      <c r="AG232" s="23" t="e">
        <f>(Table13[[#This Row],[Volume]]/1000000)/Table13[[#This Row],[FLOAT(M)]]</f>
        <v>#DIV/0!</v>
      </c>
      <c r="AI232" s="18" t="e">
        <f>(Table13[[#This Row],[PM Hi]]-Table13[[#This Row],[MKT Open Price]])/(Table13[[#This Row],[PM Hi]])</f>
        <v>#DIV/0!</v>
      </c>
      <c r="AJ232" s="18" t="e">
        <f>IF(Table13[[#This Row],[PM LO]]&gt;Table13[[#This Row],[Prior day close]],(Table13[[#This Row],[PM Hi]]-Table13[[#This Row],[MKT Open Price]])/(Table13[[#This Row],[PM Hi]]-Table13[[#This Row],[Prior day close]]),(Table13[[#This Row],[PM Hi]]-Table13[[#This Row],[MKT Open Price]])/(Table13[[#This Row],[PM Hi]]-Table13[[#This Row],[PM LO]]))</f>
        <v>#DIV/0!</v>
      </c>
      <c r="AK232" s="48" t="e">
        <f>IF(Table13[[#This Row],[Prior day close]]&lt;Table13[[#This Row],[PM LO]],(I232-K232)/(I232-Table13[[#This Row],[Prior day close]]),(I232-K232)/(I232-Table13[[#This Row],[PM LO]]))</f>
        <v>#DIV/0!</v>
      </c>
      <c r="AL232" s="48">
        <f>Table13[[#This Row],[Spike % on open before drop]]+AM232</f>
        <v>0</v>
      </c>
      <c r="AM232" s="18"/>
      <c r="AN232" s="16"/>
      <c r="AO232" s="48" t="e">
        <f>IF(Table13[[#This Row],[Prior day close]]&lt;=Table13[[#This Row],[PM LO]],IF($J232&gt;=$F232,($J232-$K232)/($J232-Table13[[#This Row],[Prior day close]]),(IF($H232&lt;=$K232,($F232-$H232)/($F232-Table13[[#This Row],[Prior day close]]),(Table13[[#This Row],[PM Hi]]-Table13[[#This Row],[Lowest lo from open to squeeze]])/(Table13[[#This Row],[PM Hi]]-Table13[[#This Row],[Prior day close]])))),IF($J232&gt;=$F232,($J232-$K232)/($J232-Table13[[#This Row],[PM LO]]),(IF($H232&lt;=$K232,($F232-$H232)/($F232-Table13[[#This Row],[PM LO]]),(Table13[[#This Row],[PM Hi]]-Table13[[#This Row],[Lowest lo from open to squeeze]])/(Table13[[#This Row],[PM Hi]]-Table13[[#This Row],[PM LO]])))))</f>
        <v>#DIV/0!</v>
      </c>
      <c r="AP232" s="18"/>
      <c r="AQ232" s="17">
        <f>390+Table13[[#This Row],[Time until ideal entry point (mins) from open]]</f>
        <v>390</v>
      </c>
      <c r="AR232" s="17">
        <f>Table13[[#This Row],[Time until ideal entry + 390 (6:30)]]+Table13[[#This Row],[Duration of frontside (mins)]]</f>
        <v>390</v>
      </c>
    </row>
    <row r="233" spans="1:44" hidden="1" x14ac:dyDescent="0.25">
      <c r="A233" s="24" t="s">
        <v>228</v>
      </c>
      <c r="B233" s="47">
        <v>44180</v>
      </c>
      <c r="C233" s="47" t="s">
        <v>143</v>
      </c>
      <c r="D233" s="12"/>
      <c r="E233" s="13"/>
      <c r="F233" s="12"/>
      <c r="G233" s="12"/>
      <c r="H233" s="12"/>
      <c r="I233" s="12"/>
      <c r="J233" s="12"/>
      <c r="K233" s="12"/>
      <c r="N233" s="13"/>
      <c r="P233" s="37"/>
      <c r="Q233" s="46"/>
      <c r="R233" s="37"/>
      <c r="S233" s="37"/>
      <c r="T233" s="37"/>
      <c r="U233" s="37"/>
      <c r="V233" s="38"/>
      <c r="W233" s="46"/>
      <c r="X233" s="37"/>
      <c r="Y233" s="46"/>
      <c r="Z233" s="41">
        <f>Table13[[#This Row],[Time until ideal entry + 390 (6:30)]]/(1440)</f>
        <v>0.27083333333333331</v>
      </c>
      <c r="AA233" s="18"/>
      <c r="AB233" s="18" t="e">
        <f>IF(Table13[[#This Row],[HOD AFTER PM HI]]&gt;=Table13[[#This Row],[PM Hi]],((Table13[[#This Row],[HOD AFTER PM HI]]-Table13[[#This Row],[Prior day close]])/Table13[[#This Row],[Prior day close]]),Table13[[#This Row],[Prior Close to PM Hi %]])</f>
        <v>#DIV/0!</v>
      </c>
      <c r="AC233" s="42" t="e">
        <f>(Table13[[#This Row],[Price at hi of squeeze]]-Table13[[#This Row],[MKT Open Price]])/Table13[[#This Row],[MKT Open Price]]</f>
        <v>#DIV/0!</v>
      </c>
      <c r="AD233" s="18" t="e">
        <f>(Table13[[#This Row],[Price at hi of squeeze]]-Table13[[#This Row],[PM Hi]])/Table13[[#This Row],[PM Hi]]</f>
        <v>#DIV/0!</v>
      </c>
      <c r="AE233" s="18"/>
      <c r="AF233" s="20" t="e">
        <f>Table13[[#This Row],[PM VOL]]/1000000/Table13[[#This Row],[FLOAT(M)]]</f>
        <v>#DIV/0!</v>
      </c>
      <c r="AG233" s="23" t="e">
        <f>(Table13[[#This Row],[Volume]]/1000000)/Table13[[#This Row],[FLOAT(M)]]</f>
        <v>#DIV/0!</v>
      </c>
      <c r="AI233" s="18" t="e">
        <f>(Table13[[#This Row],[PM Hi]]-Table13[[#This Row],[MKT Open Price]])/(Table13[[#This Row],[PM Hi]])</f>
        <v>#DIV/0!</v>
      </c>
      <c r="AJ233" s="18" t="e">
        <f>IF(Table13[[#This Row],[PM LO]]&gt;Table13[[#This Row],[Prior day close]],(Table13[[#This Row],[PM Hi]]-Table13[[#This Row],[MKT Open Price]])/(Table13[[#This Row],[PM Hi]]-Table13[[#This Row],[Prior day close]]),(Table13[[#This Row],[PM Hi]]-Table13[[#This Row],[MKT Open Price]])/(Table13[[#This Row],[PM Hi]]-Table13[[#This Row],[PM LO]]))</f>
        <v>#DIV/0!</v>
      </c>
      <c r="AK233" s="48" t="e">
        <f>IF(Table13[[#This Row],[Prior day close]]&lt;Table13[[#This Row],[PM LO]],(I233-K233)/(I233-Table13[[#This Row],[Prior day close]]),(I233-K233)/(I233-Table13[[#This Row],[PM LO]]))</f>
        <v>#DIV/0!</v>
      </c>
      <c r="AL233" s="48">
        <f>Table13[[#This Row],[Spike % on open before drop]]+AM233</f>
        <v>0</v>
      </c>
      <c r="AM233" s="18"/>
      <c r="AN233" s="16"/>
      <c r="AO233" s="48" t="e">
        <f>IF(Table13[[#This Row],[Prior day close]]&lt;=Table13[[#This Row],[PM LO]],IF($J233&gt;=$F233,($J233-$K233)/($J233-Table13[[#This Row],[Prior day close]]),(IF($H233&lt;=$K233,($F233-$H233)/($F233-Table13[[#This Row],[Prior day close]]),(Table13[[#This Row],[PM Hi]]-Table13[[#This Row],[Lowest lo from open to squeeze]])/(Table13[[#This Row],[PM Hi]]-Table13[[#This Row],[Prior day close]])))),IF($J233&gt;=$F233,($J233-$K233)/($J233-Table13[[#This Row],[PM LO]]),(IF($H233&lt;=$K233,($F233-$H233)/($F233-Table13[[#This Row],[PM LO]]),(Table13[[#This Row],[PM Hi]]-Table13[[#This Row],[Lowest lo from open to squeeze]])/(Table13[[#This Row],[PM Hi]]-Table13[[#This Row],[PM LO]])))))</f>
        <v>#DIV/0!</v>
      </c>
      <c r="AP233" s="18"/>
      <c r="AQ233" s="17">
        <f>390+Table13[[#This Row],[Time until ideal entry point (mins) from open]]</f>
        <v>390</v>
      </c>
      <c r="AR233" s="17">
        <f>Table13[[#This Row],[Time until ideal entry + 390 (6:30)]]+Table13[[#This Row],[Duration of frontside (mins)]]</f>
        <v>390</v>
      </c>
    </row>
    <row r="234" spans="1:44" hidden="1" x14ac:dyDescent="0.25">
      <c r="A234" s="24" t="s">
        <v>241</v>
      </c>
      <c r="B234" s="47">
        <v>44181</v>
      </c>
      <c r="C234" s="47" t="s">
        <v>143</v>
      </c>
      <c r="D234" s="12"/>
      <c r="E234" s="13"/>
      <c r="F234" s="12"/>
      <c r="G234" s="12"/>
      <c r="H234" s="12"/>
      <c r="I234" s="12"/>
      <c r="J234" s="12"/>
      <c r="K234" s="12"/>
      <c r="N234" s="13"/>
      <c r="P234" s="37"/>
      <c r="Q234" s="46"/>
      <c r="R234" s="37"/>
      <c r="S234" s="37"/>
      <c r="T234" s="37"/>
      <c r="U234" s="37"/>
      <c r="V234" s="38"/>
      <c r="W234" s="46"/>
      <c r="X234" s="37"/>
      <c r="Y234" s="46"/>
      <c r="Z234" s="41">
        <f>Table13[[#This Row],[Time until ideal entry + 390 (6:30)]]/(1440)</f>
        <v>0.27083333333333331</v>
      </c>
      <c r="AA234" s="18"/>
      <c r="AB234" s="18" t="e">
        <f>IF(Table13[[#This Row],[HOD AFTER PM HI]]&gt;=Table13[[#This Row],[PM Hi]],((Table13[[#This Row],[HOD AFTER PM HI]]-Table13[[#This Row],[Prior day close]])/Table13[[#This Row],[Prior day close]]),Table13[[#This Row],[Prior Close to PM Hi %]])</f>
        <v>#DIV/0!</v>
      </c>
      <c r="AC234" s="42" t="e">
        <f>(Table13[[#This Row],[Price at hi of squeeze]]-Table13[[#This Row],[MKT Open Price]])/Table13[[#This Row],[MKT Open Price]]</f>
        <v>#DIV/0!</v>
      </c>
      <c r="AD234" s="18" t="e">
        <f>(Table13[[#This Row],[Price at hi of squeeze]]-Table13[[#This Row],[PM Hi]])/Table13[[#This Row],[PM Hi]]</f>
        <v>#DIV/0!</v>
      </c>
      <c r="AE234" s="18"/>
      <c r="AF234" s="20" t="e">
        <f>Table13[[#This Row],[PM VOL]]/1000000/Table13[[#This Row],[FLOAT(M)]]</f>
        <v>#DIV/0!</v>
      </c>
      <c r="AG234" s="23" t="e">
        <f>(Table13[[#This Row],[Volume]]/1000000)/Table13[[#This Row],[FLOAT(M)]]</f>
        <v>#DIV/0!</v>
      </c>
      <c r="AI234" s="18" t="e">
        <f>(Table13[[#This Row],[PM Hi]]-Table13[[#This Row],[MKT Open Price]])/(Table13[[#This Row],[PM Hi]])</f>
        <v>#DIV/0!</v>
      </c>
      <c r="AJ234" s="18" t="e">
        <f>IF(Table13[[#This Row],[PM LO]]&gt;Table13[[#This Row],[Prior day close]],(Table13[[#This Row],[PM Hi]]-Table13[[#This Row],[MKT Open Price]])/(Table13[[#This Row],[PM Hi]]-Table13[[#This Row],[Prior day close]]),(Table13[[#This Row],[PM Hi]]-Table13[[#This Row],[MKT Open Price]])/(Table13[[#This Row],[PM Hi]]-Table13[[#This Row],[PM LO]]))</f>
        <v>#DIV/0!</v>
      </c>
      <c r="AK234" s="48" t="e">
        <f>IF(Table13[[#This Row],[Prior day close]]&lt;Table13[[#This Row],[PM LO]],(I234-K234)/(I234-Table13[[#This Row],[Prior day close]]),(I234-K234)/(I234-Table13[[#This Row],[PM LO]]))</f>
        <v>#DIV/0!</v>
      </c>
      <c r="AL234" s="48">
        <f>Table13[[#This Row],[Spike % on open before drop]]+AM234</f>
        <v>0</v>
      </c>
      <c r="AM234" s="18"/>
      <c r="AN234" s="16"/>
      <c r="AO234" s="48" t="e">
        <f>IF(Table13[[#This Row],[Prior day close]]&lt;=Table13[[#This Row],[PM LO]],IF($J234&gt;=$F234,($J234-$K234)/($J234-Table13[[#This Row],[Prior day close]]),(IF($H234&lt;=$K234,($F234-$H234)/($F234-Table13[[#This Row],[Prior day close]]),(Table13[[#This Row],[PM Hi]]-Table13[[#This Row],[Lowest lo from open to squeeze]])/(Table13[[#This Row],[PM Hi]]-Table13[[#This Row],[Prior day close]])))),IF($J234&gt;=$F234,($J234-$K234)/($J234-Table13[[#This Row],[PM LO]]),(IF($H234&lt;=$K234,($F234-$H234)/($F234-Table13[[#This Row],[PM LO]]),(Table13[[#This Row],[PM Hi]]-Table13[[#This Row],[Lowest lo from open to squeeze]])/(Table13[[#This Row],[PM Hi]]-Table13[[#This Row],[PM LO]])))))</f>
        <v>#DIV/0!</v>
      </c>
      <c r="AP234" s="18"/>
      <c r="AQ234" s="17">
        <f>390+Table13[[#This Row],[Time until ideal entry point (mins) from open]]</f>
        <v>390</v>
      </c>
      <c r="AR234" s="17">
        <f>Table13[[#This Row],[Time until ideal entry + 390 (6:30)]]+Table13[[#This Row],[Duration of frontside (mins)]]</f>
        <v>390</v>
      </c>
    </row>
    <row r="235" spans="1:44" hidden="1" x14ac:dyDescent="0.25">
      <c r="A235" s="24" t="s">
        <v>205</v>
      </c>
      <c r="B235" s="47">
        <v>44181</v>
      </c>
      <c r="C235" s="47" t="s">
        <v>71</v>
      </c>
      <c r="D235" s="12"/>
      <c r="E235" s="13"/>
      <c r="F235" s="12"/>
      <c r="G235" s="12"/>
      <c r="H235" s="12"/>
      <c r="I235" s="12"/>
      <c r="J235" s="12"/>
      <c r="K235" s="12"/>
      <c r="N235" s="13"/>
      <c r="P235" s="37"/>
      <c r="Q235" s="46"/>
      <c r="R235" s="37"/>
      <c r="S235" s="37"/>
      <c r="T235" s="37"/>
      <c r="U235" s="37"/>
      <c r="V235" s="38"/>
      <c r="W235" s="46"/>
      <c r="X235" s="37"/>
      <c r="Y235" s="46"/>
      <c r="Z235" s="41">
        <f>Table13[[#This Row],[Time until ideal entry + 390 (6:30)]]/(1440)</f>
        <v>0.27083333333333331</v>
      </c>
      <c r="AA235" s="18"/>
      <c r="AB235" s="18" t="e">
        <f>IF(Table13[[#This Row],[HOD AFTER PM HI]]&gt;=Table13[[#This Row],[PM Hi]],((Table13[[#This Row],[HOD AFTER PM HI]]-Table13[[#This Row],[Prior day close]])/Table13[[#This Row],[Prior day close]]),Table13[[#This Row],[Prior Close to PM Hi %]])</f>
        <v>#DIV/0!</v>
      </c>
      <c r="AC235" s="42" t="e">
        <f>(Table13[[#This Row],[Price at hi of squeeze]]-Table13[[#This Row],[MKT Open Price]])/Table13[[#This Row],[MKT Open Price]]</f>
        <v>#DIV/0!</v>
      </c>
      <c r="AD235" s="18" t="e">
        <f>(Table13[[#This Row],[Price at hi of squeeze]]-Table13[[#This Row],[PM Hi]])/Table13[[#This Row],[PM Hi]]</f>
        <v>#DIV/0!</v>
      </c>
      <c r="AE235" s="18"/>
      <c r="AF235" s="20" t="e">
        <f>Table13[[#This Row],[PM VOL]]/1000000/Table13[[#This Row],[FLOAT(M)]]</f>
        <v>#DIV/0!</v>
      </c>
      <c r="AG235" s="23" t="e">
        <f>(Table13[[#This Row],[Volume]]/1000000)/Table13[[#This Row],[FLOAT(M)]]</f>
        <v>#DIV/0!</v>
      </c>
      <c r="AI235" s="18" t="e">
        <f>(Table13[[#This Row],[PM Hi]]-Table13[[#This Row],[MKT Open Price]])/(Table13[[#This Row],[PM Hi]])</f>
        <v>#DIV/0!</v>
      </c>
      <c r="AJ235" s="18" t="e">
        <f>IF(Table13[[#This Row],[PM LO]]&gt;Table13[[#This Row],[Prior day close]],(Table13[[#This Row],[PM Hi]]-Table13[[#This Row],[MKT Open Price]])/(Table13[[#This Row],[PM Hi]]-Table13[[#This Row],[Prior day close]]),(Table13[[#This Row],[PM Hi]]-Table13[[#This Row],[MKT Open Price]])/(Table13[[#This Row],[PM Hi]]-Table13[[#This Row],[PM LO]]))</f>
        <v>#DIV/0!</v>
      </c>
      <c r="AK235" s="48" t="e">
        <f>IF(Table13[[#This Row],[Prior day close]]&lt;Table13[[#This Row],[PM LO]],(I235-K235)/(I235-Table13[[#This Row],[Prior day close]]),(I235-K235)/(I235-Table13[[#This Row],[PM LO]]))</f>
        <v>#DIV/0!</v>
      </c>
      <c r="AL235" s="48">
        <f>Table13[[#This Row],[Spike % on open before drop]]+AM235</f>
        <v>0</v>
      </c>
      <c r="AM235" s="18"/>
      <c r="AN235" s="16"/>
      <c r="AO235" s="48" t="e">
        <f>IF(Table13[[#This Row],[Prior day close]]&lt;=Table13[[#This Row],[PM LO]],IF($J235&gt;=$F235,($J235-$K235)/($J235-Table13[[#This Row],[Prior day close]]),(IF($H235&lt;=$K235,($F235-$H235)/($F235-Table13[[#This Row],[Prior day close]]),(Table13[[#This Row],[PM Hi]]-Table13[[#This Row],[Lowest lo from open to squeeze]])/(Table13[[#This Row],[PM Hi]]-Table13[[#This Row],[Prior day close]])))),IF($J235&gt;=$F235,($J235-$K235)/($J235-Table13[[#This Row],[PM LO]]),(IF($H235&lt;=$K235,($F235-$H235)/($F235-Table13[[#This Row],[PM LO]]),(Table13[[#This Row],[PM Hi]]-Table13[[#This Row],[Lowest lo from open to squeeze]])/(Table13[[#This Row],[PM Hi]]-Table13[[#This Row],[PM LO]])))))</f>
        <v>#DIV/0!</v>
      </c>
      <c r="AP235" s="18"/>
      <c r="AQ235" s="17">
        <f>390+Table13[[#This Row],[Time until ideal entry point (mins) from open]]</f>
        <v>390</v>
      </c>
      <c r="AR235" s="17">
        <f>Table13[[#This Row],[Time until ideal entry + 390 (6:30)]]+Table13[[#This Row],[Duration of frontside (mins)]]</f>
        <v>390</v>
      </c>
    </row>
    <row r="236" spans="1:44" hidden="1" x14ac:dyDescent="0.25">
      <c r="A236" s="24" t="s">
        <v>242</v>
      </c>
      <c r="B236" s="47">
        <v>44182</v>
      </c>
      <c r="C236" s="47" t="s">
        <v>71</v>
      </c>
      <c r="D236" s="12"/>
      <c r="E236" s="13"/>
      <c r="F236" s="12"/>
      <c r="G236" s="12"/>
      <c r="H236" s="12"/>
      <c r="I236" s="12"/>
      <c r="J236" s="12"/>
      <c r="K236" s="12"/>
      <c r="N236" s="13"/>
      <c r="P236" s="37"/>
      <c r="Q236" s="46"/>
      <c r="R236" s="37"/>
      <c r="S236" s="37"/>
      <c r="T236" s="37"/>
      <c r="U236" s="37"/>
      <c r="V236" s="38"/>
      <c r="W236" s="46"/>
      <c r="X236" s="37"/>
      <c r="Y236" s="46"/>
      <c r="Z236" s="41">
        <f>Table13[[#This Row],[Time until ideal entry + 390 (6:30)]]/(1440)</f>
        <v>0.27083333333333331</v>
      </c>
      <c r="AA236" s="18"/>
      <c r="AB236" s="18" t="e">
        <f>IF(Table13[[#This Row],[HOD AFTER PM HI]]&gt;=Table13[[#This Row],[PM Hi]],((Table13[[#This Row],[HOD AFTER PM HI]]-Table13[[#This Row],[Prior day close]])/Table13[[#This Row],[Prior day close]]),Table13[[#This Row],[Prior Close to PM Hi %]])</f>
        <v>#DIV/0!</v>
      </c>
      <c r="AC236" s="42" t="e">
        <f>(Table13[[#This Row],[Price at hi of squeeze]]-Table13[[#This Row],[MKT Open Price]])/Table13[[#This Row],[MKT Open Price]]</f>
        <v>#DIV/0!</v>
      </c>
      <c r="AD236" s="18" t="e">
        <f>(Table13[[#This Row],[Price at hi of squeeze]]-Table13[[#This Row],[PM Hi]])/Table13[[#This Row],[PM Hi]]</f>
        <v>#DIV/0!</v>
      </c>
      <c r="AE236" s="18"/>
      <c r="AF236" s="20" t="e">
        <f>Table13[[#This Row],[PM VOL]]/1000000/Table13[[#This Row],[FLOAT(M)]]</f>
        <v>#DIV/0!</v>
      </c>
      <c r="AG236" s="23" t="e">
        <f>(Table13[[#This Row],[Volume]]/1000000)/Table13[[#This Row],[FLOAT(M)]]</f>
        <v>#DIV/0!</v>
      </c>
      <c r="AI236" s="18" t="e">
        <f>(Table13[[#This Row],[PM Hi]]-Table13[[#This Row],[MKT Open Price]])/(Table13[[#This Row],[PM Hi]])</f>
        <v>#DIV/0!</v>
      </c>
      <c r="AJ236" s="18" t="e">
        <f>IF(Table13[[#This Row],[PM LO]]&gt;Table13[[#This Row],[Prior day close]],(Table13[[#This Row],[PM Hi]]-Table13[[#This Row],[MKT Open Price]])/(Table13[[#This Row],[PM Hi]]-Table13[[#This Row],[Prior day close]]),(Table13[[#This Row],[PM Hi]]-Table13[[#This Row],[MKT Open Price]])/(Table13[[#This Row],[PM Hi]]-Table13[[#This Row],[PM LO]]))</f>
        <v>#DIV/0!</v>
      </c>
      <c r="AK236" s="48" t="e">
        <f>IF(Table13[[#This Row],[Prior day close]]&lt;Table13[[#This Row],[PM LO]],(I236-K236)/(I236-Table13[[#This Row],[Prior day close]]),(I236-K236)/(I236-Table13[[#This Row],[PM LO]]))</f>
        <v>#DIV/0!</v>
      </c>
      <c r="AL236" s="48">
        <f>Table13[[#This Row],[Spike % on open before drop]]+AM236</f>
        <v>0</v>
      </c>
      <c r="AM236" s="18"/>
      <c r="AN236" s="16"/>
      <c r="AO236" s="48" t="e">
        <f>IF(Table13[[#This Row],[Prior day close]]&lt;=Table13[[#This Row],[PM LO]],IF($J236&gt;=$F236,($J236-$K236)/($J236-Table13[[#This Row],[Prior day close]]),(IF($H236&lt;=$K236,($F236-$H236)/($F236-Table13[[#This Row],[Prior day close]]),(Table13[[#This Row],[PM Hi]]-Table13[[#This Row],[Lowest lo from open to squeeze]])/(Table13[[#This Row],[PM Hi]]-Table13[[#This Row],[Prior day close]])))),IF($J236&gt;=$F236,($J236-$K236)/($J236-Table13[[#This Row],[PM LO]]),(IF($H236&lt;=$K236,($F236-$H236)/($F236-Table13[[#This Row],[PM LO]]),(Table13[[#This Row],[PM Hi]]-Table13[[#This Row],[Lowest lo from open to squeeze]])/(Table13[[#This Row],[PM Hi]]-Table13[[#This Row],[PM LO]])))))</f>
        <v>#DIV/0!</v>
      </c>
      <c r="AP236" s="18"/>
      <c r="AQ236" s="17">
        <f>390+Table13[[#This Row],[Time until ideal entry point (mins) from open]]</f>
        <v>390</v>
      </c>
      <c r="AR236" s="17">
        <f>Table13[[#This Row],[Time until ideal entry + 390 (6:30)]]+Table13[[#This Row],[Duration of frontside (mins)]]</f>
        <v>390</v>
      </c>
    </row>
    <row r="237" spans="1:44" hidden="1" x14ac:dyDescent="0.25">
      <c r="A237" s="24" t="s">
        <v>57</v>
      </c>
      <c r="B237" s="47">
        <v>44182</v>
      </c>
      <c r="C237" s="47" t="s">
        <v>71</v>
      </c>
      <c r="D237" s="12"/>
      <c r="E237" s="13"/>
      <c r="F237" s="12"/>
      <c r="G237" s="12"/>
      <c r="H237" s="12"/>
      <c r="I237" s="12"/>
      <c r="J237" s="12"/>
      <c r="K237" s="12"/>
      <c r="N237" s="13"/>
      <c r="P237" s="37"/>
      <c r="Q237" s="46"/>
      <c r="R237" s="37"/>
      <c r="S237" s="37"/>
      <c r="T237" s="37"/>
      <c r="U237" s="37"/>
      <c r="V237" s="38"/>
      <c r="W237" s="46"/>
      <c r="X237" s="37"/>
      <c r="Y237" s="46"/>
      <c r="Z237" s="41">
        <f>Table13[[#This Row],[Time until ideal entry + 390 (6:30)]]/(1440)</f>
        <v>0.27083333333333331</v>
      </c>
      <c r="AA237" s="18"/>
      <c r="AB237" s="18" t="e">
        <f>IF(Table13[[#This Row],[HOD AFTER PM HI]]&gt;=Table13[[#This Row],[PM Hi]],((Table13[[#This Row],[HOD AFTER PM HI]]-Table13[[#This Row],[Prior day close]])/Table13[[#This Row],[Prior day close]]),Table13[[#This Row],[Prior Close to PM Hi %]])</f>
        <v>#DIV/0!</v>
      </c>
      <c r="AC237" s="42" t="e">
        <f>(Table13[[#This Row],[Price at hi of squeeze]]-Table13[[#This Row],[MKT Open Price]])/Table13[[#This Row],[MKT Open Price]]</f>
        <v>#DIV/0!</v>
      </c>
      <c r="AD237" s="18" t="e">
        <f>(Table13[[#This Row],[Price at hi of squeeze]]-Table13[[#This Row],[PM Hi]])/Table13[[#This Row],[PM Hi]]</f>
        <v>#DIV/0!</v>
      </c>
      <c r="AE237" s="18"/>
      <c r="AF237" s="20" t="e">
        <f>Table13[[#This Row],[PM VOL]]/1000000/Table13[[#This Row],[FLOAT(M)]]</f>
        <v>#DIV/0!</v>
      </c>
      <c r="AG237" s="23" t="e">
        <f>(Table13[[#This Row],[Volume]]/1000000)/Table13[[#This Row],[FLOAT(M)]]</f>
        <v>#DIV/0!</v>
      </c>
      <c r="AI237" s="18" t="e">
        <f>(Table13[[#This Row],[PM Hi]]-Table13[[#This Row],[MKT Open Price]])/(Table13[[#This Row],[PM Hi]])</f>
        <v>#DIV/0!</v>
      </c>
      <c r="AJ237" s="18" t="e">
        <f>IF(Table13[[#This Row],[PM LO]]&gt;Table13[[#This Row],[Prior day close]],(Table13[[#This Row],[PM Hi]]-Table13[[#This Row],[MKT Open Price]])/(Table13[[#This Row],[PM Hi]]-Table13[[#This Row],[Prior day close]]),(Table13[[#This Row],[PM Hi]]-Table13[[#This Row],[MKT Open Price]])/(Table13[[#This Row],[PM Hi]]-Table13[[#This Row],[PM LO]]))</f>
        <v>#DIV/0!</v>
      </c>
      <c r="AK237" s="48" t="e">
        <f>IF(Table13[[#This Row],[Prior day close]]&lt;Table13[[#This Row],[PM LO]],(I237-K237)/(I237-Table13[[#This Row],[Prior day close]]),(I237-K237)/(I237-Table13[[#This Row],[PM LO]]))</f>
        <v>#DIV/0!</v>
      </c>
      <c r="AL237" s="48">
        <f>Table13[[#This Row],[Spike % on open before drop]]+AM237</f>
        <v>0</v>
      </c>
      <c r="AM237" s="18"/>
      <c r="AN237" s="16"/>
      <c r="AO237" s="48" t="e">
        <f>IF(Table13[[#This Row],[Prior day close]]&lt;=Table13[[#This Row],[PM LO]],IF($J237&gt;=$F237,($J237-$K237)/($J237-Table13[[#This Row],[Prior day close]]),(IF($H237&lt;=$K237,($F237-$H237)/($F237-Table13[[#This Row],[Prior day close]]),(Table13[[#This Row],[PM Hi]]-Table13[[#This Row],[Lowest lo from open to squeeze]])/(Table13[[#This Row],[PM Hi]]-Table13[[#This Row],[Prior day close]])))),IF($J237&gt;=$F237,($J237-$K237)/($J237-Table13[[#This Row],[PM LO]]),(IF($H237&lt;=$K237,($F237-$H237)/($F237-Table13[[#This Row],[PM LO]]),(Table13[[#This Row],[PM Hi]]-Table13[[#This Row],[Lowest lo from open to squeeze]])/(Table13[[#This Row],[PM Hi]]-Table13[[#This Row],[PM LO]])))))</f>
        <v>#DIV/0!</v>
      </c>
      <c r="AP237" s="18"/>
      <c r="AQ237" s="17">
        <f>390+Table13[[#This Row],[Time until ideal entry point (mins) from open]]</f>
        <v>390</v>
      </c>
      <c r="AR237" s="17">
        <f>Table13[[#This Row],[Time until ideal entry + 390 (6:30)]]+Table13[[#This Row],[Duration of frontside (mins)]]</f>
        <v>390</v>
      </c>
    </row>
    <row r="238" spans="1:44" hidden="1" x14ac:dyDescent="0.25">
      <c r="A238" s="24" t="s">
        <v>243</v>
      </c>
      <c r="B238" s="47">
        <v>44187</v>
      </c>
      <c r="C238" s="47" t="s">
        <v>143</v>
      </c>
      <c r="D238" s="12"/>
      <c r="E238" s="13"/>
      <c r="F238" s="12"/>
      <c r="G238" s="12"/>
      <c r="H238" s="12"/>
      <c r="I238" s="12"/>
      <c r="J238" s="12"/>
      <c r="K238" s="12"/>
      <c r="N238" s="13"/>
      <c r="P238" s="37"/>
      <c r="Q238" s="46"/>
      <c r="R238" s="37"/>
      <c r="S238" s="37"/>
      <c r="T238" s="37"/>
      <c r="U238" s="37"/>
      <c r="V238" s="38"/>
      <c r="W238" s="46"/>
      <c r="X238" s="37"/>
      <c r="Y238" s="46"/>
      <c r="Z238" s="41">
        <f>Table13[[#This Row],[Time until ideal entry + 390 (6:30)]]/(1440)</f>
        <v>0.27083333333333331</v>
      </c>
      <c r="AA238" s="18"/>
      <c r="AB238" s="18" t="e">
        <f>IF(Table13[[#This Row],[HOD AFTER PM HI]]&gt;=Table13[[#This Row],[PM Hi]],((Table13[[#This Row],[HOD AFTER PM HI]]-Table13[[#This Row],[Prior day close]])/Table13[[#This Row],[Prior day close]]),Table13[[#This Row],[Prior Close to PM Hi %]])</f>
        <v>#DIV/0!</v>
      </c>
      <c r="AC238" s="42" t="e">
        <f>(Table13[[#This Row],[Price at hi of squeeze]]-Table13[[#This Row],[MKT Open Price]])/Table13[[#This Row],[MKT Open Price]]</f>
        <v>#DIV/0!</v>
      </c>
      <c r="AD238" s="18" t="e">
        <f>(Table13[[#This Row],[Price at hi of squeeze]]-Table13[[#This Row],[PM Hi]])/Table13[[#This Row],[PM Hi]]</f>
        <v>#DIV/0!</v>
      </c>
      <c r="AE238" s="18"/>
      <c r="AF238" s="20" t="e">
        <f>Table13[[#This Row],[PM VOL]]/1000000/Table13[[#This Row],[FLOAT(M)]]</f>
        <v>#DIV/0!</v>
      </c>
      <c r="AG238" s="23" t="e">
        <f>(Table13[[#This Row],[Volume]]/1000000)/Table13[[#This Row],[FLOAT(M)]]</f>
        <v>#DIV/0!</v>
      </c>
      <c r="AI238" s="18" t="e">
        <f>(Table13[[#This Row],[PM Hi]]-Table13[[#This Row],[MKT Open Price]])/(Table13[[#This Row],[PM Hi]])</f>
        <v>#DIV/0!</v>
      </c>
      <c r="AJ238" s="18" t="e">
        <f>IF(Table13[[#This Row],[PM LO]]&gt;Table13[[#This Row],[Prior day close]],(Table13[[#This Row],[PM Hi]]-Table13[[#This Row],[MKT Open Price]])/(Table13[[#This Row],[PM Hi]]-Table13[[#This Row],[Prior day close]]),(Table13[[#This Row],[PM Hi]]-Table13[[#This Row],[MKT Open Price]])/(Table13[[#This Row],[PM Hi]]-Table13[[#This Row],[PM LO]]))</f>
        <v>#DIV/0!</v>
      </c>
      <c r="AK238" s="48" t="e">
        <f>IF(Table13[[#This Row],[Prior day close]]&lt;Table13[[#This Row],[PM LO]],(I238-K238)/(I238-Table13[[#This Row],[Prior day close]]),(I238-K238)/(I238-Table13[[#This Row],[PM LO]]))</f>
        <v>#DIV/0!</v>
      </c>
      <c r="AL238" s="48">
        <f>Table13[[#This Row],[Spike % on open before drop]]+AM238</f>
        <v>0</v>
      </c>
      <c r="AM238" s="18"/>
      <c r="AN238" s="16"/>
      <c r="AO238" s="48" t="e">
        <f>IF(Table13[[#This Row],[Prior day close]]&lt;=Table13[[#This Row],[PM LO]],IF($J238&gt;=$F238,($J238-$K238)/($J238-Table13[[#This Row],[Prior day close]]),(IF($H238&lt;=$K238,($F238-$H238)/($F238-Table13[[#This Row],[Prior day close]]),(Table13[[#This Row],[PM Hi]]-Table13[[#This Row],[Lowest lo from open to squeeze]])/(Table13[[#This Row],[PM Hi]]-Table13[[#This Row],[Prior day close]])))),IF($J238&gt;=$F238,($J238-$K238)/($J238-Table13[[#This Row],[PM LO]]),(IF($H238&lt;=$K238,($F238-$H238)/($F238-Table13[[#This Row],[PM LO]]),(Table13[[#This Row],[PM Hi]]-Table13[[#This Row],[Lowest lo from open to squeeze]])/(Table13[[#This Row],[PM Hi]]-Table13[[#This Row],[PM LO]])))))</f>
        <v>#DIV/0!</v>
      </c>
      <c r="AP238" s="18"/>
      <c r="AQ238" s="17">
        <f>390+Table13[[#This Row],[Time until ideal entry point (mins) from open]]</f>
        <v>390</v>
      </c>
      <c r="AR238" s="17">
        <f>Table13[[#This Row],[Time until ideal entry + 390 (6:30)]]+Table13[[#This Row],[Duration of frontside (mins)]]</f>
        <v>390</v>
      </c>
    </row>
    <row r="239" spans="1:44" hidden="1" x14ac:dyDescent="0.25">
      <c r="A239" s="24" t="s">
        <v>244</v>
      </c>
      <c r="B239" s="47">
        <v>44195</v>
      </c>
      <c r="C239" s="47" t="s">
        <v>143</v>
      </c>
      <c r="D239" s="12"/>
      <c r="E239" s="13"/>
      <c r="F239" s="12"/>
      <c r="G239" s="12"/>
      <c r="H239" s="12"/>
      <c r="I239" s="12"/>
      <c r="J239" s="12"/>
      <c r="K239" s="12"/>
      <c r="N239" s="13"/>
      <c r="P239" s="37"/>
      <c r="Q239" s="46"/>
      <c r="R239" s="37"/>
      <c r="S239" s="37"/>
      <c r="T239" s="37"/>
      <c r="U239" s="37"/>
      <c r="V239" s="38"/>
      <c r="W239" s="46"/>
      <c r="X239" s="37"/>
      <c r="Y239" s="46"/>
      <c r="Z239" s="41">
        <f>Table13[[#This Row],[Time until ideal entry + 390 (6:30)]]/(1440)</f>
        <v>0.27083333333333331</v>
      </c>
      <c r="AA239" s="18"/>
      <c r="AB239" s="18" t="e">
        <f>IF(Table13[[#This Row],[HOD AFTER PM HI]]&gt;=Table13[[#This Row],[PM Hi]],((Table13[[#This Row],[HOD AFTER PM HI]]-Table13[[#This Row],[Prior day close]])/Table13[[#This Row],[Prior day close]]),Table13[[#This Row],[Prior Close to PM Hi %]])</f>
        <v>#DIV/0!</v>
      </c>
      <c r="AC239" s="42" t="e">
        <f>(Table13[[#This Row],[Price at hi of squeeze]]-Table13[[#This Row],[MKT Open Price]])/Table13[[#This Row],[MKT Open Price]]</f>
        <v>#DIV/0!</v>
      </c>
      <c r="AD239" s="18" t="e">
        <f>(Table13[[#This Row],[Price at hi of squeeze]]-Table13[[#This Row],[PM Hi]])/Table13[[#This Row],[PM Hi]]</f>
        <v>#DIV/0!</v>
      </c>
      <c r="AE239" s="18"/>
      <c r="AF239" s="20" t="e">
        <f>Table13[[#This Row],[PM VOL]]/1000000/Table13[[#This Row],[FLOAT(M)]]</f>
        <v>#DIV/0!</v>
      </c>
      <c r="AG239" s="23" t="e">
        <f>(Table13[[#This Row],[Volume]]/1000000)/Table13[[#This Row],[FLOAT(M)]]</f>
        <v>#DIV/0!</v>
      </c>
      <c r="AI239" s="18" t="e">
        <f>(Table13[[#This Row],[PM Hi]]-Table13[[#This Row],[MKT Open Price]])/(Table13[[#This Row],[PM Hi]])</f>
        <v>#DIV/0!</v>
      </c>
      <c r="AJ239" s="18" t="e">
        <f>IF(Table13[[#This Row],[PM LO]]&gt;Table13[[#This Row],[Prior day close]],(Table13[[#This Row],[PM Hi]]-Table13[[#This Row],[MKT Open Price]])/(Table13[[#This Row],[PM Hi]]-Table13[[#This Row],[Prior day close]]),(Table13[[#This Row],[PM Hi]]-Table13[[#This Row],[MKT Open Price]])/(Table13[[#This Row],[PM Hi]]-Table13[[#This Row],[PM LO]]))</f>
        <v>#DIV/0!</v>
      </c>
      <c r="AK239" s="48" t="e">
        <f>IF(Table13[[#This Row],[Prior day close]]&lt;Table13[[#This Row],[PM LO]],(I239-K239)/(I239-Table13[[#This Row],[Prior day close]]),(I239-K239)/(I239-Table13[[#This Row],[PM LO]]))</f>
        <v>#DIV/0!</v>
      </c>
      <c r="AL239" s="48">
        <f>Table13[[#This Row],[Spike % on open before drop]]+AM239</f>
        <v>0</v>
      </c>
      <c r="AM239" s="18"/>
      <c r="AN239" s="16"/>
      <c r="AO239" s="48" t="e">
        <f>IF(Table13[[#This Row],[Prior day close]]&lt;=Table13[[#This Row],[PM LO]],IF($J239&gt;=$F239,($J239-$K239)/($J239-Table13[[#This Row],[Prior day close]]),(IF($H239&lt;=$K239,($F239-$H239)/($F239-Table13[[#This Row],[Prior day close]]),(Table13[[#This Row],[PM Hi]]-Table13[[#This Row],[Lowest lo from open to squeeze]])/(Table13[[#This Row],[PM Hi]]-Table13[[#This Row],[Prior day close]])))),IF($J239&gt;=$F239,($J239-$K239)/($J239-Table13[[#This Row],[PM LO]]),(IF($H239&lt;=$K239,($F239-$H239)/($F239-Table13[[#This Row],[PM LO]]),(Table13[[#This Row],[PM Hi]]-Table13[[#This Row],[Lowest lo from open to squeeze]])/(Table13[[#This Row],[PM Hi]]-Table13[[#This Row],[PM LO]])))))</f>
        <v>#DIV/0!</v>
      </c>
      <c r="AP239" s="18"/>
      <c r="AQ239" s="17">
        <f>390+Table13[[#This Row],[Time until ideal entry point (mins) from open]]</f>
        <v>390</v>
      </c>
      <c r="AR239" s="17">
        <f>Table13[[#This Row],[Time until ideal entry + 390 (6:30)]]+Table13[[#This Row],[Duration of frontside (mins)]]</f>
        <v>390</v>
      </c>
    </row>
    <row r="240" spans="1:44" hidden="1" x14ac:dyDescent="0.25">
      <c r="A240" s="24" t="s">
        <v>59</v>
      </c>
      <c r="B240" s="47">
        <v>44195</v>
      </c>
      <c r="C240" s="47" t="s">
        <v>71</v>
      </c>
      <c r="D240" s="12"/>
      <c r="E240" s="13"/>
      <c r="F240" s="12"/>
      <c r="G240" s="12"/>
      <c r="H240" s="12"/>
      <c r="I240" s="12"/>
      <c r="J240" s="12"/>
      <c r="K240" s="12"/>
      <c r="N240" s="13"/>
      <c r="P240" s="37"/>
      <c r="Q240" s="46"/>
      <c r="R240" s="37"/>
      <c r="S240" s="37"/>
      <c r="T240" s="37"/>
      <c r="U240" s="37"/>
      <c r="V240" s="38"/>
      <c r="W240" s="46"/>
      <c r="X240" s="37"/>
      <c r="Y240" s="46"/>
      <c r="Z240" s="41">
        <f>Table13[[#This Row],[Time until ideal entry + 390 (6:30)]]/(1440)</f>
        <v>0.27083333333333331</v>
      </c>
      <c r="AA240" s="18"/>
      <c r="AB240" s="18" t="e">
        <f>IF(Table13[[#This Row],[HOD AFTER PM HI]]&gt;=Table13[[#This Row],[PM Hi]],((Table13[[#This Row],[HOD AFTER PM HI]]-Table13[[#This Row],[Prior day close]])/Table13[[#This Row],[Prior day close]]),Table13[[#This Row],[Prior Close to PM Hi %]])</f>
        <v>#DIV/0!</v>
      </c>
      <c r="AC240" s="42" t="e">
        <f>(Table13[[#This Row],[Price at hi of squeeze]]-Table13[[#This Row],[MKT Open Price]])/Table13[[#This Row],[MKT Open Price]]</f>
        <v>#DIV/0!</v>
      </c>
      <c r="AD240" s="18" t="e">
        <f>(Table13[[#This Row],[Price at hi of squeeze]]-Table13[[#This Row],[PM Hi]])/Table13[[#This Row],[PM Hi]]</f>
        <v>#DIV/0!</v>
      </c>
      <c r="AE240" s="18"/>
      <c r="AF240" s="20" t="e">
        <f>Table13[[#This Row],[PM VOL]]/1000000/Table13[[#This Row],[FLOAT(M)]]</f>
        <v>#DIV/0!</v>
      </c>
      <c r="AG240" s="23" t="e">
        <f>(Table13[[#This Row],[Volume]]/1000000)/Table13[[#This Row],[FLOAT(M)]]</f>
        <v>#DIV/0!</v>
      </c>
      <c r="AI240" s="18" t="e">
        <f>(Table13[[#This Row],[PM Hi]]-Table13[[#This Row],[MKT Open Price]])/(Table13[[#This Row],[PM Hi]])</f>
        <v>#DIV/0!</v>
      </c>
      <c r="AJ240" s="18" t="e">
        <f>IF(Table13[[#This Row],[PM LO]]&gt;Table13[[#This Row],[Prior day close]],(Table13[[#This Row],[PM Hi]]-Table13[[#This Row],[MKT Open Price]])/(Table13[[#This Row],[PM Hi]]-Table13[[#This Row],[Prior day close]]),(Table13[[#This Row],[PM Hi]]-Table13[[#This Row],[MKT Open Price]])/(Table13[[#This Row],[PM Hi]]-Table13[[#This Row],[PM LO]]))</f>
        <v>#DIV/0!</v>
      </c>
      <c r="AK240" s="48" t="e">
        <f>IF(Table13[[#This Row],[Prior day close]]&lt;Table13[[#This Row],[PM LO]],(I240-K240)/(I240-Table13[[#This Row],[Prior day close]]),(I240-K240)/(I240-Table13[[#This Row],[PM LO]]))</f>
        <v>#DIV/0!</v>
      </c>
      <c r="AL240" s="48">
        <f>Table13[[#This Row],[Spike % on open before drop]]+AM240</f>
        <v>0</v>
      </c>
      <c r="AM240" s="18"/>
      <c r="AN240" s="16"/>
      <c r="AO240" s="48" t="e">
        <f>IF(Table13[[#This Row],[Prior day close]]&lt;=Table13[[#This Row],[PM LO]],IF($J240&gt;=$F240,($J240-$K240)/($J240-Table13[[#This Row],[Prior day close]]),(IF($H240&lt;=$K240,($F240-$H240)/($F240-Table13[[#This Row],[Prior day close]]),(Table13[[#This Row],[PM Hi]]-Table13[[#This Row],[Lowest lo from open to squeeze]])/(Table13[[#This Row],[PM Hi]]-Table13[[#This Row],[Prior day close]])))),IF($J240&gt;=$F240,($J240-$K240)/($J240-Table13[[#This Row],[PM LO]]),(IF($H240&lt;=$K240,($F240-$H240)/($F240-Table13[[#This Row],[PM LO]]),(Table13[[#This Row],[PM Hi]]-Table13[[#This Row],[Lowest lo from open to squeeze]])/(Table13[[#This Row],[PM Hi]]-Table13[[#This Row],[PM LO]])))))</f>
        <v>#DIV/0!</v>
      </c>
      <c r="AP240" s="18"/>
      <c r="AQ240" s="17">
        <f>390+Table13[[#This Row],[Time until ideal entry point (mins) from open]]</f>
        <v>390</v>
      </c>
      <c r="AR240" s="17">
        <f>Table13[[#This Row],[Time until ideal entry + 390 (6:30)]]+Table13[[#This Row],[Duration of frontside (mins)]]</f>
        <v>390</v>
      </c>
    </row>
    <row r="241" spans="1:44" hidden="1" x14ac:dyDescent="0.25">
      <c r="A241" s="24" t="s">
        <v>245</v>
      </c>
      <c r="B241" s="47">
        <v>44195</v>
      </c>
      <c r="C241" s="47" t="s">
        <v>71</v>
      </c>
      <c r="D241" s="12"/>
      <c r="E241" s="13"/>
      <c r="F241" s="12"/>
      <c r="G241" s="12"/>
      <c r="H241" s="12"/>
      <c r="I241" s="12"/>
      <c r="J241" s="12"/>
      <c r="K241" s="12"/>
      <c r="N241" s="13"/>
      <c r="P241" s="37"/>
      <c r="Q241" s="46"/>
      <c r="R241" s="37"/>
      <c r="S241" s="37"/>
      <c r="T241" s="37"/>
      <c r="U241" s="37"/>
      <c r="V241" s="38"/>
      <c r="W241" s="46"/>
      <c r="X241" s="37"/>
      <c r="Y241" s="46"/>
      <c r="Z241" s="41">
        <f>Table13[[#This Row],[Time until ideal entry + 390 (6:30)]]/(1440)</f>
        <v>0.27083333333333331</v>
      </c>
      <c r="AA241" s="18"/>
      <c r="AB241" s="18" t="e">
        <f>IF(Table13[[#This Row],[HOD AFTER PM HI]]&gt;=Table13[[#This Row],[PM Hi]],((Table13[[#This Row],[HOD AFTER PM HI]]-Table13[[#This Row],[Prior day close]])/Table13[[#This Row],[Prior day close]]),Table13[[#This Row],[Prior Close to PM Hi %]])</f>
        <v>#DIV/0!</v>
      </c>
      <c r="AC241" s="42" t="e">
        <f>(Table13[[#This Row],[Price at hi of squeeze]]-Table13[[#This Row],[MKT Open Price]])/Table13[[#This Row],[MKT Open Price]]</f>
        <v>#DIV/0!</v>
      </c>
      <c r="AD241" s="18" t="e">
        <f>(Table13[[#This Row],[Price at hi of squeeze]]-Table13[[#This Row],[PM Hi]])/Table13[[#This Row],[PM Hi]]</f>
        <v>#DIV/0!</v>
      </c>
      <c r="AE241" s="18"/>
      <c r="AF241" s="20" t="e">
        <f>Table13[[#This Row],[PM VOL]]/1000000/Table13[[#This Row],[FLOAT(M)]]</f>
        <v>#DIV/0!</v>
      </c>
      <c r="AG241" s="23" t="e">
        <f>(Table13[[#This Row],[Volume]]/1000000)/Table13[[#This Row],[FLOAT(M)]]</f>
        <v>#DIV/0!</v>
      </c>
      <c r="AI241" s="18" t="e">
        <f>(Table13[[#This Row],[PM Hi]]-Table13[[#This Row],[MKT Open Price]])/(Table13[[#This Row],[PM Hi]])</f>
        <v>#DIV/0!</v>
      </c>
      <c r="AJ241" s="18" t="e">
        <f>IF(Table13[[#This Row],[PM LO]]&gt;Table13[[#This Row],[Prior day close]],(Table13[[#This Row],[PM Hi]]-Table13[[#This Row],[MKT Open Price]])/(Table13[[#This Row],[PM Hi]]-Table13[[#This Row],[Prior day close]]),(Table13[[#This Row],[PM Hi]]-Table13[[#This Row],[MKT Open Price]])/(Table13[[#This Row],[PM Hi]]-Table13[[#This Row],[PM LO]]))</f>
        <v>#DIV/0!</v>
      </c>
      <c r="AK241" s="48" t="e">
        <f>IF(Table13[[#This Row],[Prior day close]]&lt;Table13[[#This Row],[PM LO]],(I241-K241)/(I241-Table13[[#This Row],[Prior day close]]),(I241-K241)/(I241-Table13[[#This Row],[PM LO]]))</f>
        <v>#DIV/0!</v>
      </c>
      <c r="AL241" s="48">
        <f>Table13[[#This Row],[Spike % on open before drop]]+AM241</f>
        <v>0</v>
      </c>
      <c r="AM241" s="18"/>
      <c r="AN241" s="16"/>
      <c r="AO241" s="48" t="e">
        <f>IF(Table13[[#This Row],[Prior day close]]&lt;=Table13[[#This Row],[PM LO]],IF($J241&gt;=$F241,($J241-$K241)/($J241-Table13[[#This Row],[Prior day close]]),(IF($H241&lt;=$K241,($F241-$H241)/($F241-Table13[[#This Row],[Prior day close]]),(Table13[[#This Row],[PM Hi]]-Table13[[#This Row],[Lowest lo from open to squeeze]])/(Table13[[#This Row],[PM Hi]]-Table13[[#This Row],[Prior day close]])))),IF($J241&gt;=$F241,($J241-$K241)/($J241-Table13[[#This Row],[PM LO]]),(IF($H241&lt;=$K241,($F241-$H241)/($F241-Table13[[#This Row],[PM LO]]),(Table13[[#This Row],[PM Hi]]-Table13[[#This Row],[Lowest lo from open to squeeze]])/(Table13[[#This Row],[PM Hi]]-Table13[[#This Row],[PM LO]])))))</f>
        <v>#DIV/0!</v>
      </c>
      <c r="AP241" s="18"/>
      <c r="AQ241" s="17">
        <f>390+Table13[[#This Row],[Time until ideal entry point (mins) from open]]</f>
        <v>390</v>
      </c>
      <c r="AR241" s="17">
        <f>Table13[[#This Row],[Time until ideal entry + 390 (6:30)]]+Table13[[#This Row],[Duration of frontside (mins)]]</f>
        <v>390</v>
      </c>
    </row>
    <row r="242" spans="1:44" hidden="1" x14ac:dyDescent="0.25">
      <c r="A242" s="25" t="s">
        <v>133</v>
      </c>
      <c r="B242" s="47">
        <v>44203</v>
      </c>
      <c r="C242" s="47" t="s">
        <v>143</v>
      </c>
      <c r="D242" s="12"/>
      <c r="E242" s="13"/>
      <c r="F242" s="12"/>
      <c r="G242" s="12"/>
      <c r="H242" s="12"/>
      <c r="I242" s="12"/>
      <c r="J242" s="12"/>
      <c r="K242" s="12"/>
      <c r="N242" s="13"/>
      <c r="P242" s="37"/>
      <c r="Q242" s="46"/>
      <c r="R242" s="37"/>
      <c r="S242" s="37"/>
      <c r="T242" s="37"/>
      <c r="U242" s="37"/>
      <c r="V242" s="38"/>
      <c r="W242" s="46"/>
      <c r="X242" s="37"/>
      <c r="Y242" s="46"/>
      <c r="Z242" s="41">
        <f>Table13[[#This Row],[Time until ideal entry + 390 (6:30)]]/(1440)</f>
        <v>0.27083333333333331</v>
      </c>
      <c r="AA242" s="18"/>
      <c r="AB242" s="18" t="e">
        <f>IF(Table13[[#This Row],[HOD AFTER PM HI]]&gt;=Table13[[#This Row],[PM Hi]],((Table13[[#This Row],[HOD AFTER PM HI]]-Table13[[#This Row],[Prior day close]])/Table13[[#This Row],[Prior day close]]),Table13[[#This Row],[Prior Close to PM Hi %]])</f>
        <v>#DIV/0!</v>
      </c>
      <c r="AC242" s="42" t="e">
        <f>(Table13[[#This Row],[Price at hi of squeeze]]-Table13[[#This Row],[MKT Open Price]])/Table13[[#This Row],[MKT Open Price]]</f>
        <v>#DIV/0!</v>
      </c>
      <c r="AD242" s="18" t="e">
        <f>(Table13[[#This Row],[Price at hi of squeeze]]-Table13[[#This Row],[PM Hi]])/Table13[[#This Row],[PM Hi]]</f>
        <v>#DIV/0!</v>
      </c>
      <c r="AE242" s="18"/>
      <c r="AF242" s="20" t="e">
        <f>Table13[[#This Row],[PM VOL]]/1000000/Table13[[#This Row],[FLOAT(M)]]</f>
        <v>#DIV/0!</v>
      </c>
      <c r="AG242" s="23" t="e">
        <f>(Table13[[#This Row],[Volume]]/1000000)/Table13[[#This Row],[FLOAT(M)]]</f>
        <v>#DIV/0!</v>
      </c>
      <c r="AI242" s="18" t="e">
        <f>(Table13[[#This Row],[PM Hi]]-Table13[[#This Row],[MKT Open Price]])/(Table13[[#This Row],[PM Hi]])</f>
        <v>#DIV/0!</v>
      </c>
      <c r="AJ242" s="18" t="e">
        <f>IF(Table13[[#This Row],[PM LO]]&gt;Table13[[#This Row],[Prior day close]],(Table13[[#This Row],[PM Hi]]-Table13[[#This Row],[MKT Open Price]])/(Table13[[#This Row],[PM Hi]]-Table13[[#This Row],[Prior day close]]),(Table13[[#This Row],[PM Hi]]-Table13[[#This Row],[MKT Open Price]])/(Table13[[#This Row],[PM Hi]]-Table13[[#This Row],[PM LO]]))</f>
        <v>#DIV/0!</v>
      </c>
      <c r="AK242" s="48" t="e">
        <f>IF(Table13[[#This Row],[Prior day close]]&lt;Table13[[#This Row],[PM LO]],(I242-K242)/(I242-Table13[[#This Row],[Prior day close]]),(I242-K242)/(I242-Table13[[#This Row],[PM LO]]))</f>
        <v>#DIV/0!</v>
      </c>
      <c r="AL242" s="48">
        <f>Table13[[#This Row],[Spike % on open before drop]]+AM242</f>
        <v>0</v>
      </c>
      <c r="AM242" s="18"/>
      <c r="AN242" s="16"/>
      <c r="AO242" s="48" t="e">
        <f>IF(Table13[[#This Row],[Prior day close]]&lt;=Table13[[#This Row],[PM LO]],IF($J242&gt;=$F242,($J242-$K242)/($J242-Table13[[#This Row],[Prior day close]]),(IF($H242&lt;=$K242,($F242-$H242)/($F242-Table13[[#This Row],[Prior day close]]),(Table13[[#This Row],[PM Hi]]-Table13[[#This Row],[Lowest lo from open to squeeze]])/(Table13[[#This Row],[PM Hi]]-Table13[[#This Row],[Prior day close]])))),IF($J242&gt;=$F242,($J242-$K242)/($J242-Table13[[#This Row],[PM LO]]),(IF($H242&lt;=$K242,($F242-$H242)/($F242-Table13[[#This Row],[PM LO]]),(Table13[[#This Row],[PM Hi]]-Table13[[#This Row],[Lowest lo from open to squeeze]])/(Table13[[#This Row],[PM Hi]]-Table13[[#This Row],[PM LO]])))))</f>
        <v>#DIV/0!</v>
      </c>
      <c r="AP242" s="18"/>
      <c r="AQ242" s="17">
        <f>390+Table13[[#This Row],[Time until ideal entry point (mins) from open]]</f>
        <v>390</v>
      </c>
      <c r="AR242" s="17">
        <f>Table13[[#This Row],[Time until ideal entry + 390 (6:30)]]+Table13[[#This Row],[Duration of frontside (mins)]]</f>
        <v>390</v>
      </c>
    </row>
    <row r="243" spans="1:44" hidden="1" x14ac:dyDescent="0.25">
      <c r="A243" s="24" t="s">
        <v>246</v>
      </c>
      <c r="B243" s="45">
        <v>43837</v>
      </c>
      <c r="C243" s="47" t="s">
        <v>71</v>
      </c>
      <c r="D243" s="12"/>
      <c r="E243" s="13"/>
      <c r="F243" s="12"/>
      <c r="G243" s="12"/>
      <c r="H243" s="12"/>
      <c r="I243" s="12"/>
      <c r="J243" s="12"/>
      <c r="K243" s="12"/>
      <c r="N243" s="13"/>
      <c r="P243" s="37"/>
      <c r="Q243" s="46"/>
      <c r="R243" s="37"/>
      <c r="S243" s="37"/>
      <c r="T243" s="37"/>
      <c r="U243" s="37"/>
      <c r="V243" s="38"/>
      <c r="W243" s="46"/>
      <c r="X243" s="37"/>
      <c r="Y243" s="46"/>
      <c r="Z243" s="41">
        <f>Table13[[#This Row],[Time until ideal entry + 390 (6:30)]]/(1440)</f>
        <v>0.27083333333333331</v>
      </c>
      <c r="AA243" s="18"/>
      <c r="AB243" s="18" t="e">
        <f>IF(Table13[[#This Row],[HOD AFTER PM HI]]&gt;=Table13[[#This Row],[PM Hi]],((Table13[[#This Row],[HOD AFTER PM HI]]-Table13[[#This Row],[Prior day close]])/Table13[[#This Row],[Prior day close]]),Table13[[#This Row],[Prior Close to PM Hi %]])</f>
        <v>#DIV/0!</v>
      </c>
      <c r="AC243" s="42" t="e">
        <f>(Table13[[#This Row],[Price at hi of squeeze]]-Table13[[#This Row],[MKT Open Price]])/Table13[[#This Row],[MKT Open Price]]</f>
        <v>#DIV/0!</v>
      </c>
      <c r="AD243" s="18" t="e">
        <f>(Table13[[#This Row],[Price at hi of squeeze]]-Table13[[#This Row],[PM Hi]])/Table13[[#This Row],[PM Hi]]</f>
        <v>#DIV/0!</v>
      </c>
      <c r="AE243" s="18"/>
      <c r="AF243" s="20" t="e">
        <f>Table13[[#This Row],[PM VOL]]/1000000/Table13[[#This Row],[FLOAT(M)]]</f>
        <v>#DIV/0!</v>
      </c>
      <c r="AG243" s="23" t="e">
        <f>(Table13[[#This Row],[Volume]]/1000000)/Table13[[#This Row],[FLOAT(M)]]</f>
        <v>#DIV/0!</v>
      </c>
      <c r="AI243" s="18" t="e">
        <f>(Table13[[#This Row],[PM Hi]]-Table13[[#This Row],[MKT Open Price]])/(Table13[[#This Row],[PM Hi]])</f>
        <v>#DIV/0!</v>
      </c>
      <c r="AJ243" s="18" t="e">
        <f>IF(Table13[[#This Row],[PM LO]]&gt;Table13[[#This Row],[Prior day close]],(Table13[[#This Row],[PM Hi]]-Table13[[#This Row],[MKT Open Price]])/(Table13[[#This Row],[PM Hi]]-Table13[[#This Row],[Prior day close]]),(Table13[[#This Row],[PM Hi]]-Table13[[#This Row],[MKT Open Price]])/(Table13[[#This Row],[PM Hi]]-Table13[[#This Row],[PM LO]]))</f>
        <v>#DIV/0!</v>
      </c>
      <c r="AK243" s="48" t="e">
        <f>IF(Table13[[#This Row],[Prior day close]]&lt;Table13[[#This Row],[PM LO]],(I243-K243)/(I243-Table13[[#This Row],[Prior day close]]),(I243-K243)/(I243-Table13[[#This Row],[PM LO]]))</f>
        <v>#DIV/0!</v>
      </c>
      <c r="AL243" s="48">
        <f>Table13[[#This Row],[Spike % on open before drop]]+AM243</f>
        <v>0</v>
      </c>
      <c r="AM243" s="18"/>
      <c r="AN243" s="16"/>
      <c r="AO243" s="48" t="e">
        <f>IF(Table13[[#This Row],[Prior day close]]&lt;=Table13[[#This Row],[PM LO]],IF($J243&gt;=$F243,($J243-$K243)/($J243-Table13[[#This Row],[Prior day close]]),(IF($H243&lt;=$K243,($F243-$H243)/($F243-Table13[[#This Row],[Prior day close]]),(Table13[[#This Row],[PM Hi]]-Table13[[#This Row],[Lowest lo from open to squeeze]])/(Table13[[#This Row],[PM Hi]]-Table13[[#This Row],[Prior day close]])))),IF($J243&gt;=$F243,($J243-$K243)/($J243-Table13[[#This Row],[PM LO]]),(IF($H243&lt;=$K243,($F243-$H243)/($F243-Table13[[#This Row],[PM LO]]),(Table13[[#This Row],[PM Hi]]-Table13[[#This Row],[Lowest lo from open to squeeze]])/(Table13[[#This Row],[PM Hi]]-Table13[[#This Row],[PM LO]])))))</f>
        <v>#DIV/0!</v>
      </c>
      <c r="AP243" s="18"/>
      <c r="AQ243" s="17">
        <f>390+Table13[[#This Row],[Time until ideal entry point (mins) from open]]</f>
        <v>390</v>
      </c>
      <c r="AR243" s="17">
        <f>Table13[[#This Row],[Time until ideal entry + 390 (6:30)]]+Table13[[#This Row],[Duration of frontside (mins)]]</f>
        <v>390</v>
      </c>
    </row>
    <row r="244" spans="1:44" hidden="1" x14ac:dyDescent="0.25">
      <c r="A244" s="24" t="s">
        <v>247</v>
      </c>
      <c r="B244" s="47">
        <v>43837</v>
      </c>
      <c r="C244" s="47" t="s">
        <v>71</v>
      </c>
      <c r="D244" s="12"/>
      <c r="E244" s="13"/>
      <c r="F244" s="12"/>
      <c r="G244" s="12"/>
      <c r="H244" s="12"/>
      <c r="I244" s="12"/>
      <c r="J244" s="12"/>
      <c r="K244" s="12"/>
      <c r="N244" s="13"/>
      <c r="P244" s="37"/>
      <c r="Q244" s="46"/>
      <c r="R244" s="37"/>
      <c r="S244" s="37"/>
      <c r="T244" s="37"/>
      <c r="U244" s="37"/>
      <c r="V244" s="38"/>
      <c r="W244" s="46"/>
      <c r="X244" s="37"/>
      <c r="Y244" s="46"/>
      <c r="Z244" s="41">
        <f>Table13[[#This Row],[Time until ideal entry + 390 (6:30)]]/(1440)</f>
        <v>0.27083333333333331</v>
      </c>
      <c r="AA244" s="18"/>
      <c r="AB244" s="18" t="e">
        <f>IF(Table13[[#This Row],[HOD AFTER PM HI]]&gt;=Table13[[#This Row],[PM Hi]],((Table13[[#This Row],[HOD AFTER PM HI]]-Table13[[#This Row],[Prior day close]])/Table13[[#This Row],[Prior day close]]),Table13[[#This Row],[Prior Close to PM Hi %]])</f>
        <v>#DIV/0!</v>
      </c>
      <c r="AC244" s="42" t="e">
        <f>(Table13[[#This Row],[Price at hi of squeeze]]-Table13[[#This Row],[MKT Open Price]])/Table13[[#This Row],[MKT Open Price]]</f>
        <v>#DIV/0!</v>
      </c>
      <c r="AD244" s="18" t="e">
        <f>(Table13[[#This Row],[Price at hi of squeeze]]-Table13[[#This Row],[PM Hi]])/Table13[[#This Row],[PM Hi]]</f>
        <v>#DIV/0!</v>
      </c>
      <c r="AE244" s="18"/>
      <c r="AF244" s="20" t="e">
        <f>Table13[[#This Row],[PM VOL]]/1000000/Table13[[#This Row],[FLOAT(M)]]</f>
        <v>#DIV/0!</v>
      </c>
      <c r="AG244" s="23" t="e">
        <f>(Table13[[#This Row],[Volume]]/1000000)/Table13[[#This Row],[FLOAT(M)]]</f>
        <v>#DIV/0!</v>
      </c>
      <c r="AI244" s="18" t="e">
        <f>(Table13[[#This Row],[PM Hi]]-Table13[[#This Row],[MKT Open Price]])/(Table13[[#This Row],[PM Hi]])</f>
        <v>#DIV/0!</v>
      </c>
      <c r="AJ244" s="18" t="e">
        <f>IF(Table13[[#This Row],[PM LO]]&gt;Table13[[#This Row],[Prior day close]],(Table13[[#This Row],[PM Hi]]-Table13[[#This Row],[MKT Open Price]])/(Table13[[#This Row],[PM Hi]]-Table13[[#This Row],[Prior day close]]),(Table13[[#This Row],[PM Hi]]-Table13[[#This Row],[MKT Open Price]])/(Table13[[#This Row],[PM Hi]]-Table13[[#This Row],[PM LO]]))</f>
        <v>#DIV/0!</v>
      </c>
      <c r="AK244" s="48" t="e">
        <f>IF(Table13[[#This Row],[Prior day close]]&lt;Table13[[#This Row],[PM LO]],(I244-K244)/(I244-Table13[[#This Row],[Prior day close]]),(I244-K244)/(I244-Table13[[#This Row],[PM LO]]))</f>
        <v>#DIV/0!</v>
      </c>
      <c r="AL244" s="48">
        <f>Table13[[#This Row],[Spike % on open before drop]]+AM244</f>
        <v>0</v>
      </c>
      <c r="AM244" s="18"/>
      <c r="AN244" s="16"/>
      <c r="AO244" s="48" t="e">
        <f>IF(Table13[[#This Row],[Prior day close]]&lt;=Table13[[#This Row],[PM LO]],IF($J244&gt;=$F244,($J244-$K244)/($J244-Table13[[#This Row],[Prior day close]]),(IF($H244&lt;=$K244,($F244-$H244)/($F244-Table13[[#This Row],[Prior day close]]),(Table13[[#This Row],[PM Hi]]-Table13[[#This Row],[Lowest lo from open to squeeze]])/(Table13[[#This Row],[PM Hi]]-Table13[[#This Row],[Prior day close]])))),IF($J244&gt;=$F244,($J244-$K244)/($J244-Table13[[#This Row],[PM LO]]),(IF($H244&lt;=$K244,($F244-$H244)/($F244-Table13[[#This Row],[PM LO]]),(Table13[[#This Row],[PM Hi]]-Table13[[#This Row],[Lowest lo from open to squeeze]])/(Table13[[#This Row],[PM Hi]]-Table13[[#This Row],[PM LO]])))))</f>
        <v>#DIV/0!</v>
      </c>
      <c r="AP244" s="18"/>
      <c r="AQ244" s="17">
        <f>390+Table13[[#This Row],[Time until ideal entry point (mins) from open]]</f>
        <v>390</v>
      </c>
      <c r="AR244" s="17">
        <f>Table13[[#This Row],[Time until ideal entry + 390 (6:30)]]+Table13[[#This Row],[Duration of frontside (mins)]]</f>
        <v>390</v>
      </c>
    </row>
    <row r="245" spans="1:44" hidden="1" x14ac:dyDescent="0.25">
      <c r="A245" s="24" t="s">
        <v>248</v>
      </c>
      <c r="B245" s="47">
        <v>43841</v>
      </c>
      <c r="C245" s="47" t="s">
        <v>143</v>
      </c>
      <c r="D245" s="12"/>
      <c r="E245" s="13"/>
      <c r="F245" s="12"/>
      <c r="G245" s="12"/>
      <c r="H245" s="12"/>
      <c r="I245" s="12"/>
      <c r="J245" s="12"/>
      <c r="K245" s="12"/>
      <c r="N245" s="13"/>
      <c r="P245" s="37"/>
      <c r="Q245" s="46"/>
      <c r="R245" s="37"/>
      <c r="S245" s="37"/>
      <c r="T245" s="37"/>
      <c r="U245" s="37"/>
      <c r="V245" s="38"/>
      <c r="W245" s="46"/>
      <c r="X245" s="37"/>
      <c r="Y245" s="46"/>
      <c r="Z245" s="41">
        <f>Table13[[#This Row],[Time until ideal entry + 390 (6:30)]]/(1440)</f>
        <v>0.27083333333333331</v>
      </c>
      <c r="AA245" s="18"/>
      <c r="AB245" s="18" t="e">
        <f>IF(Table13[[#This Row],[HOD AFTER PM HI]]&gt;=Table13[[#This Row],[PM Hi]],((Table13[[#This Row],[HOD AFTER PM HI]]-Table13[[#This Row],[Prior day close]])/Table13[[#This Row],[Prior day close]]),Table13[[#This Row],[Prior Close to PM Hi %]])</f>
        <v>#DIV/0!</v>
      </c>
      <c r="AC245" s="42" t="e">
        <f>(Table13[[#This Row],[Price at hi of squeeze]]-Table13[[#This Row],[MKT Open Price]])/Table13[[#This Row],[MKT Open Price]]</f>
        <v>#DIV/0!</v>
      </c>
      <c r="AD245" s="18" t="e">
        <f>(Table13[[#This Row],[Price at hi of squeeze]]-Table13[[#This Row],[PM Hi]])/Table13[[#This Row],[PM Hi]]</f>
        <v>#DIV/0!</v>
      </c>
      <c r="AE245" s="18"/>
      <c r="AF245" s="20" t="e">
        <f>Table13[[#This Row],[PM VOL]]/1000000/Table13[[#This Row],[FLOAT(M)]]</f>
        <v>#DIV/0!</v>
      </c>
      <c r="AG245" s="23" t="e">
        <f>(Table13[[#This Row],[Volume]]/1000000)/Table13[[#This Row],[FLOAT(M)]]</f>
        <v>#DIV/0!</v>
      </c>
      <c r="AI245" s="18" t="e">
        <f>(Table13[[#This Row],[PM Hi]]-Table13[[#This Row],[MKT Open Price]])/(Table13[[#This Row],[PM Hi]])</f>
        <v>#DIV/0!</v>
      </c>
      <c r="AJ245" s="18" t="e">
        <f>IF(Table13[[#This Row],[PM LO]]&gt;Table13[[#This Row],[Prior day close]],(Table13[[#This Row],[PM Hi]]-Table13[[#This Row],[MKT Open Price]])/(Table13[[#This Row],[PM Hi]]-Table13[[#This Row],[Prior day close]]),(Table13[[#This Row],[PM Hi]]-Table13[[#This Row],[MKT Open Price]])/(Table13[[#This Row],[PM Hi]]-Table13[[#This Row],[PM LO]]))</f>
        <v>#DIV/0!</v>
      </c>
      <c r="AK245" s="48" t="e">
        <f>IF(Table13[[#This Row],[Prior day close]]&lt;Table13[[#This Row],[PM LO]],(I245-K245)/(I245-Table13[[#This Row],[Prior day close]]),(I245-K245)/(I245-Table13[[#This Row],[PM LO]]))</f>
        <v>#DIV/0!</v>
      </c>
      <c r="AL245" s="48">
        <f>Table13[[#This Row],[Spike % on open before drop]]+AM245</f>
        <v>0</v>
      </c>
      <c r="AM245" s="18"/>
      <c r="AN245" s="16"/>
      <c r="AO245" s="48" t="e">
        <f>IF(Table13[[#This Row],[Prior day close]]&lt;=Table13[[#This Row],[PM LO]],IF($J245&gt;=$F245,($J245-$K245)/($J245-Table13[[#This Row],[Prior day close]]),(IF($H245&lt;=$K245,($F245-$H245)/($F245-Table13[[#This Row],[Prior day close]]),(Table13[[#This Row],[PM Hi]]-Table13[[#This Row],[Lowest lo from open to squeeze]])/(Table13[[#This Row],[PM Hi]]-Table13[[#This Row],[Prior day close]])))),IF($J245&gt;=$F245,($J245-$K245)/($J245-Table13[[#This Row],[PM LO]]),(IF($H245&lt;=$K245,($F245-$H245)/($F245-Table13[[#This Row],[PM LO]]),(Table13[[#This Row],[PM Hi]]-Table13[[#This Row],[Lowest lo from open to squeeze]])/(Table13[[#This Row],[PM Hi]]-Table13[[#This Row],[PM LO]])))))</f>
        <v>#DIV/0!</v>
      </c>
      <c r="AP245" s="18"/>
      <c r="AQ245" s="17">
        <f>390+Table13[[#This Row],[Time until ideal entry point (mins) from open]]</f>
        <v>390</v>
      </c>
      <c r="AR245" s="17">
        <f>Table13[[#This Row],[Time until ideal entry + 390 (6:30)]]+Table13[[#This Row],[Duration of frontside (mins)]]</f>
        <v>390</v>
      </c>
    </row>
    <row r="246" spans="1:44" hidden="1" x14ac:dyDescent="0.25">
      <c r="A246" s="24" t="s">
        <v>45</v>
      </c>
      <c r="B246" s="47">
        <v>43844</v>
      </c>
      <c r="C246" s="47" t="s">
        <v>71</v>
      </c>
      <c r="D246" s="12"/>
      <c r="E246" s="13"/>
      <c r="F246" s="12"/>
      <c r="G246" s="12"/>
      <c r="H246" s="12"/>
      <c r="I246" s="12"/>
      <c r="J246" s="12"/>
      <c r="K246" s="12"/>
      <c r="N246" s="13"/>
      <c r="P246" s="37"/>
      <c r="Q246" s="46"/>
      <c r="R246" s="37"/>
      <c r="S246" s="37"/>
      <c r="T246" s="37"/>
      <c r="U246" s="37"/>
      <c r="V246" s="38"/>
      <c r="W246" s="46"/>
      <c r="X246" s="37"/>
      <c r="Y246" s="46"/>
      <c r="Z246" s="41">
        <f>Table13[[#This Row],[Time until ideal entry + 390 (6:30)]]/(1440)</f>
        <v>0.27083333333333331</v>
      </c>
      <c r="AA246" s="18"/>
      <c r="AB246" s="18" t="e">
        <f>IF(Table13[[#This Row],[HOD AFTER PM HI]]&gt;=Table13[[#This Row],[PM Hi]],((Table13[[#This Row],[HOD AFTER PM HI]]-Table13[[#This Row],[Prior day close]])/Table13[[#This Row],[Prior day close]]),Table13[[#This Row],[Prior Close to PM Hi %]])</f>
        <v>#DIV/0!</v>
      </c>
      <c r="AC246" s="42" t="e">
        <f>(Table13[[#This Row],[Price at hi of squeeze]]-Table13[[#This Row],[MKT Open Price]])/Table13[[#This Row],[MKT Open Price]]</f>
        <v>#DIV/0!</v>
      </c>
      <c r="AD246" s="18" t="e">
        <f>(Table13[[#This Row],[Price at hi of squeeze]]-Table13[[#This Row],[PM Hi]])/Table13[[#This Row],[PM Hi]]</f>
        <v>#DIV/0!</v>
      </c>
      <c r="AE246" s="18"/>
      <c r="AF246" s="20" t="e">
        <f>Table13[[#This Row],[PM VOL]]/1000000/Table13[[#This Row],[FLOAT(M)]]</f>
        <v>#DIV/0!</v>
      </c>
      <c r="AG246" s="23" t="e">
        <f>(Table13[[#This Row],[Volume]]/1000000)/Table13[[#This Row],[FLOAT(M)]]</f>
        <v>#DIV/0!</v>
      </c>
      <c r="AI246" s="18" t="e">
        <f>(Table13[[#This Row],[PM Hi]]-Table13[[#This Row],[MKT Open Price]])/(Table13[[#This Row],[PM Hi]])</f>
        <v>#DIV/0!</v>
      </c>
      <c r="AJ246" s="18" t="e">
        <f>IF(Table13[[#This Row],[PM LO]]&gt;Table13[[#This Row],[Prior day close]],(Table13[[#This Row],[PM Hi]]-Table13[[#This Row],[MKT Open Price]])/(Table13[[#This Row],[PM Hi]]-Table13[[#This Row],[Prior day close]]),(Table13[[#This Row],[PM Hi]]-Table13[[#This Row],[MKT Open Price]])/(Table13[[#This Row],[PM Hi]]-Table13[[#This Row],[PM LO]]))</f>
        <v>#DIV/0!</v>
      </c>
      <c r="AK246" s="48" t="e">
        <f>IF(Table13[[#This Row],[Prior day close]]&lt;Table13[[#This Row],[PM LO]],(I246-K246)/(I246-Table13[[#This Row],[Prior day close]]),(I246-K246)/(I246-Table13[[#This Row],[PM LO]]))</f>
        <v>#DIV/0!</v>
      </c>
      <c r="AL246" s="48">
        <f>Table13[[#This Row],[Spike % on open before drop]]+AM246</f>
        <v>0</v>
      </c>
      <c r="AM246" s="18"/>
      <c r="AN246" s="16"/>
      <c r="AO246" s="48" t="e">
        <f>IF(Table13[[#This Row],[Prior day close]]&lt;=Table13[[#This Row],[PM LO]],IF($J246&gt;=$F246,($J246-$K246)/($J246-Table13[[#This Row],[Prior day close]]),(IF($H246&lt;=$K246,($F246-$H246)/($F246-Table13[[#This Row],[Prior day close]]),(Table13[[#This Row],[PM Hi]]-Table13[[#This Row],[Lowest lo from open to squeeze]])/(Table13[[#This Row],[PM Hi]]-Table13[[#This Row],[Prior day close]])))),IF($J246&gt;=$F246,($J246-$K246)/($J246-Table13[[#This Row],[PM LO]]),(IF($H246&lt;=$K246,($F246-$H246)/($F246-Table13[[#This Row],[PM LO]]),(Table13[[#This Row],[PM Hi]]-Table13[[#This Row],[Lowest lo from open to squeeze]])/(Table13[[#This Row],[PM Hi]]-Table13[[#This Row],[PM LO]])))))</f>
        <v>#DIV/0!</v>
      </c>
      <c r="AP246" s="18"/>
      <c r="AQ246" s="17">
        <f>390+Table13[[#This Row],[Time until ideal entry point (mins) from open]]</f>
        <v>390</v>
      </c>
      <c r="AR246" s="17">
        <f>Table13[[#This Row],[Time until ideal entry + 390 (6:30)]]+Table13[[#This Row],[Duration of frontside (mins)]]</f>
        <v>390</v>
      </c>
    </row>
    <row r="247" spans="1:44" hidden="1" x14ac:dyDescent="0.25">
      <c r="A247" s="24" t="s">
        <v>64</v>
      </c>
      <c r="B247" s="45">
        <v>43844</v>
      </c>
      <c r="C247" s="47" t="s">
        <v>143</v>
      </c>
      <c r="D247" s="12"/>
      <c r="E247" s="13"/>
      <c r="F247" s="12"/>
      <c r="G247" s="12"/>
      <c r="H247" s="12"/>
      <c r="I247" s="12"/>
      <c r="J247" s="12"/>
      <c r="K247" s="12"/>
      <c r="N247" s="13"/>
      <c r="P247" s="37"/>
      <c r="Q247" s="46"/>
      <c r="R247" s="37"/>
      <c r="S247" s="37"/>
      <c r="T247" s="37"/>
      <c r="U247" s="37"/>
      <c r="V247" s="38"/>
      <c r="W247" s="46"/>
      <c r="X247" s="37"/>
      <c r="Y247" s="46"/>
      <c r="Z247" s="41">
        <f>Table13[[#This Row],[Time until ideal entry + 390 (6:30)]]/(1440)</f>
        <v>0.27083333333333331</v>
      </c>
      <c r="AA247" s="18"/>
      <c r="AB247" s="18" t="e">
        <f>IF(Table13[[#This Row],[HOD AFTER PM HI]]&gt;=Table13[[#This Row],[PM Hi]],((Table13[[#This Row],[HOD AFTER PM HI]]-Table13[[#This Row],[Prior day close]])/Table13[[#This Row],[Prior day close]]),Table13[[#This Row],[Prior Close to PM Hi %]])</f>
        <v>#DIV/0!</v>
      </c>
      <c r="AC247" s="42" t="e">
        <f>(Table13[[#This Row],[Price at hi of squeeze]]-Table13[[#This Row],[MKT Open Price]])/Table13[[#This Row],[MKT Open Price]]</f>
        <v>#DIV/0!</v>
      </c>
      <c r="AD247" s="18" t="e">
        <f>(Table13[[#This Row],[Price at hi of squeeze]]-Table13[[#This Row],[PM Hi]])/Table13[[#This Row],[PM Hi]]</f>
        <v>#DIV/0!</v>
      </c>
      <c r="AE247" s="18"/>
      <c r="AF247" s="20" t="e">
        <f>Table13[[#This Row],[PM VOL]]/1000000/Table13[[#This Row],[FLOAT(M)]]</f>
        <v>#DIV/0!</v>
      </c>
      <c r="AG247" s="23" t="e">
        <f>(Table13[[#This Row],[Volume]]/1000000)/Table13[[#This Row],[FLOAT(M)]]</f>
        <v>#DIV/0!</v>
      </c>
      <c r="AI247" s="18" t="e">
        <f>(Table13[[#This Row],[PM Hi]]-Table13[[#This Row],[MKT Open Price]])/(Table13[[#This Row],[PM Hi]])</f>
        <v>#DIV/0!</v>
      </c>
      <c r="AJ247" s="18" t="e">
        <f>IF(Table13[[#This Row],[PM LO]]&gt;Table13[[#This Row],[Prior day close]],(Table13[[#This Row],[PM Hi]]-Table13[[#This Row],[MKT Open Price]])/(Table13[[#This Row],[PM Hi]]-Table13[[#This Row],[Prior day close]]),(Table13[[#This Row],[PM Hi]]-Table13[[#This Row],[MKT Open Price]])/(Table13[[#This Row],[PM Hi]]-Table13[[#This Row],[PM LO]]))</f>
        <v>#DIV/0!</v>
      </c>
      <c r="AK247" s="48" t="e">
        <f>IF(Table13[[#This Row],[Prior day close]]&lt;Table13[[#This Row],[PM LO]],(I247-K247)/(I247-Table13[[#This Row],[Prior day close]]),(I247-K247)/(I247-Table13[[#This Row],[PM LO]]))</f>
        <v>#DIV/0!</v>
      </c>
      <c r="AL247" s="48">
        <f>Table13[[#This Row],[Spike % on open before drop]]+AM247</f>
        <v>0</v>
      </c>
      <c r="AM247" s="18"/>
      <c r="AN247" s="16"/>
      <c r="AO247" s="48" t="e">
        <f>IF(Table13[[#This Row],[Prior day close]]&lt;=Table13[[#This Row],[PM LO]],IF($J247&gt;=$F247,($J247-$K247)/($J247-Table13[[#This Row],[Prior day close]]),(IF($H247&lt;=$K247,($F247-$H247)/($F247-Table13[[#This Row],[Prior day close]]),(Table13[[#This Row],[PM Hi]]-Table13[[#This Row],[Lowest lo from open to squeeze]])/(Table13[[#This Row],[PM Hi]]-Table13[[#This Row],[Prior day close]])))),IF($J247&gt;=$F247,($J247-$K247)/($J247-Table13[[#This Row],[PM LO]]),(IF($H247&lt;=$K247,($F247-$H247)/($F247-Table13[[#This Row],[PM LO]]),(Table13[[#This Row],[PM Hi]]-Table13[[#This Row],[Lowest lo from open to squeeze]])/(Table13[[#This Row],[PM Hi]]-Table13[[#This Row],[PM LO]])))))</f>
        <v>#DIV/0!</v>
      </c>
      <c r="AP247" s="18"/>
      <c r="AQ247" s="17">
        <f>390+Table13[[#This Row],[Time until ideal entry point (mins) from open]]</f>
        <v>390</v>
      </c>
      <c r="AR247" s="17">
        <f>Table13[[#This Row],[Time until ideal entry + 390 (6:30)]]+Table13[[#This Row],[Duration of frontside (mins)]]</f>
        <v>390</v>
      </c>
    </row>
    <row r="248" spans="1:44" hidden="1" x14ac:dyDescent="0.25">
      <c r="A248" s="24" t="s">
        <v>249</v>
      </c>
      <c r="B248" s="47">
        <v>43844</v>
      </c>
      <c r="C248" s="47" t="s">
        <v>143</v>
      </c>
      <c r="D248" s="12"/>
      <c r="E248" s="13"/>
      <c r="F248" s="12"/>
      <c r="G248" s="12"/>
      <c r="H248" s="12"/>
      <c r="I248" s="12"/>
      <c r="J248" s="12"/>
      <c r="K248" s="12"/>
      <c r="N248" s="13"/>
      <c r="P248" s="37"/>
      <c r="Q248" s="46"/>
      <c r="R248" s="37"/>
      <c r="S248" s="37"/>
      <c r="T248" s="37"/>
      <c r="U248" s="37"/>
      <c r="V248" s="38"/>
      <c r="W248" s="46"/>
      <c r="X248" s="37"/>
      <c r="Y248" s="46"/>
      <c r="Z248" s="41">
        <f>Table13[[#This Row],[Time until ideal entry + 390 (6:30)]]/(1440)</f>
        <v>0.27083333333333331</v>
      </c>
      <c r="AA248" s="18"/>
      <c r="AB248" s="18" t="e">
        <f>IF(Table13[[#This Row],[HOD AFTER PM HI]]&gt;=Table13[[#This Row],[PM Hi]],((Table13[[#This Row],[HOD AFTER PM HI]]-Table13[[#This Row],[Prior day close]])/Table13[[#This Row],[Prior day close]]),Table13[[#This Row],[Prior Close to PM Hi %]])</f>
        <v>#DIV/0!</v>
      </c>
      <c r="AC248" s="42" t="e">
        <f>(Table13[[#This Row],[Price at hi of squeeze]]-Table13[[#This Row],[MKT Open Price]])/Table13[[#This Row],[MKT Open Price]]</f>
        <v>#DIV/0!</v>
      </c>
      <c r="AD248" s="18" t="e">
        <f>(Table13[[#This Row],[Price at hi of squeeze]]-Table13[[#This Row],[PM Hi]])/Table13[[#This Row],[PM Hi]]</f>
        <v>#DIV/0!</v>
      </c>
      <c r="AE248" s="18"/>
      <c r="AF248" s="20" t="e">
        <f>Table13[[#This Row],[PM VOL]]/1000000/Table13[[#This Row],[FLOAT(M)]]</f>
        <v>#DIV/0!</v>
      </c>
      <c r="AG248" s="23" t="e">
        <f>(Table13[[#This Row],[Volume]]/1000000)/Table13[[#This Row],[FLOAT(M)]]</f>
        <v>#DIV/0!</v>
      </c>
      <c r="AI248" s="18" t="e">
        <f>(Table13[[#This Row],[PM Hi]]-Table13[[#This Row],[MKT Open Price]])/(Table13[[#This Row],[PM Hi]])</f>
        <v>#DIV/0!</v>
      </c>
      <c r="AJ248" s="18" t="e">
        <f>IF(Table13[[#This Row],[PM LO]]&gt;Table13[[#This Row],[Prior day close]],(Table13[[#This Row],[PM Hi]]-Table13[[#This Row],[MKT Open Price]])/(Table13[[#This Row],[PM Hi]]-Table13[[#This Row],[Prior day close]]),(Table13[[#This Row],[PM Hi]]-Table13[[#This Row],[MKT Open Price]])/(Table13[[#This Row],[PM Hi]]-Table13[[#This Row],[PM LO]]))</f>
        <v>#DIV/0!</v>
      </c>
      <c r="AK248" s="48" t="e">
        <f>IF(Table13[[#This Row],[Prior day close]]&lt;Table13[[#This Row],[PM LO]],(I248-K248)/(I248-Table13[[#This Row],[Prior day close]]),(I248-K248)/(I248-Table13[[#This Row],[PM LO]]))</f>
        <v>#DIV/0!</v>
      </c>
      <c r="AL248" s="48">
        <f>Table13[[#This Row],[Spike % on open before drop]]+AM248</f>
        <v>0</v>
      </c>
      <c r="AM248" s="18"/>
      <c r="AN248" s="16"/>
      <c r="AO248" s="48" t="e">
        <f>IF(Table13[[#This Row],[Prior day close]]&lt;=Table13[[#This Row],[PM LO]],IF($J248&gt;=$F248,($J248-$K248)/($J248-Table13[[#This Row],[Prior day close]]),(IF($H248&lt;=$K248,($F248-$H248)/($F248-Table13[[#This Row],[Prior day close]]),(Table13[[#This Row],[PM Hi]]-Table13[[#This Row],[Lowest lo from open to squeeze]])/(Table13[[#This Row],[PM Hi]]-Table13[[#This Row],[Prior day close]])))),IF($J248&gt;=$F248,($J248-$K248)/($J248-Table13[[#This Row],[PM LO]]),(IF($H248&lt;=$K248,($F248-$H248)/($F248-Table13[[#This Row],[PM LO]]),(Table13[[#This Row],[PM Hi]]-Table13[[#This Row],[Lowest lo from open to squeeze]])/(Table13[[#This Row],[PM Hi]]-Table13[[#This Row],[PM LO]])))))</f>
        <v>#DIV/0!</v>
      </c>
      <c r="AP248" s="18"/>
      <c r="AQ248" s="17">
        <f>390+Table13[[#This Row],[Time until ideal entry point (mins) from open]]</f>
        <v>390</v>
      </c>
      <c r="AR248" s="17">
        <f>Table13[[#This Row],[Time until ideal entry + 390 (6:30)]]+Table13[[#This Row],[Duration of frontside (mins)]]</f>
        <v>390</v>
      </c>
    </row>
    <row r="249" spans="1:44" hidden="1" x14ac:dyDescent="0.25">
      <c r="A249" s="24" t="s">
        <v>250</v>
      </c>
      <c r="B249" s="47">
        <v>43845</v>
      </c>
      <c r="C249" s="47" t="s">
        <v>143</v>
      </c>
      <c r="D249" s="12"/>
      <c r="E249" s="13"/>
      <c r="F249" s="12"/>
      <c r="G249" s="12"/>
      <c r="H249" s="12"/>
      <c r="I249" s="12"/>
      <c r="J249" s="12"/>
      <c r="K249" s="12"/>
      <c r="N249" s="13"/>
      <c r="P249" s="37"/>
      <c r="Q249" s="46"/>
      <c r="R249" s="37"/>
      <c r="S249" s="37"/>
      <c r="T249" s="37"/>
      <c r="U249" s="37"/>
      <c r="V249" s="38"/>
      <c r="W249" s="46"/>
      <c r="X249" s="37"/>
      <c r="Y249" s="46"/>
      <c r="Z249" s="41">
        <f>Table13[[#This Row],[Time until ideal entry + 390 (6:30)]]/(1440)</f>
        <v>0.27083333333333331</v>
      </c>
      <c r="AA249" s="18"/>
      <c r="AB249" s="18" t="e">
        <f>IF(Table13[[#This Row],[HOD AFTER PM HI]]&gt;=Table13[[#This Row],[PM Hi]],((Table13[[#This Row],[HOD AFTER PM HI]]-Table13[[#This Row],[Prior day close]])/Table13[[#This Row],[Prior day close]]),Table13[[#This Row],[Prior Close to PM Hi %]])</f>
        <v>#DIV/0!</v>
      </c>
      <c r="AC249" s="42" t="e">
        <f>(Table13[[#This Row],[Price at hi of squeeze]]-Table13[[#This Row],[MKT Open Price]])/Table13[[#This Row],[MKT Open Price]]</f>
        <v>#DIV/0!</v>
      </c>
      <c r="AD249" s="18" t="e">
        <f>(Table13[[#This Row],[Price at hi of squeeze]]-Table13[[#This Row],[PM Hi]])/Table13[[#This Row],[PM Hi]]</f>
        <v>#DIV/0!</v>
      </c>
      <c r="AE249" s="18"/>
      <c r="AF249" s="20" t="e">
        <f>Table13[[#This Row],[PM VOL]]/1000000/Table13[[#This Row],[FLOAT(M)]]</f>
        <v>#DIV/0!</v>
      </c>
      <c r="AG249" s="23" t="e">
        <f>(Table13[[#This Row],[Volume]]/1000000)/Table13[[#This Row],[FLOAT(M)]]</f>
        <v>#DIV/0!</v>
      </c>
      <c r="AI249" s="18" t="e">
        <f>(Table13[[#This Row],[PM Hi]]-Table13[[#This Row],[MKT Open Price]])/(Table13[[#This Row],[PM Hi]])</f>
        <v>#DIV/0!</v>
      </c>
      <c r="AJ249" s="18" t="e">
        <f>IF(Table13[[#This Row],[PM LO]]&gt;Table13[[#This Row],[Prior day close]],(Table13[[#This Row],[PM Hi]]-Table13[[#This Row],[MKT Open Price]])/(Table13[[#This Row],[PM Hi]]-Table13[[#This Row],[Prior day close]]),(Table13[[#This Row],[PM Hi]]-Table13[[#This Row],[MKT Open Price]])/(Table13[[#This Row],[PM Hi]]-Table13[[#This Row],[PM LO]]))</f>
        <v>#DIV/0!</v>
      </c>
      <c r="AK249" s="48" t="e">
        <f>IF(Table13[[#This Row],[Prior day close]]&lt;Table13[[#This Row],[PM LO]],(I249-K249)/(I249-Table13[[#This Row],[Prior day close]]),(I249-K249)/(I249-Table13[[#This Row],[PM LO]]))</f>
        <v>#DIV/0!</v>
      </c>
      <c r="AL249" s="48">
        <f>Table13[[#This Row],[Spike % on open before drop]]+AM249</f>
        <v>0</v>
      </c>
      <c r="AM249" s="18"/>
      <c r="AN249" s="16"/>
      <c r="AO249" s="48" t="e">
        <f>IF(Table13[[#This Row],[Prior day close]]&lt;=Table13[[#This Row],[PM LO]],IF($J249&gt;=$F249,($J249-$K249)/($J249-Table13[[#This Row],[Prior day close]]),(IF($H249&lt;=$K249,($F249-$H249)/($F249-Table13[[#This Row],[Prior day close]]),(Table13[[#This Row],[PM Hi]]-Table13[[#This Row],[Lowest lo from open to squeeze]])/(Table13[[#This Row],[PM Hi]]-Table13[[#This Row],[Prior day close]])))),IF($J249&gt;=$F249,($J249-$K249)/($J249-Table13[[#This Row],[PM LO]]),(IF($H249&lt;=$K249,($F249-$H249)/($F249-Table13[[#This Row],[PM LO]]),(Table13[[#This Row],[PM Hi]]-Table13[[#This Row],[Lowest lo from open to squeeze]])/(Table13[[#This Row],[PM Hi]]-Table13[[#This Row],[PM LO]])))))</f>
        <v>#DIV/0!</v>
      </c>
      <c r="AP249" s="18"/>
      <c r="AQ249" s="17">
        <f>390+Table13[[#This Row],[Time until ideal entry point (mins) from open]]</f>
        <v>390</v>
      </c>
      <c r="AR249" s="17">
        <f>Table13[[#This Row],[Time until ideal entry + 390 (6:30)]]+Table13[[#This Row],[Duration of frontside (mins)]]</f>
        <v>390</v>
      </c>
    </row>
    <row r="250" spans="1:44" hidden="1" x14ac:dyDescent="0.25">
      <c r="A250" s="24" t="s">
        <v>251</v>
      </c>
      <c r="B250" s="47">
        <v>43849</v>
      </c>
      <c r="C250" s="47" t="s">
        <v>143</v>
      </c>
      <c r="D250" s="12"/>
      <c r="E250" s="13"/>
      <c r="F250" s="12"/>
      <c r="G250" s="12"/>
      <c r="H250" s="12"/>
      <c r="I250" s="12"/>
      <c r="J250" s="12"/>
      <c r="K250" s="12"/>
      <c r="N250" s="13"/>
      <c r="P250" s="37"/>
      <c r="Q250" s="46"/>
      <c r="R250" s="37"/>
      <c r="S250" s="37"/>
      <c r="T250" s="37"/>
      <c r="U250" s="37"/>
      <c r="V250" s="38"/>
      <c r="W250" s="46"/>
      <c r="X250" s="37"/>
      <c r="Y250" s="46"/>
      <c r="Z250" s="41">
        <f>Table13[[#This Row],[Time until ideal entry + 390 (6:30)]]/(1440)</f>
        <v>0.27083333333333331</v>
      </c>
      <c r="AA250" s="18"/>
      <c r="AB250" s="18" t="e">
        <f>IF(Table13[[#This Row],[HOD AFTER PM HI]]&gt;=Table13[[#This Row],[PM Hi]],((Table13[[#This Row],[HOD AFTER PM HI]]-Table13[[#This Row],[Prior day close]])/Table13[[#This Row],[Prior day close]]),Table13[[#This Row],[Prior Close to PM Hi %]])</f>
        <v>#DIV/0!</v>
      </c>
      <c r="AC250" s="42" t="e">
        <f>(Table13[[#This Row],[Price at hi of squeeze]]-Table13[[#This Row],[MKT Open Price]])/Table13[[#This Row],[MKT Open Price]]</f>
        <v>#DIV/0!</v>
      </c>
      <c r="AD250" s="18" t="e">
        <f>(Table13[[#This Row],[Price at hi of squeeze]]-Table13[[#This Row],[PM Hi]])/Table13[[#This Row],[PM Hi]]</f>
        <v>#DIV/0!</v>
      </c>
      <c r="AE250" s="18"/>
      <c r="AF250" s="20" t="e">
        <f>Table13[[#This Row],[PM VOL]]/1000000/Table13[[#This Row],[FLOAT(M)]]</f>
        <v>#DIV/0!</v>
      </c>
      <c r="AG250" s="23" t="e">
        <f>(Table13[[#This Row],[Volume]]/1000000)/Table13[[#This Row],[FLOAT(M)]]</f>
        <v>#DIV/0!</v>
      </c>
      <c r="AI250" s="18" t="e">
        <f>(Table13[[#This Row],[PM Hi]]-Table13[[#This Row],[MKT Open Price]])/(Table13[[#This Row],[PM Hi]])</f>
        <v>#DIV/0!</v>
      </c>
      <c r="AJ250" s="18" t="e">
        <f>IF(Table13[[#This Row],[PM LO]]&gt;Table13[[#This Row],[Prior day close]],(Table13[[#This Row],[PM Hi]]-Table13[[#This Row],[MKT Open Price]])/(Table13[[#This Row],[PM Hi]]-Table13[[#This Row],[Prior day close]]),(Table13[[#This Row],[PM Hi]]-Table13[[#This Row],[MKT Open Price]])/(Table13[[#This Row],[PM Hi]]-Table13[[#This Row],[PM LO]]))</f>
        <v>#DIV/0!</v>
      </c>
      <c r="AK250" s="48" t="e">
        <f>IF(Table13[[#This Row],[Prior day close]]&lt;Table13[[#This Row],[PM LO]],(I250-K250)/(I250-Table13[[#This Row],[Prior day close]]),(I250-K250)/(I250-Table13[[#This Row],[PM LO]]))</f>
        <v>#DIV/0!</v>
      </c>
      <c r="AL250" s="48">
        <f>Table13[[#This Row],[Spike % on open before drop]]+AM250</f>
        <v>0</v>
      </c>
      <c r="AM250" s="18"/>
      <c r="AN250" s="16"/>
      <c r="AO250" s="48" t="e">
        <f>IF(Table13[[#This Row],[Prior day close]]&lt;=Table13[[#This Row],[PM LO]],IF($J250&gt;=$F250,($J250-$K250)/($J250-Table13[[#This Row],[Prior day close]]),(IF($H250&lt;=$K250,($F250-$H250)/($F250-Table13[[#This Row],[Prior day close]]),(Table13[[#This Row],[PM Hi]]-Table13[[#This Row],[Lowest lo from open to squeeze]])/(Table13[[#This Row],[PM Hi]]-Table13[[#This Row],[Prior day close]])))),IF($J250&gt;=$F250,($J250-$K250)/($J250-Table13[[#This Row],[PM LO]]),(IF($H250&lt;=$K250,($F250-$H250)/($F250-Table13[[#This Row],[PM LO]]),(Table13[[#This Row],[PM Hi]]-Table13[[#This Row],[Lowest lo from open to squeeze]])/(Table13[[#This Row],[PM Hi]]-Table13[[#This Row],[PM LO]])))))</f>
        <v>#DIV/0!</v>
      </c>
      <c r="AP250" s="18"/>
      <c r="AQ250" s="17">
        <f>390+Table13[[#This Row],[Time until ideal entry point (mins) from open]]</f>
        <v>390</v>
      </c>
      <c r="AR250" s="17">
        <f>Table13[[#This Row],[Time until ideal entry + 390 (6:30)]]+Table13[[#This Row],[Duration of frontside (mins)]]</f>
        <v>390</v>
      </c>
    </row>
    <row r="251" spans="1:44" hidden="1" x14ac:dyDescent="0.25">
      <c r="A251" s="24" t="s">
        <v>75</v>
      </c>
      <c r="B251" s="47">
        <v>43849</v>
      </c>
      <c r="C251" s="47" t="s">
        <v>143</v>
      </c>
      <c r="D251" s="12"/>
      <c r="E251" s="13"/>
      <c r="F251" s="12"/>
      <c r="G251" s="12"/>
      <c r="H251" s="12"/>
      <c r="I251" s="12"/>
      <c r="J251" s="12"/>
      <c r="K251" s="12"/>
      <c r="N251" s="13"/>
      <c r="P251" s="37"/>
      <c r="Q251" s="46"/>
      <c r="R251" s="37"/>
      <c r="S251" s="37"/>
      <c r="T251" s="37"/>
      <c r="U251" s="37"/>
      <c r="V251" s="38"/>
      <c r="W251" s="46"/>
      <c r="X251" s="37"/>
      <c r="Y251" s="46"/>
      <c r="Z251" s="41">
        <f>Table13[[#This Row],[Time until ideal entry + 390 (6:30)]]/(1440)</f>
        <v>0.27083333333333331</v>
      </c>
      <c r="AA251" s="18"/>
      <c r="AB251" s="18" t="e">
        <f>IF(Table13[[#This Row],[HOD AFTER PM HI]]&gt;=Table13[[#This Row],[PM Hi]],((Table13[[#This Row],[HOD AFTER PM HI]]-Table13[[#This Row],[Prior day close]])/Table13[[#This Row],[Prior day close]]),Table13[[#This Row],[Prior Close to PM Hi %]])</f>
        <v>#DIV/0!</v>
      </c>
      <c r="AC251" s="42" t="e">
        <f>(Table13[[#This Row],[Price at hi of squeeze]]-Table13[[#This Row],[MKT Open Price]])/Table13[[#This Row],[MKT Open Price]]</f>
        <v>#DIV/0!</v>
      </c>
      <c r="AD251" s="18" t="e">
        <f>(Table13[[#This Row],[Price at hi of squeeze]]-Table13[[#This Row],[PM Hi]])/Table13[[#This Row],[PM Hi]]</f>
        <v>#DIV/0!</v>
      </c>
      <c r="AE251" s="18"/>
      <c r="AF251" s="20" t="e">
        <f>Table13[[#This Row],[PM VOL]]/1000000/Table13[[#This Row],[FLOAT(M)]]</f>
        <v>#DIV/0!</v>
      </c>
      <c r="AG251" s="23" t="e">
        <f>(Table13[[#This Row],[Volume]]/1000000)/Table13[[#This Row],[FLOAT(M)]]</f>
        <v>#DIV/0!</v>
      </c>
      <c r="AI251" s="18" t="e">
        <f>(Table13[[#This Row],[PM Hi]]-Table13[[#This Row],[MKT Open Price]])/(Table13[[#This Row],[PM Hi]])</f>
        <v>#DIV/0!</v>
      </c>
      <c r="AJ251" s="18" t="e">
        <f>IF(Table13[[#This Row],[PM LO]]&gt;Table13[[#This Row],[Prior day close]],(Table13[[#This Row],[PM Hi]]-Table13[[#This Row],[MKT Open Price]])/(Table13[[#This Row],[PM Hi]]-Table13[[#This Row],[Prior day close]]),(Table13[[#This Row],[PM Hi]]-Table13[[#This Row],[MKT Open Price]])/(Table13[[#This Row],[PM Hi]]-Table13[[#This Row],[PM LO]]))</f>
        <v>#DIV/0!</v>
      </c>
      <c r="AK251" s="48" t="e">
        <f>IF(Table13[[#This Row],[Prior day close]]&lt;Table13[[#This Row],[PM LO]],(I251-K251)/(I251-Table13[[#This Row],[Prior day close]]),(I251-K251)/(I251-Table13[[#This Row],[PM LO]]))</f>
        <v>#DIV/0!</v>
      </c>
      <c r="AL251" s="48">
        <f>Table13[[#This Row],[Spike % on open before drop]]+AM251</f>
        <v>0</v>
      </c>
      <c r="AM251" s="18"/>
      <c r="AN251" s="16"/>
      <c r="AO251" s="48" t="e">
        <f>IF(Table13[[#This Row],[Prior day close]]&lt;=Table13[[#This Row],[PM LO]],IF($J251&gt;=$F251,($J251-$K251)/($J251-Table13[[#This Row],[Prior day close]]),(IF($H251&lt;=$K251,($F251-$H251)/($F251-Table13[[#This Row],[Prior day close]]),(Table13[[#This Row],[PM Hi]]-Table13[[#This Row],[Lowest lo from open to squeeze]])/(Table13[[#This Row],[PM Hi]]-Table13[[#This Row],[Prior day close]])))),IF($J251&gt;=$F251,($J251-$K251)/($J251-Table13[[#This Row],[PM LO]]),(IF($H251&lt;=$K251,($F251-$H251)/($F251-Table13[[#This Row],[PM LO]]),(Table13[[#This Row],[PM Hi]]-Table13[[#This Row],[Lowest lo from open to squeeze]])/(Table13[[#This Row],[PM Hi]]-Table13[[#This Row],[PM LO]])))))</f>
        <v>#DIV/0!</v>
      </c>
      <c r="AP251" s="18"/>
      <c r="AQ251" s="17">
        <f>390+Table13[[#This Row],[Time until ideal entry point (mins) from open]]</f>
        <v>390</v>
      </c>
      <c r="AR251" s="17">
        <f>Table13[[#This Row],[Time until ideal entry + 390 (6:30)]]+Table13[[#This Row],[Duration of frontside (mins)]]</f>
        <v>390</v>
      </c>
    </row>
    <row r="252" spans="1:44" hidden="1" x14ac:dyDescent="0.25">
      <c r="A252" s="24" t="s">
        <v>252</v>
      </c>
      <c r="B252" s="47">
        <v>44221</v>
      </c>
      <c r="C252" s="47" t="s">
        <v>143</v>
      </c>
      <c r="D252" s="12"/>
      <c r="E252" s="13"/>
      <c r="F252" s="12"/>
      <c r="G252" s="12"/>
      <c r="H252" s="12"/>
      <c r="I252" s="12"/>
      <c r="J252" s="12"/>
      <c r="K252" s="12"/>
      <c r="N252" s="13"/>
      <c r="P252" s="37"/>
      <c r="Q252" s="46"/>
      <c r="R252" s="37"/>
      <c r="S252" s="37"/>
      <c r="T252" s="37"/>
      <c r="U252" s="37"/>
      <c r="V252" s="38"/>
      <c r="W252" s="46"/>
      <c r="X252" s="37"/>
      <c r="Y252" s="46"/>
      <c r="Z252" s="41">
        <f>Table13[[#This Row],[Time until ideal entry + 390 (6:30)]]/(1440)</f>
        <v>0.27083333333333331</v>
      </c>
      <c r="AA252" s="18"/>
      <c r="AB252" s="18" t="e">
        <f>IF(Table13[[#This Row],[HOD AFTER PM HI]]&gt;=Table13[[#This Row],[PM Hi]],((Table13[[#This Row],[HOD AFTER PM HI]]-Table13[[#This Row],[Prior day close]])/Table13[[#This Row],[Prior day close]]),Table13[[#This Row],[Prior Close to PM Hi %]])</f>
        <v>#DIV/0!</v>
      </c>
      <c r="AC252" s="42" t="e">
        <f>(Table13[[#This Row],[Price at hi of squeeze]]-Table13[[#This Row],[MKT Open Price]])/Table13[[#This Row],[MKT Open Price]]</f>
        <v>#DIV/0!</v>
      </c>
      <c r="AD252" s="18" t="e">
        <f>(Table13[[#This Row],[Price at hi of squeeze]]-Table13[[#This Row],[PM Hi]])/Table13[[#This Row],[PM Hi]]</f>
        <v>#DIV/0!</v>
      </c>
      <c r="AE252" s="18"/>
      <c r="AF252" s="20" t="e">
        <f>Table13[[#This Row],[PM VOL]]/1000000/Table13[[#This Row],[FLOAT(M)]]</f>
        <v>#DIV/0!</v>
      </c>
      <c r="AG252" s="23" t="e">
        <f>(Table13[[#This Row],[Volume]]/1000000)/Table13[[#This Row],[FLOAT(M)]]</f>
        <v>#DIV/0!</v>
      </c>
      <c r="AI252" s="18" t="e">
        <f>(Table13[[#This Row],[PM Hi]]-Table13[[#This Row],[MKT Open Price]])/(Table13[[#This Row],[PM Hi]])</f>
        <v>#DIV/0!</v>
      </c>
      <c r="AJ252" s="18" t="e">
        <f>IF(Table13[[#This Row],[PM LO]]&gt;Table13[[#This Row],[Prior day close]],(Table13[[#This Row],[PM Hi]]-Table13[[#This Row],[MKT Open Price]])/(Table13[[#This Row],[PM Hi]]-Table13[[#This Row],[Prior day close]]),(Table13[[#This Row],[PM Hi]]-Table13[[#This Row],[MKT Open Price]])/(Table13[[#This Row],[PM Hi]]-Table13[[#This Row],[PM LO]]))</f>
        <v>#DIV/0!</v>
      </c>
      <c r="AK252" s="48" t="e">
        <f>IF(Table13[[#This Row],[Prior day close]]&lt;Table13[[#This Row],[PM LO]],(I252-K252)/(I252-Table13[[#This Row],[Prior day close]]),(I252-K252)/(I252-Table13[[#This Row],[PM LO]]))</f>
        <v>#DIV/0!</v>
      </c>
      <c r="AL252" s="48">
        <f>Table13[[#This Row],[Spike % on open before drop]]+AM252</f>
        <v>0</v>
      </c>
      <c r="AM252" s="18"/>
      <c r="AN252" s="16"/>
      <c r="AO252" s="48" t="e">
        <f>IF(Table13[[#This Row],[Prior day close]]&lt;=Table13[[#This Row],[PM LO]],IF($J252&gt;=$F252,($J252-$K252)/($J252-Table13[[#This Row],[Prior day close]]),(IF($H252&lt;=$K252,($F252-$H252)/($F252-Table13[[#This Row],[Prior day close]]),(Table13[[#This Row],[PM Hi]]-Table13[[#This Row],[Lowest lo from open to squeeze]])/(Table13[[#This Row],[PM Hi]]-Table13[[#This Row],[Prior day close]])))),IF($J252&gt;=$F252,($J252-$K252)/($J252-Table13[[#This Row],[PM LO]]),(IF($H252&lt;=$K252,($F252-$H252)/($F252-Table13[[#This Row],[PM LO]]),(Table13[[#This Row],[PM Hi]]-Table13[[#This Row],[Lowest lo from open to squeeze]])/(Table13[[#This Row],[PM Hi]]-Table13[[#This Row],[PM LO]])))))</f>
        <v>#DIV/0!</v>
      </c>
      <c r="AP252" s="18"/>
      <c r="AQ252" s="17">
        <f>390+Table13[[#This Row],[Time until ideal entry point (mins) from open]]</f>
        <v>390</v>
      </c>
      <c r="AR252" s="17">
        <f>Table13[[#This Row],[Time until ideal entry + 390 (6:30)]]+Table13[[#This Row],[Duration of frontside (mins)]]</f>
        <v>390</v>
      </c>
    </row>
    <row r="253" spans="1:44" hidden="1" x14ac:dyDescent="0.25">
      <c r="A253" s="24" t="s">
        <v>233</v>
      </c>
      <c r="B253" s="47">
        <v>44221</v>
      </c>
      <c r="C253" s="47" t="s">
        <v>143</v>
      </c>
      <c r="D253" s="12"/>
      <c r="E253" s="13"/>
      <c r="F253" s="12"/>
      <c r="G253" s="12"/>
      <c r="H253" s="12"/>
      <c r="I253" s="12"/>
      <c r="J253" s="12"/>
      <c r="K253" s="12"/>
      <c r="N253" s="13"/>
      <c r="P253" s="37"/>
      <c r="Q253" s="46"/>
      <c r="R253" s="37"/>
      <c r="S253" s="37"/>
      <c r="T253" s="37"/>
      <c r="U253" s="37"/>
      <c r="V253" s="38"/>
      <c r="W253" s="46"/>
      <c r="X253" s="37"/>
      <c r="Y253" s="46"/>
      <c r="Z253" s="41">
        <f>Table13[[#This Row],[Time until ideal entry + 390 (6:30)]]/(1440)</f>
        <v>0.27083333333333331</v>
      </c>
      <c r="AA253" s="18"/>
      <c r="AB253" s="18" t="e">
        <f>IF(Table13[[#This Row],[HOD AFTER PM HI]]&gt;=Table13[[#This Row],[PM Hi]],((Table13[[#This Row],[HOD AFTER PM HI]]-Table13[[#This Row],[Prior day close]])/Table13[[#This Row],[Prior day close]]),Table13[[#This Row],[Prior Close to PM Hi %]])</f>
        <v>#DIV/0!</v>
      </c>
      <c r="AC253" s="42" t="e">
        <f>(Table13[[#This Row],[Price at hi of squeeze]]-Table13[[#This Row],[MKT Open Price]])/Table13[[#This Row],[MKT Open Price]]</f>
        <v>#DIV/0!</v>
      </c>
      <c r="AD253" s="18" t="e">
        <f>(Table13[[#This Row],[Price at hi of squeeze]]-Table13[[#This Row],[PM Hi]])/Table13[[#This Row],[PM Hi]]</f>
        <v>#DIV/0!</v>
      </c>
      <c r="AE253" s="18"/>
      <c r="AF253" s="20" t="e">
        <f>Table13[[#This Row],[PM VOL]]/1000000/Table13[[#This Row],[FLOAT(M)]]</f>
        <v>#DIV/0!</v>
      </c>
      <c r="AG253" s="23" t="e">
        <f>(Table13[[#This Row],[Volume]]/1000000)/Table13[[#This Row],[FLOAT(M)]]</f>
        <v>#DIV/0!</v>
      </c>
      <c r="AI253" s="18" t="e">
        <f>(Table13[[#This Row],[PM Hi]]-Table13[[#This Row],[MKT Open Price]])/(Table13[[#This Row],[PM Hi]])</f>
        <v>#DIV/0!</v>
      </c>
      <c r="AJ253" s="18" t="e">
        <f>IF(Table13[[#This Row],[PM LO]]&gt;Table13[[#This Row],[Prior day close]],(Table13[[#This Row],[PM Hi]]-Table13[[#This Row],[MKT Open Price]])/(Table13[[#This Row],[PM Hi]]-Table13[[#This Row],[Prior day close]]),(Table13[[#This Row],[PM Hi]]-Table13[[#This Row],[MKT Open Price]])/(Table13[[#This Row],[PM Hi]]-Table13[[#This Row],[PM LO]]))</f>
        <v>#DIV/0!</v>
      </c>
      <c r="AK253" s="48" t="e">
        <f>IF(Table13[[#This Row],[Prior day close]]&lt;Table13[[#This Row],[PM LO]],(I253-K253)/(I253-Table13[[#This Row],[Prior day close]]),(I253-K253)/(I253-Table13[[#This Row],[PM LO]]))</f>
        <v>#DIV/0!</v>
      </c>
      <c r="AL253" s="48">
        <f>Table13[[#This Row],[Spike % on open before drop]]+AM253</f>
        <v>0</v>
      </c>
      <c r="AM253" s="18"/>
      <c r="AN253" s="16"/>
      <c r="AO253" s="48" t="e">
        <f>IF(Table13[[#This Row],[Prior day close]]&lt;=Table13[[#This Row],[PM LO]],IF($J253&gt;=$F253,($J253-$K253)/($J253-Table13[[#This Row],[Prior day close]]),(IF($H253&lt;=$K253,($F253-$H253)/($F253-Table13[[#This Row],[Prior day close]]),(Table13[[#This Row],[PM Hi]]-Table13[[#This Row],[Lowest lo from open to squeeze]])/(Table13[[#This Row],[PM Hi]]-Table13[[#This Row],[Prior day close]])))),IF($J253&gt;=$F253,($J253-$K253)/($J253-Table13[[#This Row],[PM LO]]),(IF($H253&lt;=$K253,($F253-$H253)/($F253-Table13[[#This Row],[PM LO]]),(Table13[[#This Row],[PM Hi]]-Table13[[#This Row],[Lowest lo from open to squeeze]])/(Table13[[#This Row],[PM Hi]]-Table13[[#This Row],[PM LO]])))))</f>
        <v>#DIV/0!</v>
      </c>
      <c r="AP253" s="18"/>
      <c r="AQ253" s="17">
        <f>390+Table13[[#This Row],[Time until ideal entry point (mins) from open]]</f>
        <v>390</v>
      </c>
      <c r="AR253" s="17">
        <f>Table13[[#This Row],[Time until ideal entry + 390 (6:30)]]+Table13[[#This Row],[Duration of frontside (mins)]]</f>
        <v>390</v>
      </c>
    </row>
    <row r="254" spans="1:44" hidden="1" x14ac:dyDescent="0.25">
      <c r="A254" s="24" t="s">
        <v>253</v>
      </c>
      <c r="B254" s="47">
        <v>44222</v>
      </c>
      <c r="C254" s="47" t="s">
        <v>71</v>
      </c>
      <c r="D254" s="12"/>
      <c r="E254" s="13"/>
      <c r="F254" s="12"/>
      <c r="G254" s="12"/>
      <c r="H254" s="12"/>
      <c r="I254" s="12"/>
      <c r="J254" s="12"/>
      <c r="K254" s="12"/>
      <c r="N254" s="13"/>
      <c r="P254" s="37"/>
      <c r="Q254" s="46"/>
      <c r="R254" s="37"/>
      <c r="S254" s="37"/>
      <c r="T254" s="37"/>
      <c r="U254" s="37"/>
      <c r="V254" s="38"/>
      <c r="W254" s="46"/>
      <c r="X254" s="37"/>
      <c r="Y254" s="46"/>
      <c r="Z254" s="41">
        <f>Table13[[#This Row],[Time until ideal entry + 390 (6:30)]]/(1440)</f>
        <v>0.27083333333333331</v>
      </c>
      <c r="AA254" s="18"/>
      <c r="AB254" s="18" t="e">
        <f>IF(Table13[[#This Row],[HOD AFTER PM HI]]&gt;=Table13[[#This Row],[PM Hi]],((Table13[[#This Row],[HOD AFTER PM HI]]-Table13[[#This Row],[Prior day close]])/Table13[[#This Row],[Prior day close]]),Table13[[#This Row],[Prior Close to PM Hi %]])</f>
        <v>#DIV/0!</v>
      </c>
      <c r="AC254" s="42" t="e">
        <f>(Table13[[#This Row],[Price at hi of squeeze]]-Table13[[#This Row],[MKT Open Price]])/Table13[[#This Row],[MKT Open Price]]</f>
        <v>#DIV/0!</v>
      </c>
      <c r="AD254" s="18" t="e">
        <f>(Table13[[#This Row],[Price at hi of squeeze]]-Table13[[#This Row],[PM Hi]])/Table13[[#This Row],[PM Hi]]</f>
        <v>#DIV/0!</v>
      </c>
      <c r="AE254" s="18"/>
      <c r="AF254" s="20" t="e">
        <f>Table13[[#This Row],[PM VOL]]/1000000/Table13[[#This Row],[FLOAT(M)]]</f>
        <v>#DIV/0!</v>
      </c>
      <c r="AG254" s="23" t="e">
        <f>(Table13[[#This Row],[Volume]]/1000000)/Table13[[#This Row],[FLOAT(M)]]</f>
        <v>#DIV/0!</v>
      </c>
      <c r="AI254" s="18" t="e">
        <f>(Table13[[#This Row],[PM Hi]]-Table13[[#This Row],[MKT Open Price]])/(Table13[[#This Row],[PM Hi]])</f>
        <v>#DIV/0!</v>
      </c>
      <c r="AJ254" s="18" t="e">
        <f>IF(Table13[[#This Row],[PM LO]]&gt;Table13[[#This Row],[Prior day close]],(Table13[[#This Row],[PM Hi]]-Table13[[#This Row],[MKT Open Price]])/(Table13[[#This Row],[PM Hi]]-Table13[[#This Row],[Prior day close]]),(Table13[[#This Row],[PM Hi]]-Table13[[#This Row],[MKT Open Price]])/(Table13[[#This Row],[PM Hi]]-Table13[[#This Row],[PM LO]]))</f>
        <v>#DIV/0!</v>
      </c>
      <c r="AK254" s="48" t="e">
        <f>IF(Table13[[#This Row],[Prior day close]]&lt;Table13[[#This Row],[PM LO]],(I254-K254)/(I254-Table13[[#This Row],[Prior day close]]),(I254-K254)/(I254-Table13[[#This Row],[PM LO]]))</f>
        <v>#DIV/0!</v>
      </c>
      <c r="AL254" s="48">
        <f>Table13[[#This Row],[Spike % on open before drop]]+AM254</f>
        <v>0</v>
      </c>
      <c r="AM254" s="18"/>
      <c r="AN254" s="16"/>
      <c r="AO254" s="48" t="e">
        <f>IF(Table13[[#This Row],[Prior day close]]&lt;=Table13[[#This Row],[PM LO]],IF($J254&gt;=$F254,($J254-$K254)/($J254-Table13[[#This Row],[Prior day close]]),(IF($H254&lt;=$K254,($F254-$H254)/($F254-Table13[[#This Row],[Prior day close]]),(Table13[[#This Row],[PM Hi]]-Table13[[#This Row],[Lowest lo from open to squeeze]])/(Table13[[#This Row],[PM Hi]]-Table13[[#This Row],[Prior day close]])))),IF($J254&gt;=$F254,($J254-$K254)/($J254-Table13[[#This Row],[PM LO]]),(IF($H254&lt;=$K254,($F254-$H254)/($F254-Table13[[#This Row],[PM LO]]),(Table13[[#This Row],[PM Hi]]-Table13[[#This Row],[Lowest lo from open to squeeze]])/(Table13[[#This Row],[PM Hi]]-Table13[[#This Row],[PM LO]])))))</f>
        <v>#DIV/0!</v>
      </c>
      <c r="AP254" s="18"/>
      <c r="AQ254" s="17">
        <f>390+Table13[[#This Row],[Time until ideal entry point (mins) from open]]</f>
        <v>390</v>
      </c>
      <c r="AR254" s="17">
        <f>Table13[[#This Row],[Time until ideal entry + 390 (6:30)]]+Table13[[#This Row],[Duration of frontside (mins)]]</f>
        <v>390</v>
      </c>
    </row>
    <row r="255" spans="1:44" hidden="1" x14ac:dyDescent="0.25">
      <c r="A255" s="24" t="s">
        <v>254</v>
      </c>
      <c r="B255" s="47">
        <v>44223</v>
      </c>
      <c r="C255" s="47" t="s">
        <v>143</v>
      </c>
      <c r="D255" s="12"/>
      <c r="E255" s="13"/>
      <c r="F255" s="12"/>
      <c r="G255" s="12"/>
      <c r="H255" s="12"/>
      <c r="I255" s="12"/>
      <c r="J255" s="12"/>
      <c r="K255" s="12"/>
      <c r="N255" s="13"/>
      <c r="P255" s="37"/>
      <c r="Q255" s="46"/>
      <c r="R255" s="37"/>
      <c r="S255" s="37"/>
      <c r="T255" s="37"/>
      <c r="U255" s="37"/>
      <c r="V255" s="38"/>
      <c r="W255" s="46"/>
      <c r="X255" s="37"/>
      <c r="Y255" s="46"/>
      <c r="Z255" s="41">
        <f>Table13[[#This Row],[Time until ideal entry + 390 (6:30)]]/(1440)</f>
        <v>0.27083333333333331</v>
      </c>
      <c r="AA255" s="18"/>
      <c r="AB255" s="18" t="e">
        <f>IF(Table13[[#This Row],[HOD AFTER PM HI]]&gt;=Table13[[#This Row],[PM Hi]],((Table13[[#This Row],[HOD AFTER PM HI]]-Table13[[#This Row],[Prior day close]])/Table13[[#This Row],[Prior day close]]),Table13[[#This Row],[Prior Close to PM Hi %]])</f>
        <v>#DIV/0!</v>
      </c>
      <c r="AC255" s="42" t="e">
        <f>(Table13[[#This Row],[Price at hi of squeeze]]-Table13[[#This Row],[MKT Open Price]])/Table13[[#This Row],[MKT Open Price]]</f>
        <v>#DIV/0!</v>
      </c>
      <c r="AD255" s="18" t="e">
        <f>(Table13[[#This Row],[Price at hi of squeeze]]-Table13[[#This Row],[PM Hi]])/Table13[[#This Row],[PM Hi]]</f>
        <v>#DIV/0!</v>
      </c>
      <c r="AE255" s="18"/>
      <c r="AF255" s="20" t="e">
        <f>Table13[[#This Row],[PM VOL]]/1000000/Table13[[#This Row],[FLOAT(M)]]</f>
        <v>#DIV/0!</v>
      </c>
      <c r="AG255" s="23" t="e">
        <f>(Table13[[#This Row],[Volume]]/1000000)/Table13[[#This Row],[FLOAT(M)]]</f>
        <v>#DIV/0!</v>
      </c>
      <c r="AI255" s="18" t="e">
        <f>(Table13[[#This Row],[PM Hi]]-Table13[[#This Row],[MKT Open Price]])/(Table13[[#This Row],[PM Hi]])</f>
        <v>#DIV/0!</v>
      </c>
      <c r="AJ255" s="18" t="e">
        <f>IF(Table13[[#This Row],[PM LO]]&gt;Table13[[#This Row],[Prior day close]],(Table13[[#This Row],[PM Hi]]-Table13[[#This Row],[MKT Open Price]])/(Table13[[#This Row],[PM Hi]]-Table13[[#This Row],[Prior day close]]),(Table13[[#This Row],[PM Hi]]-Table13[[#This Row],[MKT Open Price]])/(Table13[[#This Row],[PM Hi]]-Table13[[#This Row],[PM LO]]))</f>
        <v>#DIV/0!</v>
      </c>
      <c r="AK255" s="48" t="e">
        <f>IF(Table13[[#This Row],[Prior day close]]&lt;Table13[[#This Row],[PM LO]],(I255-K255)/(I255-Table13[[#This Row],[Prior day close]]),(I255-K255)/(I255-Table13[[#This Row],[PM LO]]))</f>
        <v>#DIV/0!</v>
      </c>
      <c r="AL255" s="48">
        <f>Table13[[#This Row],[Spike % on open before drop]]+AM255</f>
        <v>0</v>
      </c>
      <c r="AM255" s="18"/>
      <c r="AN255" s="16"/>
      <c r="AO255" s="48" t="e">
        <f>IF(Table13[[#This Row],[Prior day close]]&lt;=Table13[[#This Row],[PM LO]],IF($J255&gt;=$F255,($J255-$K255)/($J255-Table13[[#This Row],[Prior day close]]),(IF($H255&lt;=$K255,($F255-$H255)/($F255-Table13[[#This Row],[Prior day close]]),(Table13[[#This Row],[PM Hi]]-Table13[[#This Row],[Lowest lo from open to squeeze]])/(Table13[[#This Row],[PM Hi]]-Table13[[#This Row],[Prior day close]])))),IF($J255&gt;=$F255,($J255-$K255)/($J255-Table13[[#This Row],[PM LO]]),(IF($H255&lt;=$K255,($F255-$H255)/($F255-Table13[[#This Row],[PM LO]]),(Table13[[#This Row],[PM Hi]]-Table13[[#This Row],[Lowest lo from open to squeeze]])/(Table13[[#This Row],[PM Hi]]-Table13[[#This Row],[PM LO]])))))</f>
        <v>#DIV/0!</v>
      </c>
      <c r="AP255" s="18"/>
      <c r="AQ255" s="17">
        <f>390+Table13[[#This Row],[Time until ideal entry point (mins) from open]]</f>
        <v>390</v>
      </c>
      <c r="AR255" s="17">
        <f>Table13[[#This Row],[Time until ideal entry + 390 (6:30)]]+Table13[[#This Row],[Duration of frontside (mins)]]</f>
        <v>390</v>
      </c>
    </row>
    <row r="256" spans="1:44" hidden="1" x14ac:dyDescent="0.25">
      <c r="A256" s="24" t="s">
        <v>242</v>
      </c>
      <c r="B256" s="47">
        <v>44224</v>
      </c>
      <c r="C256" s="47" t="s">
        <v>143</v>
      </c>
      <c r="D256" s="12"/>
      <c r="E256" s="13"/>
      <c r="F256" s="12"/>
      <c r="G256" s="12"/>
      <c r="H256" s="12"/>
      <c r="I256" s="12"/>
      <c r="J256" s="12"/>
      <c r="K256" s="12"/>
      <c r="N256" s="13"/>
      <c r="P256" s="37"/>
      <c r="Q256" s="46"/>
      <c r="R256" s="37"/>
      <c r="S256" s="37"/>
      <c r="T256" s="37"/>
      <c r="U256" s="37"/>
      <c r="V256" s="38"/>
      <c r="W256" s="46"/>
      <c r="X256" s="37"/>
      <c r="Y256" s="46"/>
      <c r="Z256" s="41">
        <f>Table13[[#This Row],[Time until ideal entry + 390 (6:30)]]/(1440)</f>
        <v>0.27083333333333331</v>
      </c>
      <c r="AA256" s="18"/>
      <c r="AB256" s="18" t="e">
        <f>IF(Table13[[#This Row],[HOD AFTER PM HI]]&gt;=Table13[[#This Row],[PM Hi]],((Table13[[#This Row],[HOD AFTER PM HI]]-Table13[[#This Row],[Prior day close]])/Table13[[#This Row],[Prior day close]]),Table13[[#This Row],[Prior Close to PM Hi %]])</f>
        <v>#DIV/0!</v>
      </c>
      <c r="AC256" s="42" t="e">
        <f>(Table13[[#This Row],[Price at hi of squeeze]]-Table13[[#This Row],[MKT Open Price]])/Table13[[#This Row],[MKT Open Price]]</f>
        <v>#DIV/0!</v>
      </c>
      <c r="AD256" s="18" t="e">
        <f>(Table13[[#This Row],[Price at hi of squeeze]]-Table13[[#This Row],[PM Hi]])/Table13[[#This Row],[PM Hi]]</f>
        <v>#DIV/0!</v>
      </c>
      <c r="AE256" s="18"/>
      <c r="AF256" s="20" t="e">
        <f>Table13[[#This Row],[PM VOL]]/1000000/Table13[[#This Row],[FLOAT(M)]]</f>
        <v>#DIV/0!</v>
      </c>
      <c r="AG256" s="23" t="e">
        <f>(Table13[[#This Row],[Volume]]/1000000)/Table13[[#This Row],[FLOAT(M)]]</f>
        <v>#DIV/0!</v>
      </c>
      <c r="AI256" s="18" t="e">
        <f>(Table13[[#This Row],[PM Hi]]-Table13[[#This Row],[MKT Open Price]])/(Table13[[#This Row],[PM Hi]])</f>
        <v>#DIV/0!</v>
      </c>
      <c r="AJ256" s="18" t="e">
        <f>IF(Table13[[#This Row],[PM LO]]&gt;Table13[[#This Row],[Prior day close]],(Table13[[#This Row],[PM Hi]]-Table13[[#This Row],[MKT Open Price]])/(Table13[[#This Row],[PM Hi]]-Table13[[#This Row],[Prior day close]]),(Table13[[#This Row],[PM Hi]]-Table13[[#This Row],[MKT Open Price]])/(Table13[[#This Row],[PM Hi]]-Table13[[#This Row],[PM LO]]))</f>
        <v>#DIV/0!</v>
      </c>
      <c r="AK256" s="48" t="e">
        <f>IF(Table13[[#This Row],[Prior day close]]&lt;Table13[[#This Row],[PM LO]],(I256-K256)/(I256-Table13[[#This Row],[Prior day close]]),(I256-K256)/(I256-Table13[[#This Row],[PM LO]]))</f>
        <v>#DIV/0!</v>
      </c>
      <c r="AL256" s="48">
        <f>Table13[[#This Row],[Spike % on open before drop]]+AM256</f>
        <v>0</v>
      </c>
      <c r="AM256" s="18"/>
      <c r="AN256" s="16"/>
      <c r="AO256" s="48" t="e">
        <f>IF(Table13[[#This Row],[Prior day close]]&lt;=Table13[[#This Row],[PM LO]],IF($J256&gt;=$F256,($J256-$K256)/($J256-Table13[[#This Row],[Prior day close]]),(IF($H256&lt;=$K256,($F256-$H256)/($F256-Table13[[#This Row],[Prior day close]]),(Table13[[#This Row],[PM Hi]]-Table13[[#This Row],[Lowest lo from open to squeeze]])/(Table13[[#This Row],[PM Hi]]-Table13[[#This Row],[Prior day close]])))),IF($J256&gt;=$F256,($J256-$K256)/($J256-Table13[[#This Row],[PM LO]]),(IF($H256&lt;=$K256,($F256-$H256)/($F256-Table13[[#This Row],[PM LO]]),(Table13[[#This Row],[PM Hi]]-Table13[[#This Row],[Lowest lo from open to squeeze]])/(Table13[[#This Row],[PM Hi]]-Table13[[#This Row],[PM LO]])))))</f>
        <v>#DIV/0!</v>
      </c>
      <c r="AP256" s="18"/>
      <c r="AQ256" s="17">
        <f>390+Table13[[#This Row],[Time until ideal entry point (mins) from open]]</f>
        <v>390</v>
      </c>
      <c r="AR256" s="17">
        <f>Table13[[#This Row],[Time until ideal entry + 390 (6:30)]]+Table13[[#This Row],[Duration of frontside (mins)]]</f>
        <v>390</v>
      </c>
    </row>
    <row r="257" spans="1:44" hidden="1" x14ac:dyDescent="0.25">
      <c r="A257" s="24" t="s">
        <v>85</v>
      </c>
      <c r="B257" s="47">
        <v>44225</v>
      </c>
      <c r="C257" s="47" t="s">
        <v>143</v>
      </c>
      <c r="D257" s="12"/>
      <c r="E257" s="13"/>
      <c r="F257" s="12"/>
      <c r="G257" s="12"/>
      <c r="H257" s="12"/>
      <c r="I257" s="12"/>
      <c r="J257" s="12"/>
      <c r="K257" s="12"/>
      <c r="N257" s="13"/>
      <c r="P257" s="37"/>
      <c r="Q257" s="46"/>
      <c r="R257" s="37"/>
      <c r="S257" s="37"/>
      <c r="T257" s="37"/>
      <c r="U257" s="37"/>
      <c r="V257" s="38"/>
      <c r="W257" s="46"/>
      <c r="X257" s="37"/>
      <c r="Y257" s="46"/>
      <c r="Z257" s="41">
        <f>Table13[[#This Row],[Time until ideal entry + 390 (6:30)]]/(1440)</f>
        <v>0.27083333333333331</v>
      </c>
      <c r="AA257" s="18"/>
      <c r="AB257" s="18" t="e">
        <f>IF(Table13[[#This Row],[HOD AFTER PM HI]]&gt;=Table13[[#This Row],[PM Hi]],((Table13[[#This Row],[HOD AFTER PM HI]]-Table13[[#This Row],[Prior day close]])/Table13[[#This Row],[Prior day close]]),Table13[[#This Row],[Prior Close to PM Hi %]])</f>
        <v>#DIV/0!</v>
      </c>
      <c r="AC257" s="42" t="e">
        <f>(Table13[[#This Row],[Price at hi of squeeze]]-Table13[[#This Row],[MKT Open Price]])/Table13[[#This Row],[MKT Open Price]]</f>
        <v>#DIV/0!</v>
      </c>
      <c r="AD257" s="18" t="e">
        <f>(Table13[[#This Row],[Price at hi of squeeze]]-Table13[[#This Row],[PM Hi]])/Table13[[#This Row],[PM Hi]]</f>
        <v>#DIV/0!</v>
      </c>
      <c r="AE257" s="18"/>
      <c r="AF257" s="20" t="e">
        <f>Table13[[#This Row],[PM VOL]]/1000000/Table13[[#This Row],[FLOAT(M)]]</f>
        <v>#DIV/0!</v>
      </c>
      <c r="AG257" s="23" t="e">
        <f>(Table13[[#This Row],[Volume]]/1000000)/Table13[[#This Row],[FLOAT(M)]]</f>
        <v>#DIV/0!</v>
      </c>
      <c r="AI257" s="18" t="e">
        <f>(Table13[[#This Row],[PM Hi]]-Table13[[#This Row],[MKT Open Price]])/(Table13[[#This Row],[PM Hi]])</f>
        <v>#DIV/0!</v>
      </c>
      <c r="AJ257" s="18" t="e">
        <f>IF(Table13[[#This Row],[PM LO]]&gt;Table13[[#This Row],[Prior day close]],(Table13[[#This Row],[PM Hi]]-Table13[[#This Row],[MKT Open Price]])/(Table13[[#This Row],[PM Hi]]-Table13[[#This Row],[Prior day close]]),(Table13[[#This Row],[PM Hi]]-Table13[[#This Row],[MKT Open Price]])/(Table13[[#This Row],[PM Hi]]-Table13[[#This Row],[PM LO]]))</f>
        <v>#DIV/0!</v>
      </c>
      <c r="AK257" s="48" t="e">
        <f>IF(Table13[[#This Row],[Prior day close]]&lt;Table13[[#This Row],[PM LO]],(I257-K257)/(I257-Table13[[#This Row],[Prior day close]]),(I257-K257)/(I257-Table13[[#This Row],[PM LO]]))</f>
        <v>#DIV/0!</v>
      </c>
      <c r="AL257" s="48">
        <f>Table13[[#This Row],[Spike % on open before drop]]+AM257</f>
        <v>0</v>
      </c>
      <c r="AM257" s="18"/>
      <c r="AN257" s="16"/>
      <c r="AO257" s="48" t="e">
        <f>IF(Table13[[#This Row],[Prior day close]]&lt;=Table13[[#This Row],[PM LO]],IF($J257&gt;=$F257,($J257-$K257)/($J257-Table13[[#This Row],[Prior day close]]),(IF($H257&lt;=$K257,($F257-$H257)/($F257-Table13[[#This Row],[Prior day close]]),(Table13[[#This Row],[PM Hi]]-Table13[[#This Row],[Lowest lo from open to squeeze]])/(Table13[[#This Row],[PM Hi]]-Table13[[#This Row],[Prior day close]])))),IF($J257&gt;=$F257,($J257-$K257)/($J257-Table13[[#This Row],[PM LO]]),(IF($H257&lt;=$K257,($F257-$H257)/($F257-Table13[[#This Row],[PM LO]]),(Table13[[#This Row],[PM Hi]]-Table13[[#This Row],[Lowest lo from open to squeeze]])/(Table13[[#This Row],[PM Hi]]-Table13[[#This Row],[PM LO]])))))</f>
        <v>#DIV/0!</v>
      </c>
      <c r="AP257" s="18"/>
      <c r="AQ257" s="17">
        <f>390+Table13[[#This Row],[Time until ideal entry point (mins) from open]]</f>
        <v>390</v>
      </c>
      <c r="AR257" s="17">
        <f>Table13[[#This Row],[Time until ideal entry + 390 (6:30)]]+Table13[[#This Row],[Duration of frontside (mins)]]</f>
        <v>390</v>
      </c>
    </row>
    <row r="258" spans="1:44" hidden="1" x14ac:dyDescent="0.25">
      <c r="A258" s="24" t="s">
        <v>255</v>
      </c>
      <c r="B258" s="47">
        <v>44225</v>
      </c>
      <c r="C258" s="47" t="s">
        <v>71</v>
      </c>
      <c r="D258" s="12"/>
      <c r="E258" s="13"/>
      <c r="F258" s="12"/>
      <c r="G258" s="12"/>
      <c r="H258" s="12"/>
      <c r="I258" s="12"/>
      <c r="J258" s="12"/>
      <c r="K258" s="12"/>
      <c r="N258" s="13"/>
      <c r="P258" s="37"/>
      <c r="Q258" s="46"/>
      <c r="R258" s="37"/>
      <c r="S258" s="37"/>
      <c r="T258" s="37"/>
      <c r="U258" s="37"/>
      <c r="V258" s="38"/>
      <c r="W258" s="46"/>
      <c r="X258" s="37"/>
      <c r="Y258" s="46"/>
      <c r="Z258" s="41">
        <f>Table13[[#This Row],[Time until ideal entry + 390 (6:30)]]/(1440)</f>
        <v>0.27083333333333331</v>
      </c>
      <c r="AA258" s="18"/>
      <c r="AB258" s="18" t="e">
        <f>IF(Table13[[#This Row],[HOD AFTER PM HI]]&gt;=Table13[[#This Row],[PM Hi]],((Table13[[#This Row],[HOD AFTER PM HI]]-Table13[[#This Row],[Prior day close]])/Table13[[#This Row],[Prior day close]]),Table13[[#This Row],[Prior Close to PM Hi %]])</f>
        <v>#DIV/0!</v>
      </c>
      <c r="AC258" s="42" t="e">
        <f>(Table13[[#This Row],[Price at hi of squeeze]]-Table13[[#This Row],[MKT Open Price]])/Table13[[#This Row],[MKT Open Price]]</f>
        <v>#DIV/0!</v>
      </c>
      <c r="AD258" s="18" t="e">
        <f>(Table13[[#This Row],[Price at hi of squeeze]]-Table13[[#This Row],[PM Hi]])/Table13[[#This Row],[PM Hi]]</f>
        <v>#DIV/0!</v>
      </c>
      <c r="AE258" s="18"/>
      <c r="AF258" s="20" t="e">
        <f>Table13[[#This Row],[PM VOL]]/1000000/Table13[[#This Row],[FLOAT(M)]]</f>
        <v>#DIV/0!</v>
      </c>
      <c r="AG258" s="23" t="e">
        <f>(Table13[[#This Row],[Volume]]/1000000)/Table13[[#This Row],[FLOAT(M)]]</f>
        <v>#DIV/0!</v>
      </c>
      <c r="AI258" s="18" t="e">
        <f>(Table13[[#This Row],[PM Hi]]-Table13[[#This Row],[MKT Open Price]])/(Table13[[#This Row],[PM Hi]])</f>
        <v>#DIV/0!</v>
      </c>
      <c r="AJ258" s="18" t="e">
        <f>IF(Table13[[#This Row],[PM LO]]&gt;Table13[[#This Row],[Prior day close]],(Table13[[#This Row],[PM Hi]]-Table13[[#This Row],[MKT Open Price]])/(Table13[[#This Row],[PM Hi]]-Table13[[#This Row],[Prior day close]]),(Table13[[#This Row],[PM Hi]]-Table13[[#This Row],[MKT Open Price]])/(Table13[[#This Row],[PM Hi]]-Table13[[#This Row],[PM LO]]))</f>
        <v>#DIV/0!</v>
      </c>
      <c r="AK258" s="48" t="e">
        <f>IF(Table13[[#This Row],[Prior day close]]&lt;Table13[[#This Row],[PM LO]],(I258-K258)/(I258-Table13[[#This Row],[Prior day close]]),(I258-K258)/(I258-Table13[[#This Row],[PM LO]]))</f>
        <v>#DIV/0!</v>
      </c>
      <c r="AL258" s="48">
        <f>Table13[[#This Row],[Spike % on open before drop]]+AM258</f>
        <v>0</v>
      </c>
      <c r="AM258" s="18"/>
      <c r="AN258" s="16"/>
      <c r="AO258" s="48" t="e">
        <f>IF(Table13[[#This Row],[Prior day close]]&lt;=Table13[[#This Row],[PM LO]],IF($J258&gt;=$F258,($J258-$K258)/($J258-Table13[[#This Row],[Prior day close]]),(IF($H258&lt;=$K258,($F258-$H258)/($F258-Table13[[#This Row],[Prior day close]]),(Table13[[#This Row],[PM Hi]]-Table13[[#This Row],[Lowest lo from open to squeeze]])/(Table13[[#This Row],[PM Hi]]-Table13[[#This Row],[Prior day close]])))),IF($J258&gt;=$F258,($J258-$K258)/($J258-Table13[[#This Row],[PM LO]]),(IF($H258&lt;=$K258,($F258-$H258)/($F258-Table13[[#This Row],[PM LO]]),(Table13[[#This Row],[PM Hi]]-Table13[[#This Row],[Lowest lo from open to squeeze]])/(Table13[[#This Row],[PM Hi]]-Table13[[#This Row],[PM LO]])))))</f>
        <v>#DIV/0!</v>
      </c>
      <c r="AP258" s="18"/>
      <c r="AQ258" s="17">
        <f>390+Table13[[#This Row],[Time until ideal entry point (mins) from open]]</f>
        <v>390</v>
      </c>
      <c r="AR258" s="17">
        <f>Table13[[#This Row],[Time until ideal entry + 390 (6:30)]]+Table13[[#This Row],[Duration of frontside (mins)]]</f>
        <v>390</v>
      </c>
    </row>
    <row r="259" spans="1:44" hidden="1" x14ac:dyDescent="0.25">
      <c r="A259" s="49"/>
      <c r="B259" s="47"/>
      <c r="C259" s="47"/>
      <c r="D259" s="12"/>
      <c r="E259" s="13"/>
      <c r="F259" s="12"/>
      <c r="G259" s="12"/>
      <c r="H259" s="12"/>
      <c r="I259" s="12"/>
      <c r="J259" s="12"/>
      <c r="K259" s="12"/>
      <c r="N259" s="13"/>
      <c r="P259" s="37"/>
      <c r="Q259" s="46"/>
      <c r="R259" s="37"/>
      <c r="S259" s="37"/>
      <c r="T259" s="37"/>
      <c r="U259" s="37"/>
      <c r="V259" s="38"/>
      <c r="W259" s="46"/>
      <c r="X259" s="37"/>
      <c r="Y259" s="46"/>
      <c r="Z259" s="41">
        <f>Table13[[#This Row],[Time until ideal entry + 390 (6:30)]]/(1440)</f>
        <v>0.27083333333333331</v>
      </c>
      <c r="AA259" s="18"/>
      <c r="AB259" s="18" t="e">
        <f>IF(Table13[[#This Row],[HOD AFTER PM HI]]&gt;=Table13[[#This Row],[PM Hi]],((Table13[[#This Row],[HOD AFTER PM HI]]-Table13[[#This Row],[Prior day close]])/Table13[[#This Row],[Prior day close]]),Table13[[#This Row],[Prior Close to PM Hi %]])</f>
        <v>#DIV/0!</v>
      </c>
      <c r="AC259" s="42" t="e">
        <f>(Table13[[#This Row],[Price at hi of squeeze]]-Table13[[#This Row],[MKT Open Price]])/Table13[[#This Row],[MKT Open Price]]</f>
        <v>#DIV/0!</v>
      </c>
      <c r="AD259" s="18" t="e">
        <f>(Table13[[#This Row],[Price at hi of squeeze]]-Table13[[#This Row],[PM Hi]])/Table13[[#This Row],[PM Hi]]</f>
        <v>#DIV/0!</v>
      </c>
      <c r="AE259" s="18"/>
      <c r="AF259" s="20" t="e">
        <f>Table13[[#This Row],[PM VOL]]/1000000/Table13[[#This Row],[FLOAT(M)]]</f>
        <v>#DIV/0!</v>
      </c>
      <c r="AG259" s="23" t="e">
        <f>(Table13[[#This Row],[Volume]]/1000000)/Table13[[#This Row],[FLOAT(M)]]</f>
        <v>#DIV/0!</v>
      </c>
      <c r="AI259" s="18" t="e">
        <f>(Table13[[#This Row],[PM Hi]]-Table13[[#This Row],[MKT Open Price]])/(Table13[[#This Row],[PM Hi]])</f>
        <v>#DIV/0!</v>
      </c>
      <c r="AJ259" s="18" t="e">
        <f>IF(Table13[[#This Row],[PM LO]]&gt;Table13[[#This Row],[Prior day close]],(Table13[[#This Row],[PM Hi]]-Table13[[#This Row],[MKT Open Price]])/(Table13[[#This Row],[PM Hi]]-Table13[[#This Row],[Prior day close]]),(Table13[[#This Row],[PM Hi]]-Table13[[#This Row],[MKT Open Price]])/(Table13[[#This Row],[PM Hi]]-Table13[[#This Row],[PM LO]]))</f>
        <v>#DIV/0!</v>
      </c>
      <c r="AK259" s="48" t="e">
        <f>IF(Table13[[#This Row],[Prior day close]]&lt;Table13[[#This Row],[PM LO]],(I259-K259)/(I259-Table13[[#This Row],[Prior day close]]),(I259-K259)/(I259-Table13[[#This Row],[PM LO]]))</f>
        <v>#DIV/0!</v>
      </c>
      <c r="AL259" s="48">
        <f>Table13[[#This Row],[Spike % on open before drop]]+AM259</f>
        <v>0</v>
      </c>
      <c r="AM259" s="18"/>
      <c r="AN259" s="16"/>
      <c r="AO259" s="48" t="e">
        <f>IF(Table13[[#This Row],[Prior day close]]&lt;=Table13[[#This Row],[PM LO]],IF($J259&gt;=$F259,($J259-$K259)/($J259-Table13[[#This Row],[Prior day close]]),(IF($H259&lt;=$K259,($F259-$H259)/($F259-Table13[[#This Row],[Prior day close]]),(Table13[[#This Row],[PM Hi]]-Table13[[#This Row],[Lowest lo from open to squeeze]])/(Table13[[#This Row],[PM Hi]]-Table13[[#This Row],[Prior day close]])))),IF($J259&gt;=$F259,($J259-$K259)/($J259-Table13[[#This Row],[PM LO]]),(IF($H259&lt;=$K259,($F259-$H259)/($F259-Table13[[#This Row],[PM LO]]),(Table13[[#This Row],[PM Hi]]-Table13[[#This Row],[Lowest lo from open to squeeze]])/(Table13[[#This Row],[PM Hi]]-Table13[[#This Row],[PM LO]])))))</f>
        <v>#DIV/0!</v>
      </c>
      <c r="AP259" s="18"/>
      <c r="AQ259" s="17">
        <f>390+Table13[[#This Row],[Time until ideal entry point (mins) from open]]</f>
        <v>390</v>
      </c>
      <c r="AR259" s="17">
        <f>Table13[[#This Row],[Time until ideal entry + 390 (6:30)]]+Table13[[#This Row],[Duration of frontside (mins)]]</f>
        <v>390</v>
      </c>
    </row>
    <row r="260" spans="1:44" hidden="1" x14ac:dyDescent="0.25">
      <c r="A260" s="49"/>
      <c r="B260" s="47"/>
      <c r="C260" s="47"/>
      <c r="D260" s="12"/>
      <c r="E260" s="13"/>
      <c r="F260" s="12"/>
      <c r="G260" s="12"/>
      <c r="H260" s="12"/>
      <c r="I260" s="12"/>
      <c r="J260" s="12"/>
      <c r="K260" s="12"/>
      <c r="N260" s="13"/>
      <c r="P260" s="37"/>
      <c r="Q260" s="46"/>
      <c r="R260" s="37"/>
      <c r="S260" s="37"/>
      <c r="T260" s="37"/>
      <c r="U260" s="37"/>
      <c r="V260" s="38"/>
      <c r="W260" s="46"/>
      <c r="X260" s="37"/>
      <c r="Y260" s="46"/>
      <c r="Z260" s="41">
        <f>Table13[[#This Row],[Time until ideal entry + 390 (6:30)]]/(1440)</f>
        <v>0.27083333333333331</v>
      </c>
      <c r="AA260" s="18"/>
      <c r="AB260" s="18" t="e">
        <f>IF(Table13[[#This Row],[HOD AFTER PM HI]]&gt;=Table13[[#This Row],[PM Hi]],((Table13[[#This Row],[HOD AFTER PM HI]]-Table13[[#This Row],[Prior day close]])/Table13[[#This Row],[Prior day close]]),Table13[[#This Row],[Prior Close to PM Hi %]])</f>
        <v>#DIV/0!</v>
      </c>
      <c r="AC260" s="42" t="e">
        <f>(Table13[[#This Row],[Price at hi of squeeze]]-Table13[[#This Row],[MKT Open Price]])/Table13[[#This Row],[MKT Open Price]]</f>
        <v>#DIV/0!</v>
      </c>
      <c r="AD260" s="18" t="e">
        <f>(Table13[[#This Row],[Price at hi of squeeze]]-Table13[[#This Row],[PM Hi]])/Table13[[#This Row],[PM Hi]]</f>
        <v>#DIV/0!</v>
      </c>
      <c r="AE260" s="18"/>
      <c r="AF260" s="20" t="e">
        <f>Table13[[#This Row],[PM VOL]]/1000000/Table13[[#This Row],[FLOAT(M)]]</f>
        <v>#DIV/0!</v>
      </c>
      <c r="AG260" s="23" t="e">
        <f>(Table13[[#This Row],[Volume]]/1000000)/Table13[[#This Row],[FLOAT(M)]]</f>
        <v>#DIV/0!</v>
      </c>
      <c r="AI260" s="18" t="e">
        <f>(Table13[[#This Row],[PM Hi]]-Table13[[#This Row],[MKT Open Price]])/(Table13[[#This Row],[PM Hi]])</f>
        <v>#DIV/0!</v>
      </c>
      <c r="AJ260" s="18" t="e">
        <f>IF(Table13[[#This Row],[PM LO]]&gt;Table13[[#This Row],[Prior day close]],(Table13[[#This Row],[PM Hi]]-Table13[[#This Row],[MKT Open Price]])/(Table13[[#This Row],[PM Hi]]-Table13[[#This Row],[Prior day close]]),(Table13[[#This Row],[PM Hi]]-Table13[[#This Row],[MKT Open Price]])/(Table13[[#This Row],[PM Hi]]-Table13[[#This Row],[PM LO]]))</f>
        <v>#DIV/0!</v>
      </c>
      <c r="AK260" s="48" t="e">
        <f>IF(Table13[[#This Row],[Prior day close]]&lt;Table13[[#This Row],[PM LO]],(I260-K260)/(I260-Table13[[#This Row],[Prior day close]]),(I260-K260)/(I260-Table13[[#This Row],[PM LO]]))</f>
        <v>#DIV/0!</v>
      </c>
      <c r="AL260" s="48">
        <f>Table13[[#This Row],[Spike % on open before drop]]+AM260</f>
        <v>0</v>
      </c>
      <c r="AM260" s="18"/>
      <c r="AN260" s="16"/>
      <c r="AO260" s="48" t="e">
        <f>IF(Table13[[#This Row],[Prior day close]]&lt;=Table13[[#This Row],[PM LO]],IF($J260&gt;=$F260,($J260-$K260)/($J260-Table13[[#This Row],[Prior day close]]),(IF($H260&lt;=$K260,($F260-$H260)/($F260-Table13[[#This Row],[Prior day close]]),(Table13[[#This Row],[PM Hi]]-Table13[[#This Row],[Lowest lo from open to squeeze]])/(Table13[[#This Row],[PM Hi]]-Table13[[#This Row],[Prior day close]])))),IF($J260&gt;=$F260,($J260-$K260)/($J260-Table13[[#This Row],[PM LO]]),(IF($H260&lt;=$K260,($F260-$H260)/($F260-Table13[[#This Row],[PM LO]]),(Table13[[#This Row],[PM Hi]]-Table13[[#This Row],[Lowest lo from open to squeeze]])/(Table13[[#This Row],[PM Hi]]-Table13[[#This Row],[PM LO]])))))</f>
        <v>#DIV/0!</v>
      </c>
      <c r="AP260" s="18"/>
      <c r="AQ260" s="17">
        <f>390+Table13[[#This Row],[Time until ideal entry point (mins) from open]]</f>
        <v>390</v>
      </c>
      <c r="AR260" s="17">
        <f>Table13[[#This Row],[Time until ideal entry + 390 (6:30)]]+Table13[[#This Row],[Duration of frontside (mins)]]</f>
        <v>390</v>
      </c>
    </row>
    <row r="261" spans="1:44" hidden="1" x14ac:dyDescent="0.25">
      <c r="A261" s="49"/>
      <c r="B261" s="47"/>
      <c r="C261" s="47"/>
      <c r="D261" s="12"/>
      <c r="E261" s="13"/>
      <c r="F261" s="12"/>
      <c r="G261" s="12"/>
      <c r="H261" s="12"/>
      <c r="I261" s="12"/>
      <c r="J261" s="12"/>
      <c r="K261" s="12"/>
      <c r="N261" s="13"/>
      <c r="P261" s="37"/>
      <c r="Q261" s="46"/>
      <c r="R261" s="37"/>
      <c r="S261" s="37"/>
      <c r="T261" s="37"/>
      <c r="U261" s="37"/>
      <c r="V261" s="38"/>
      <c r="W261" s="46"/>
      <c r="X261" s="37"/>
      <c r="Y261" s="46"/>
      <c r="Z261" s="41">
        <f>Table13[[#This Row],[Time until ideal entry + 390 (6:30)]]/(1440)</f>
        <v>0.27083333333333331</v>
      </c>
      <c r="AA261" s="18"/>
      <c r="AB261" s="18" t="e">
        <f>IF(Table13[[#This Row],[HOD AFTER PM HI]]&gt;=Table13[[#This Row],[PM Hi]],((Table13[[#This Row],[HOD AFTER PM HI]]-Table13[[#This Row],[Prior day close]])/Table13[[#This Row],[Prior day close]]),Table13[[#This Row],[Prior Close to PM Hi %]])</f>
        <v>#DIV/0!</v>
      </c>
      <c r="AC261" s="42" t="e">
        <f>(Table13[[#This Row],[Price at hi of squeeze]]-Table13[[#This Row],[MKT Open Price]])/Table13[[#This Row],[MKT Open Price]]</f>
        <v>#DIV/0!</v>
      </c>
      <c r="AD261" s="18" t="e">
        <f>(Table13[[#This Row],[Price at hi of squeeze]]-Table13[[#This Row],[PM Hi]])/Table13[[#This Row],[PM Hi]]</f>
        <v>#DIV/0!</v>
      </c>
      <c r="AE261" s="18"/>
      <c r="AF261" s="20" t="e">
        <f>Table13[[#This Row],[PM VOL]]/1000000/Table13[[#This Row],[FLOAT(M)]]</f>
        <v>#DIV/0!</v>
      </c>
      <c r="AG261" s="23" t="e">
        <f>(Table13[[#This Row],[Volume]]/1000000)/Table13[[#This Row],[FLOAT(M)]]</f>
        <v>#DIV/0!</v>
      </c>
      <c r="AI261" s="18" t="e">
        <f>(Table13[[#This Row],[PM Hi]]-Table13[[#This Row],[MKT Open Price]])/(Table13[[#This Row],[PM Hi]])</f>
        <v>#DIV/0!</v>
      </c>
      <c r="AJ261" s="18" t="e">
        <f>IF(Table13[[#This Row],[PM LO]]&gt;Table13[[#This Row],[Prior day close]],(Table13[[#This Row],[PM Hi]]-Table13[[#This Row],[MKT Open Price]])/(Table13[[#This Row],[PM Hi]]-Table13[[#This Row],[Prior day close]]),(Table13[[#This Row],[PM Hi]]-Table13[[#This Row],[MKT Open Price]])/(Table13[[#This Row],[PM Hi]]-Table13[[#This Row],[PM LO]]))</f>
        <v>#DIV/0!</v>
      </c>
      <c r="AK261" s="48" t="e">
        <f>IF(Table13[[#This Row],[Prior day close]]&lt;Table13[[#This Row],[PM LO]],(I261-K261)/(I261-Table13[[#This Row],[Prior day close]]),(I261-K261)/(I261-Table13[[#This Row],[PM LO]]))</f>
        <v>#DIV/0!</v>
      </c>
      <c r="AL261" s="48">
        <f>Table13[[#This Row],[Spike % on open before drop]]+AM261</f>
        <v>0</v>
      </c>
      <c r="AM261" s="18"/>
      <c r="AN261" s="16"/>
      <c r="AO261" s="48" t="e">
        <f>IF(Table13[[#This Row],[Prior day close]]&lt;=Table13[[#This Row],[PM LO]],IF($J261&gt;=$F261,($J261-$K261)/($J261-Table13[[#This Row],[Prior day close]]),(IF($H261&lt;=$K261,($F261-$H261)/($F261-Table13[[#This Row],[Prior day close]]),(Table13[[#This Row],[PM Hi]]-Table13[[#This Row],[Lowest lo from open to squeeze]])/(Table13[[#This Row],[PM Hi]]-Table13[[#This Row],[Prior day close]])))),IF($J261&gt;=$F261,($J261-$K261)/($J261-Table13[[#This Row],[PM LO]]),(IF($H261&lt;=$K261,($F261-$H261)/($F261-Table13[[#This Row],[PM LO]]),(Table13[[#This Row],[PM Hi]]-Table13[[#This Row],[Lowest lo from open to squeeze]])/(Table13[[#This Row],[PM Hi]]-Table13[[#This Row],[PM LO]])))))</f>
        <v>#DIV/0!</v>
      </c>
      <c r="AP261" s="18"/>
      <c r="AQ261" s="17">
        <f>390+Table13[[#This Row],[Time until ideal entry point (mins) from open]]</f>
        <v>390</v>
      </c>
      <c r="AR261" s="17">
        <f>Table13[[#This Row],[Time until ideal entry + 390 (6:30)]]+Table13[[#This Row],[Duration of frontside (mins)]]</f>
        <v>390</v>
      </c>
    </row>
    <row r="262" spans="1:44" hidden="1" x14ac:dyDescent="0.25">
      <c r="A262" s="49"/>
      <c r="B262" s="47"/>
      <c r="C262" s="47"/>
      <c r="D262" s="12"/>
      <c r="E262" s="13"/>
      <c r="F262" s="12"/>
      <c r="G262" s="12"/>
      <c r="H262" s="12"/>
      <c r="I262" s="12"/>
      <c r="J262" s="12"/>
      <c r="K262" s="12"/>
      <c r="N262" s="13"/>
      <c r="P262" s="37"/>
      <c r="Q262" s="46"/>
      <c r="R262" s="37"/>
      <c r="S262" s="37"/>
      <c r="T262" s="37"/>
      <c r="U262" s="37"/>
      <c r="V262" s="38"/>
      <c r="W262" s="46"/>
      <c r="X262" s="37"/>
      <c r="Y262" s="46"/>
      <c r="Z262" s="41">
        <f>Table13[[#This Row],[Time until ideal entry + 390 (6:30)]]/(1440)</f>
        <v>0.27083333333333331</v>
      </c>
      <c r="AA262" s="18"/>
      <c r="AB262" s="18" t="e">
        <f>IF(Table13[[#This Row],[HOD AFTER PM HI]]&gt;=Table13[[#This Row],[PM Hi]],((Table13[[#This Row],[HOD AFTER PM HI]]-Table13[[#This Row],[Prior day close]])/Table13[[#This Row],[Prior day close]]),Table13[[#This Row],[Prior Close to PM Hi %]])</f>
        <v>#DIV/0!</v>
      </c>
      <c r="AC262" s="42" t="e">
        <f>(Table13[[#This Row],[Price at hi of squeeze]]-Table13[[#This Row],[MKT Open Price]])/Table13[[#This Row],[MKT Open Price]]</f>
        <v>#DIV/0!</v>
      </c>
      <c r="AD262" s="18" t="e">
        <f>(Table13[[#This Row],[Price at hi of squeeze]]-Table13[[#This Row],[PM Hi]])/Table13[[#This Row],[PM Hi]]</f>
        <v>#DIV/0!</v>
      </c>
      <c r="AE262" s="18"/>
      <c r="AF262" s="20" t="e">
        <f>Table13[[#This Row],[PM VOL]]/1000000/Table13[[#This Row],[FLOAT(M)]]</f>
        <v>#DIV/0!</v>
      </c>
      <c r="AG262" s="23" t="e">
        <f>(Table13[[#This Row],[Volume]]/1000000)/Table13[[#This Row],[FLOAT(M)]]</f>
        <v>#DIV/0!</v>
      </c>
      <c r="AI262" s="18" t="e">
        <f>(Table13[[#This Row],[PM Hi]]-Table13[[#This Row],[MKT Open Price]])/(Table13[[#This Row],[PM Hi]])</f>
        <v>#DIV/0!</v>
      </c>
      <c r="AJ262" s="18" t="e">
        <f>IF(Table13[[#This Row],[PM LO]]&gt;Table13[[#This Row],[Prior day close]],(Table13[[#This Row],[PM Hi]]-Table13[[#This Row],[MKT Open Price]])/(Table13[[#This Row],[PM Hi]]-Table13[[#This Row],[Prior day close]]),(Table13[[#This Row],[PM Hi]]-Table13[[#This Row],[MKT Open Price]])/(Table13[[#This Row],[PM Hi]]-Table13[[#This Row],[PM LO]]))</f>
        <v>#DIV/0!</v>
      </c>
      <c r="AK262" s="48" t="e">
        <f>IF(Table13[[#This Row],[Prior day close]]&lt;Table13[[#This Row],[PM LO]],(I262-K262)/(I262-Table13[[#This Row],[Prior day close]]),(I262-K262)/(I262-Table13[[#This Row],[PM LO]]))</f>
        <v>#DIV/0!</v>
      </c>
      <c r="AL262" s="48">
        <f>Table13[[#This Row],[Spike % on open before drop]]+AM262</f>
        <v>0</v>
      </c>
      <c r="AM262" s="18"/>
      <c r="AN262" s="16"/>
      <c r="AO262" s="48" t="e">
        <f>IF(Table13[[#This Row],[Prior day close]]&lt;=Table13[[#This Row],[PM LO]],IF($J262&gt;=$F262,($J262-$K262)/($J262-Table13[[#This Row],[Prior day close]]),(IF($H262&lt;=$K262,($F262-$H262)/($F262-Table13[[#This Row],[Prior day close]]),(Table13[[#This Row],[PM Hi]]-Table13[[#This Row],[Lowest lo from open to squeeze]])/(Table13[[#This Row],[PM Hi]]-Table13[[#This Row],[Prior day close]])))),IF($J262&gt;=$F262,($J262-$K262)/($J262-Table13[[#This Row],[PM LO]]),(IF($H262&lt;=$K262,($F262-$H262)/($F262-Table13[[#This Row],[PM LO]]),(Table13[[#This Row],[PM Hi]]-Table13[[#This Row],[Lowest lo from open to squeeze]])/(Table13[[#This Row],[PM Hi]]-Table13[[#This Row],[PM LO]])))))</f>
        <v>#DIV/0!</v>
      </c>
      <c r="AP262" s="18"/>
      <c r="AQ262" s="17">
        <f>390+Table13[[#This Row],[Time until ideal entry point (mins) from open]]</f>
        <v>390</v>
      </c>
      <c r="AR262" s="17">
        <f>Table13[[#This Row],[Time until ideal entry + 390 (6:30)]]+Table13[[#This Row],[Duration of frontside (mins)]]</f>
        <v>390</v>
      </c>
    </row>
  </sheetData>
  <conditionalFormatting sqref="AE2:AE105">
    <cfRule type="cellIs" dxfId="22" priority="57" operator="between">
      <formula>0.2</formula>
      <formula>0.5</formula>
    </cfRule>
    <cfRule type="cellIs" dxfId="21" priority="69" operator="greaterThan">
      <formula>0.5</formula>
    </cfRule>
  </conditionalFormatting>
  <conditionalFormatting sqref="S85:S88 S91:S95 S2:S81 R172:R1048576">
    <cfRule type="cellIs" dxfId="20" priority="68" operator="greaterThan">
      <formula>10000000</formula>
    </cfRule>
  </conditionalFormatting>
  <conditionalFormatting sqref="P2:P105">
    <cfRule type="cellIs" dxfId="19" priority="64" operator="between">
      <formula>15</formula>
      <formula>100</formula>
    </cfRule>
    <cfRule type="cellIs" dxfId="18" priority="65" operator="lessThan">
      <formula>15</formula>
    </cfRule>
  </conditionalFormatting>
  <conditionalFormatting sqref="P2:P105 O172:O1048576">
    <cfRule type="cellIs" dxfId="17" priority="63" operator="greaterThan">
      <formula>100</formula>
    </cfRule>
  </conditionalFormatting>
  <conditionalFormatting sqref="AM2:AM262">
    <cfRule type="cellIs" dxfId="16" priority="46" operator="greaterThan">
      <formula>0.15</formula>
    </cfRule>
  </conditionalFormatting>
  <conditionalFormatting sqref="S82:S83">
    <cfRule type="cellIs" dxfId="15" priority="40" operator="greaterThan">
      <formula>10000000</formula>
    </cfRule>
  </conditionalFormatting>
  <conditionalFormatting sqref="S84">
    <cfRule type="cellIs" dxfId="14" priority="34" operator="greaterThan">
      <formula>10000000</formula>
    </cfRule>
  </conditionalFormatting>
  <conditionalFormatting sqref="S89">
    <cfRule type="cellIs" dxfId="13" priority="25" operator="greaterThan">
      <formula>10000000</formula>
    </cfRule>
  </conditionalFormatting>
  <conditionalFormatting sqref="S90">
    <cfRule type="cellIs" dxfId="12" priority="9" operator="greaterThan">
      <formula>10000000</formula>
    </cfRule>
  </conditionalFormatting>
  <conditionalFormatting sqref="AB172:AC1048576">
    <cfRule type="colorScale" priority="4135">
      <colorScale>
        <cfvo type="min"/>
        <cfvo type="percentile" val="50"/>
        <cfvo type="percent" val="100"/>
        <color rgb="FFFF0000"/>
        <color rgb="FFFFEB84"/>
        <color theme="9"/>
      </colorScale>
    </cfRule>
    <cfRule type="cellIs" dxfId="11" priority="4136" operator="greaterThan">
      <formula>1</formula>
    </cfRule>
  </conditionalFormatting>
  <hyperlinks>
    <hyperlink ref="A69" r:id="rId1" xr:uid="{C89814EC-4BBB-42E3-BD7A-3637EA2B97DB}"/>
    <hyperlink ref="A70" r:id="rId2" xr:uid="{6BAED9FE-6FA6-4EDC-8F16-A868BBDFE3EA}"/>
    <hyperlink ref="A7" r:id="rId3" xr:uid="{6350E0FB-ABCC-4F0A-AD36-F92E8C5A8250}"/>
    <hyperlink ref="A31" r:id="rId4" xr:uid="{C1B45D7F-28D2-4C8E-AA56-DE7438DE4E8D}"/>
    <hyperlink ref="A36" r:id="rId5" xr:uid="{575F9066-0142-44B0-8B39-9E8B5A352C3A}"/>
    <hyperlink ref="A35" r:id="rId6" xr:uid="{C2B68415-166C-4054-AFBA-E6958BAF42BA}"/>
    <hyperlink ref="A34" r:id="rId7" xr:uid="{4BABFDC4-8E2C-4CA8-93F4-15372614034E}"/>
    <hyperlink ref="A30" r:id="rId8" xr:uid="{12BA8D82-336A-44D5-A92E-B801F7D02EB1}"/>
    <hyperlink ref="A56" r:id="rId9" xr:uid="{3FF4EF58-0C93-4380-B904-340136E9548D}"/>
    <hyperlink ref="A46" r:id="rId10" xr:uid="{A6A1532C-91EF-48B4-A8F7-5BD9F6D032FE}"/>
    <hyperlink ref="A44" r:id="rId11" xr:uid="{436F7A28-BB99-42DB-98FB-261E9C2A6981}"/>
    <hyperlink ref="A37" r:id="rId12" xr:uid="{EABCB941-BC3E-4B5D-A50E-19B7E95E2A9B}"/>
    <hyperlink ref="A68" r:id="rId13" xr:uid="{5A4F9AF8-4E0F-4E28-A9A5-28C0A1F9D96F}"/>
    <hyperlink ref="A67" r:id="rId14" xr:uid="{7A7B44A5-B5F8-4EC0-A45A-E0F4ACBD70BC}"/>
    <hyperlink ref="A53" r:id="rId15" xr:uid="{D632BD53-3319-4CE7-9581-D39567BB978D}"/>
    <hyperlink ref="A41" r:id="rId16" xr:uid="{C477447E-216A-46F6-8624-6813FB3153A4}"/>
    <hyperlink ref="A66" r:id="rId17" xr:uid="{193896F8-042C-4B83-AE43-7F1A0112DFD6}"/>
    <hyperlink ref="A59" r:id="rId18" xr:uid="{02FED2C7-318C-4328-9BB2-10A67A4753B4}"/>
    <hyperlink ref="B58" r:id="rId19" display="http://tos.mx/cu8M3kQ" xr:uid="{218E4676-D158-4745-A5A3-BC1BB10BE39B}"/>
    <hyperlink ref="A58" r:id="rId20" xr:uid="{2A7DF773-35C5-4B8C-973A-7BA48792DF36}"/>
    <hyperlink ref="A64" r:id="rId21" display="KODK" xr:uid="{21F21B76-47ED-4B42-B510-87B3BCBF7A16}"/>
    <hyperlink ref="A65" r:id="rId22" xr:uid="{D2E1B23D-BBE3-445E-A19B-0AB0D6C89617}"/>
    <hyperlink ref="A61" r:id="rId23" xr:uid="{5ECC44FB-8287-4E9F-AB3D-F24666A13A28}"/>
    <hyperlink ref="A62" r:id="rId24" xr:uid="{B40FC3F8-53FF-4F54-9C0A-77E33989C832}"/>
    <hyperlink ref="A60" r:id="rId25" xr:uid="{1F994A61-1EC5-4095-8842-620495544DF5}"/>
    <hyperlink ref="A55" r:id="rId26" xr:uid="{F3B2EEAD-E9A6-4E4A-9547-93392FE645C1}"/>
    <hyperlink ref="A54" r:id="rId27" xr:uid="{EB5D05EA-3E0C-4DCB-AFD7-027F82A88279}"/>
    <hyperlink ref="A52" r:id="rId28" xr:uid="{8F356276-E946-44A8-8D5D-717C7E598DAF}"/>
    <hyperlink ref="A51" r:id="rId29" xr:uid="{1D8D5D91-3BA8-44FC-A55F-173B343F014E}"/>
    <hyperlink ref="A50" r:id="rId30" xr:uid="{A666CF05-1BB7-49F6-8AF1-5085CD1F85F3}"/>
    <hyperlink ref="A49" r:id="rId31" xr:uid="{12490D7A-A112-444E-9D4E-ABB8816EB796}"/>
    <hyperlink ref="A48" r:id="rId32" xr:uid="{F069EA36-F001-4920-922E-11516E403C60}"/>
    <hyperlink ref="A47" r:id="rId33" xr:uid="{EBD825AE-C693-431B-8B07-ED2799E0DEB0}"/>
    <hyperlink ref="A45" r:id="rId34" xr:uid="{85CB0C11-3754-4755-9C05-B5940D13DA64}"/>
    <hyperlink ref="A43" r:id="rId35" xr:uid="{D5A6D318-AE6F-43DA-A01B-186BE5CE0098}"/>
    <hyperlink ref="A42" r:id="rId36" xr:uid="{06E6ECD4-ED7B-42B5-83A8-B94E950E163C}"/>
    <hyperlink ref="A40" r:id="rId37" xr:uid="{6AB68782-D08B-4DEB-9112-4667AEE079C3}"/>
    <hyperlink ref="A38" r:id="rId38" xr:uid="{D8719E89-629F-4FB6-A613-54B2D530071D}"/>
    <hyperlink ref="A39" r:id="rId39" xr:uid="{5C004849-B550-4ACD-A24D-5A60520D2F44}"/>
    <hyperlink ref="A32" r:id="rId40" xr:uid="{25F999DA-DF35-43A8-9626-D9D06D2AB85A}"/>
    <hyperlink ref="A29" r:id="rId41" xr:uid="{F86519F4-AD5E-4872-B260-EB76A20AE5CF}"/>
    <hyperlink ref="A28" r:id="rId42" xr:uid="{F42B7385-4781-48AB-BDC7-C0579A9F9A0E}"/>
    <hyperlink ref="A33" r:id="rId43" xr:uid="{6FCF5F7D-AFA9-45EB-B1B0-A90D71373710}"/>
    <hyperlink ref="A17" r:id="rId44" xr:uid="{2B426565-CA3E-4D2F-8B51-457E3E14A866}"/>
    <hyperlink ref="A22" r:id="rId45" xr:uid="{67A9A300-9EFA-4D1D-8A5B-7EC7715AD91C}"/>
    <hyperlink ref="A74" r:id="rId46" xr:uid="{80993D0F-5FC7-4890-84A5-96F6C20F30A0}"/>
    <hyperlink ref="A18" r:id="rId47" xr:uid="{343FCF14-5B9E-479B-8F33-4E2D784FC212}"/>
    <hyperlink ref="A19" r:id="rId48" xr:uid="{A57259F9-4F29-41DC-97EE-441271B5DDEB}"/>
    <hyperlink ref="A20" r:id="rId49" xr:uid="{7A80AC33-4118-45E6-A7AF-ED195D01CB5C}"/>
    <hyperlink ref="A21" r:id="rId50" xr:uid="{89A62ACB-5B63-4496-9ABE-6507DBAEFE25}"/>
    <hyperlink ref="A23" r:id="rId51" xr:uid="{E37D3123-76D9-4EC7-A56C-115544749910}"/>
    <hyperlink ref="A24" r:id="rId52" xr:uid="{29A819E3-7E01-4BB6-8AEE-4F60FE61ACAD}"/>
    <hyperlink ref="A25" r:id="rId53" xr:uid="{B984C95F-5A08-4A4D-8ED6-18F52E667762}"/>
    <hyperlink ref="A26" r:id="rId54" xr:uid="{30320AC5-8705-4F6C-BECF-6DFEF04257D5}"/>
    <hyperlink ref="A27" r:id="rId55" xr:uid="{269E514B-2167-4367-97E5-06488640934B}"/>
    <hyperlink ref="A63" r:id="rId56" xr:uid="{F0FD7DE8-E014-4539-9A2C-D1BF2473B364}"/>
    <hyperlink ref="A57" r:id="rId57" xr:uid="{DA1A69F7-8DDE-47D7-A6B0-FC2B428FC8F2}"/>
    <hyperlink ref="B62" r:id="rId58" display="http://tos.mx/ALGx9Y4" xr:uid="{623B96BB-8EF4-42CD-93E9-D9FA3E9471BA}"/>
    <hyperlink ref="B50" r:id="rId59" display="http://tos.mx/r65xX7P" xr:uid="{85BE0BBB-1AEF-4FA6-9C52-37E5D936A2FB}"/>
    <hyperlink ref="A5" r:id="rId60" xr:uid="{4A197EB6-8277-4DC9-8014-B3B703A8A7A4}"/>
    <hyperlink ref="B60" r:id="rId61" display="http://tos.mx/kdyXH11" xr:uid="{9E0870E6-E4DE-4832-BD05-18D895D76D03}"/>
    <hyperlink ref="A8" r:id="rId62" xr:uid="{668B5397-0994-490A-B7F4-14F82FF7EF31}"/>
    <hyperlink ref="B41" r:id="rId63" display="http://tos.mx/tEx3xJB" xr:uid="{43D06DEF-F2DC-4A9B-AEF9-6C1914215633}"/>
    <hyperlink ref="A14" r:id="rId64" xr:uid="{34AE98DF-3F7D-4383-B485-93E88830136F}"/>
    <hyperlink ref="A9" r:id="rId65" xr:uid="{D5D955A7-BBD3-4D5F-AD18-786236DE199D}"/>
    <hyperlink ref="B34" r:id="rId66" display="http://tos.mx/La9CxYF" xr:uid="{D9C1979C-9D3C-44F4-9EDE-7F124A5C70E1}"/>
    <hyperlink ref="B39" r:id="rId67" display="http://tos.mx/3F551mk" xr:uid="{0961F38E-F95F-4F33-97E0-0BDE7C73D073}"/>
    <hyperlink ref="A16" r:id="rId68" xr:uid="{E7793DFD-7A5F-47D8-9223-620CAA54509A}"/>
    <hyperlink ref="B45" r:id="rId69" display="http://tos.mx/5zGutQc" xr:uid="{09A98B42-28D5-4EE3-A914-DE6FF8676E90}"/>
    <hyperlink ref="B66" r:id="rId70" display="http://tos.mx/l0eNXAA" xr:uid="{2259B6C2-CC12-4437-9730-304040A22290}"/>
    <hyperlink ref="A71" r:id="rId71" xr:uid="{83D2BF6C-A9A4-4A9C-9D7D-39DF1AD1E173}"/>
    <hyperlink ref="A72" r:id="rId72" xr:uid="{CD932BE2-02E0-447F-9A1A-AC9E6B3F0711}"/>
    <hyperlink ref="A73" r:id="rId73" xr:uid="{14F20E91-44B6-48B4-9B35-9DC6467394F4}"/>
    <hyperlink ref="B51" r:id="rId74" display="http://tos.mx/9YEwUT9" xr:uid="{6D1EBA38-6B7C-41D1-8A46-D748733CF725}"/>
    <hyperlink ref="A10" r:id="rId75" xr:uid="{9B47BFEC-291E-40E4-B072-27ADE870FDA4}"/>
    <hyperlink ref="A6" r:id="rId76" xr:uid="{79BD26B5-9AB7-4199-B4FE-4011252BB345}"/>
    <hyperlink ref="A11" r:id="rId77" xr:uid="{1E71E8F7-B32F-4974-BE8B-A9318AABB90E}"/>
    <hyperlink ref="B74" r:id="rId78" display="http://tos.mx/bPf3LIq" xr:uid="{E87D8425-091E-40F1-AA94-8EB38C51D57D}"/>
    <hyperlink ref="A76" r:id="rId79" xr:uid="{C2D0EC5F-E1EB-41BC-86A9-EB68832AE622}"/>
    <hyperlink ref="A75" r:id="rId80" xr:uid="{8A5B3183-2FA3-42CC-806D-6659B329DE81}"/>
    <hyperlink ref="A78" r:id="rId81" xr:uid="{9E69AB86-6529-4847-9893-E87505794194}"/>
    <hyperlink ref="A77" r:id="rId82" xr:uid="{6F34BFA0-DAA8-41CB-81BB-7E2644599F7D}"/>
    <hyperlink ref="A79" r:id="rId83" xr:uid="{E402632F-D01B-463C-9D0F-C50B3BE1514A}"/>
    <hyperlink ref="A80" r:id="rId84" xr:uid="{8C843A01-1AAB-4BE8-8F2C-2F781D44BE65}"/>
    <hyperlink ref="A81" r:id="rId85" xr:uid="{D3E5811F-B8CC-4763-BF3E-C7F073D1B860}"/>
    <hyperlink ref="A82" r:id="rId86" xr:uid="{F27C29F1-47A2-47B1-8FE3-672018B76086}"/>
    <hyperlink ref="A83" r:id="rId87" xr:uid="{759D8D29-9431-421F-8238-0039C00D8CF5}"/>
    <hyperlink ref="A84" r:id="rId88" xr:uid="{41213E16-265F-4F8D-945D-FBEE6B9D3DBC}"/>
    <hyperlink ref="A85" r:id="rId89" xr:uid="{D32E8926-9471-43A9-8322-3C8AF734666E}"/>
    <hyperlink ref="A86" r:id="rId90" xr:uid="{B833A52D-FC84-4373-AC5E-186E81F6D2AB}"/>
    <hyperlink ref="A87" r:id="rId91" xr:uid="{445C511B-9D4D-474A-8E8A-AC800187D691}"/>
    <hyperlink ref="A88" r:id="rId92" xr:uid="{F429EB67-FAD8-41E6-A64B-5674653D098E}"/>
    <hyperlink ref="A89" r:id="rId93" xr:uid="{3DFCF8B8-F0A7-4716-A8FB-B5686D32F498}"/>
    <hyperlink ref="A90" r:id="rId94" xr:uid="{0ADECB2C-9E30-423F-8C90-64C7145C9EFB}"/>
    <hyperlink ref="A91" r:id="rId95" xr:uid="{77505A48-D3FF-4544-87FC-0C9CE0A70EAB}"/>
    <hyperlink ref="A92" r:id="rId96" xr:uid="{562F7AAF-5FCE-49FA-B3FB-002594B3A691}"/>
    <hyperlink ref="A93" r:id="rId97" xr:uid="{7B518683-F57C-49AB-8F3C-2CDF8FA1DCA5}"/>
    <hyperlink ref="A94" r:id="rId98" xr:uid="{A8A84D17-DEAF-46AC-9368-84F46426B7A9}"/>
    <hyperlink ref="A95" r:id="rId99" xr:uid="{66CE65AA-0976-4A05-96EB-A48B24929B5B}"/>
    <hyperlink ref="B95" r:id="rId100" display="..\..\..\Broken Down Trading Charts\PPSI_12_4_2020_MARKEDUP.png" xr:uid="{23286A5E-1D00-4EE2-911D-445ABCA408E8}"/>
    <hyperlink ref="B94" r:id="rId101" display="..\..\..\Broken Down Trading Charts\LIZI_12_3_2020_MarkedUp.png" xr:uid="{A4744E7E-85C5-4FBD-AC13-F3FFD55A690D}"/>
    <hyperlink ref="A96" r:id="rId102" xr:uid="{338B34D5-4E56-44A9-AEA4-2C7120AF68CA}"/>
    <hyperlink ref="A97" r:id="rId103" xr:uid="{83CB6E6C-AE76-473A-BDED-D94C2570177A}"/>
    <hyperlink ref="A98" r:id="rId104" xr:uid="{ACC40B63-4159-422D-A0D4-6E621FB4C6C9}"/>
    <hyperlink ref="A99" r:id="rId105" xr:uid="{C00EEFF2-CDDB-497F-B794-445BBB409F9C}"/>
    <hyperlink ref="B96" r:id="rId106" display="..\..\..\Broken Down Trading Charts\GTEC_12_7_20_MARKEDUP.png" xr:uid="{4737428A-3920-43E0-9A7F-D72498F5AF07}"/>
    <hyperlink ref="B97" r:id="rId107" display="..\..\..\Broken Down Trading Charts\CRIS_12_8_2020_MARKEDUP.png" xr:uid="{2A698255-7ACF-4F50-A00F-620CB0B6E197}"/>
    <hyperlink ref="B98" r:id="rId108" display="..\..\..\Broken Down Trading Charts\LXRX_12_8_2020_MARKEDUP.png" xr:uid="{B110E403-7027-4C96-8BB1-B1173B90ED10}"/>
    <hyperlink ref="B99" r:id="rId109" display="..\..\..\Broken Down Trading Charts\XBIO_12_9_2020_MARKEDUP.png" xr:uid="{10EDD760-ADA1-4293-AD4B-27568CF56A3B}"/>
    <hyperlink ref="A101" r:id="rId110" xr:uid="{1DC5B166-267E-41E5-8954-4CA9851D56BC}"/>
    <hyperlink ref="A100" r:id="rId111" xr:uid="{FBE8D5AD-15B5-4D9F-B53D-8B08D4FCA242}"/>
    <hyperlink ref="A102" r:id="rId112" xr:uid="{7C93E082-4784-48ED-82B2-51BBD73E1179}"/>
    <hyperlink ref="A103" r:id="rId113" xr:uid="{3D541843-87EC-4EEA-A0AC-257D70AF3622}"/>
    <hyperlink ref="A104" r:id="rId114" xr:uid="{CF8E9313-A0B7-4AA0-85FD-807C246A74CF}"/>
    <hyperlink ref="A105" r:id="rId115" xr:uid="{922D92FF-25C7-4CB8-879E-C489AB772A1A}"/>
    <hyperlink ref="A106" r:id="rId116" xr:uid="{F511E296-4FE0-41EA-B06B-82E295882FEC}"/>
    <hyperlink ref="A171" r:id="rId117" xr:uid="{E7A0E3FA-AF4D-46C9-850F-3DE6C6C689FD}"/>
    <hyperlink ref="A172" r:id="rId118" xr:uid="{1A10083A-45EC-4A43-94E5-F0F4F9F703DB}"/>
    <hyperlink ref="A173" r:id="rId119" xr:uid="{72518B53-FBF6-4CB0-8BDD-450972E1CC91}"/>
    <hyperlink ref="A174" r:id="rId120" xr:uid="{9FC118F8-CF4A-472C-946E-4BFB7AEA34E0}"/>
    <hyperlink ref="A175" r:id="rId121" xr:uid="{A2407F66-D533-4591-9C0C-E71470EE0C7F}"/>
    <hyperlink ref="A176" r:id="rId122" xr:uid="{73C394DE-0740-4EB6-9AB2-1EB6CE7B9943}"/>
    <hyperlink ref="A177" r:id="rId123" xr:uid="{1E673441-AC9A-404D-BC2E-5F3710D0F8D1}"/>
    <hyperlink ref="A178" r:id="rId124" xr:uid="{B6C750BB-F428-40B6-BDAD-93E02B0E75B9}"/>
    <hyperlink ref="A179" r:id="rId125" xr:uid="{E2A93643-EE5E-4D6F-9F53-A2D8B74D3BCC}"/>
    <hyperlink ref="A180" r:id="rId126" xr:uid="{79A5B9F3-912C-4F34-81EC-40816BE5939A}"/>
    <hyperlink ref="A181" r:id="rId127" xr:uid="{F9787821-7FB9-4DE8-9AA1-B412698938CE}"/>
    <hyperlink ref="A182" r:id="rId128" xr:uid="{7D7C64D8-01ED-4E1C-BDA0-59C29B4D9EA9}"/>
    <hyperlink ref="A183" r:id="rId129" xr:uid="{FA42AACC-2BA1-43D3-A5EF-2D189DC8D526}"/>
    <hyperlink ref="A184" r:id="rId130" xr:uid="{3619537B-6D0C-4DC9-B58A-AE4B8D1199CC}"/>
    <hyperlink ref="A185" r:id="rId131" xr:uid="{01FA2121-2322-47E1-A9BD-6F9B4EB1C8C0}"/>
    <hyperlink ref="A186" r:id="rId132" xr:uid="{674E9A94-DA83-4313-A2A0-4E3C46F38FA9}"/>
    <hyperlink ref="A187" r:id="rId133" xr:uid="{F183E1ED-073B-4085-8B0D-D19B26D1CDEB}"/>
    <hyperlink ref="A188" r:id="rId134" xr:uid="{40913BD2-506D-47E3-B638-FDD511882E02}"/>
    <hyperlink ref="A189" r:id="rId135" xr:uid="{17EAA08B-9A7F-4E23-9496-D8AB1453FD20}"/>
    <hyperlink ref="A190" r:id="rId136" xr:uid="{322F4A75-5966-42AE-BCCF-5E6BBB79DAA9}"/>
    <hyperlink ref="A191" r:id="rId137" xr:uid="{B5EBB12C-5929-4462-AE95-7D95189811FA}"/>
    <hyperlink ref="A192" r:id="rId138" xr:uid="{D9296D40-F11F-48E5-BC90-B6FEB91D6151}"/>
    <hyperlink ref="A193" r:id="rId139" xr:uid="{37ACCBB4-2FBF-405B-8481-1C82F16DDA96}"/>
    <hyperlink ref="A194" r:id="rId140" xr:uid="{9C1A52F2-D23B-46FB-95A3-7F2C346BE9B0}"/>
    <hyperlink ref="A195" r:id="rId141" xr:uid="{3621CA3B-C4CE-46A8-8747-77F3C75AB275}"/>
    <hyperlink ref="A196" r:id="rId142" xr:uid="{81B4289E-A5BD-49CC-8F16-8E4E215E6826}"/>
    <hyperlink ref="A197" r:id="rId143" xr:uid="{E2F2EFFB-3E76-44CE-B8D7-EB38AA8BA000}"/>
    <hyperlink ref="A198" r:id="rId144" xr:uid="{A8D9D7B4-E245-4180-A4BE-144BA9AA17F4}"/>
    <hyperlink ref="A199" r:id="rId145" xr:uid="{5D89147B-18E6-4BDC-BAD5-EA84B55FD326}"/>
    <hyperlink ref="A200" r:id="rId146" xr:uid="{345F8843-10C6-43A5-9BF0-4A26F515F595}"/>
    <hyperlink ref="A201" r:id="rId147" xr:uid="{316DBBE0-0A7B-496C-B5FB-6F9E0DC305D9}"/>
    <hyperlink ref="A202" r:id="rId148" xr:uid="{CCEC94B4-B280-4A22-ACE0-BE0EB23F1C8D}"/>
    <hyperlink ref="A203" r:id="rId149" xr:uid="{167BE4F2-5B98-44AC-A44F-67AAFF6741ED}"/>
    <hyperlink ref="A204" r:id="rId150" xr:uid="{6EA87093-45CA-4684-A70A-D23EA6F5C9F4}"/>
    <hyperlink ref="A205" r:id="rId151" xr:uid="{4E630D58-F0AC-4289-92C2-55FAC3C015CE}"/>
    <hyperlink ref="A206" r:id="rId152" xr:uid="{E6C3C475-3B3F-49F1-80FF-D935B9F1CCF2}"/>
    <hyperlink ref="A207" r:id="rId153" xr:uid="{79D5BC0F-69B7-42A7-97B3-1D77DE22D8BE}"/>
    <hyperlink ref="A208" r:id="rId154" xr:uid="{15E1CBF4-0E1B-496A-A5D7-1A082B497656}"/>
    <hyperlink ref="A209" r:id="rId155" xr:uid="{8F428E1F-5683-41EE-8252-412977C5DE73}"/>
    <hyperlink ref="A210" r:id="rId156" xr:uid="{49813E19-FADF-4ECD-A75C-46D169B0833D}"/>
    <hyperlink ref="A211" r:id="rId157" xr:uid="{5CF9480A-C096-46E9-9399-78849FB040DE}"/>
    <hyperlink ref="A212" r:id="rId158" xr:uid="{B35B6422-7821-4052-BDB1-E2509B46A3E3}"/>
    <hyperlink ref="A213" r:id="rId159" xr:uid="{154BAE3E-1476-4045-B751-DD63716D8613}"/>
    <hyperlink ref="A214" r:id="rId160" xr:uid="{C4A60C7B-6E65-4144-B986-5CC5864CFC38}"/>
    <hyperlink ref="A215" r:id="rId161" xr:uid="{D30B4269-3FF3-4D70-B685-BD67D9AABE58}"/>
    <hyperlink ref="A216" r:id="rId162" xr:uid="{5FFE1AFC-8216-4A16-B419-E8D12B429DFC}"/>
    <hyperlink ref="A217" r:id="rId163" xr:uid="{3B4D522F-B1A2-414B-87CC-9CD6A32D117D}"/>
    <hyperlink ref="A218" r:id="rId164" xr:uid="{84DC53EE-3F0F-46E0-B167-E32D0967444F}"/>
    <hyperlink ref="A219" r:id="rId165" xr:uid="{967823B3-F1FC-4BEA-BC02-C3C44DA89DA9}"/>
    <hyperlink ref="A220" r:id="rId166" xr:uid="{F440BCCC-A00A-40D9-A2AD-38478C205DEF}"/>
    <hyperlink ref="A221" r:id="rId167" xr:uid="{F703A53D-23BE-45EF-85F8-F2AFDAF6676E}"/>
    <hyperlink ref="A222" r:id="rId168" xr:uid="{D019E62F-6A04-403C-B4C2-EFEF8610A748}"/>
    <hyperlink ref="A223" r:id="rId169" xr:uid="{A1FFFD6E-F40F-4813-8626-F6013BF19EFB}"/>
    <hyperlink ref="A224" r:id="rId170" xr:uid="{A99E7EAD-3E67-4999-BB5C-ACA2479636B0}"/>
    <hyperlink ref="A225" r:id="rId171" xr:uid="{746EA6E8-77F1-4377-8D05-210782632D35}"/>
    <hyperlink ref="A226" r:id="rId172" xr:uid="{D52B1A2C-EA9E-470A-85F7-E221517498E3}"/>
    <hyperlink ref="A227" r:id="rId173" xr:uid="{E9B04CC8-56B6-4056-8826-B14F75623C16}"/>
    <hyperlink ref="A228" r:id="rId174" xr:uid="{CF7353E4-3283-41F9-8D42-273E80A8B987}"/>
    <hyperlink ref="A229" r:id="rId175" xr:uid="{BD5E8FE2-CC1F-4DE5-9559-2863908F058B}"/>
    <hyperlink ref="A230" r:id="rId176" xr:uid="{57543D4C-8B17-4918-977E-158BF90EA225}"/>
    <hyperlink ref="A231" r:id="rId177" xr:uid="{07667CD3-01EA-4C12-B3FB-29DC3E299F64}"/>
    <hyperlink ref="A232" r:id="rId178" xr:uid="{BB0538F7-9E1E-41AD-A45E-2B2EA3BC8F26}"/>
    <hyperlink ref="A233" r:id="rId179" xr:uid="{A519E2A8-D3A9-4CB7-AC98-738443DFA1D0}"/>
    <hyperlink ref="A235" r:id="rId180" xr:uid="{AAC32C4E-95FF-41BA-8341-AACA8E2F7983}"/>
    <hyperlink ref="A234" r:id="rId181" xr:uid="{1C58023D-8E4B-4E6F-8422-0532E82E63B4}"/>
    <hyperlink ref="A236" r:id="rId182" xr:uid="{FA91EA6A-595C-4747-A182-2DC7730B8AD5}"/>
    <hyperlink ref="A237" r:id="rId183" xr:uid="{36A0FB56-4536-495B-9F9D-F890E74DF0C0}"/>
    <hyperlink ref="A238" r:id="rId184" xr:uid="{1502090D-8B16-4C53-810E-03659CB4CB76}"/>
    <hyperlink ref="A239" r:id="rId185" xr:uid="{1B3C12BA-4161-453B-9B9C-B74EE59AECEB}"/>
    <hyperlink ref="A240" r:id="rId186" xr:uid="{541D3A27-ECB3-434A-B580-CCDD5EFB5DB3}"/>
    <hyperlink ref="A241" r:id="rId187" xr:uid="{DC893074-4AA6-44DD-8A0B-029F1FE62939}"/>
    <hyperlink ref="A242" r:id="rId188" xr:uid="{7FE20469-539E-4BF2-B473-E44D3AB2799B}"/>
    <hyperlink ref="A243" r:id="rId189" xr:uid="{59532FDC-2D95-4E62-B1AB-6102519357B8}"/>
    <hyperlink ref="B243" r:id="rId190" display="http://tos.mx/i2pFAZK" xr:uid="{11F613D2-49B1-41DA-AD48-304B5AC4AFBF}"/>
    <hyperlink ref="A244" r:id="rId191" xr:uid="{F6E7E8F9-E64F-4AE3-B91C-011C28D5963E}"/>
    <hyperlink ref="A245" r:id="rId192" xr:uid="{F6CB57DB-567F-4B72-9D2B-85FB8AE6B5C9}"/>
    <hyperlink ref="A246" r:id="rId193" xr:uid="{17D0B2E2-C887-4DBD-9F05-614F240CF97A}"/>
    <hyperlink ref="A247" r:id="rId194" xr:uid="{BE672C71-B56D-4719-A3B4-BCBE8A61C315}"/>
    <hyperlink ref="B247" r:id="rId195" display="http://tos.mx/Iw7F8j1" xr:uid="{F7E89E25-9625-4CDD-B783-3BAB9DE2439F}"/>
    <hyperlink ref="A248" r:id="rId196" xr:uid="{42177869-35A9-4C79-A998-C8F942ED4585}"/>
    <hyperlink ref="A249" r:id="rId197" xr:uid="{B132C106-9B9C-4D79-99B2-21734C38F7D7}"/>
    <hyperlink ref="A250" r:id="rId198" xr:uid="{659C697B-891D-4283-8B4A-6F8E56259652}"/>
    <hyperlink ref="A251" r:id="rId199" xr:uid="{2EB596F9-B585-493F-BCE6-0D920B4B4DC3}"/>
    <hyperlink ref="A112" r:id="rId200" xr:uid="{0F52D32A-30D6-42C6-A834-1889E70BEF0D}"/>
    <hyperlink ref="A111" r:id="rId201" xr:uid="{CC190A87-EB19-4F41-859E-C064FDACB35A}"/>
    <hyperlink ref="A120" r:id="rId202" xr:uid="{898E20C9-54F0-4896-B9EC-EB80EFE076D4}"/>
    <hyperlink ref="A252" r:id="rId203" xr:uid="{C26A1457-9B6F-4BB2-A014-14EA3490044E}"/>
    <hyperlink ref="A253" r:id="rId204" xr:uid="{E3900861-F77E-4FD2-9CAD-5F51A8CE08E5}"/>
    <hyperlink ref="A254" r:id="rId205" xr:uid="{BD5FFAFC-E05E-455D-B31E-72BA439A5E95}"/>
    <hyperlink ref="A255" r:id="rId206" xr:uid="{FF9B427E-9C40-4D31-9427-585355ADDD4E}"/>
    <hyperlink ref="A256" r:id="rId207" xr:uid="{0882B430-710D-49E0-A2D4-13FFF260EB61}"/>
    <hyperlink ref="A257" r:id="rId208" xr:uid="{E7CA6D70-4186-4C88-ADA1-BE158A5DA8B5}"/>
    <hyperlink ref="A258" r:id="rId209" xr:uid="{BF908BE3-CA51-456B-8181-C2F4EF18169A}"/>
    <hyperlink ref="A107" r:id="rId210" xr:uid="{9769CBD0-FFC0-4AD0-823B-D62E95DC6FB5}"/>
    <hyperlink ref="A108" r:id="rId211" xr:uid="{401E821E-FCD4-4CCF-972E-2D2EE10B1C46}"/>
    <hyperlink ref="A109" r:id="rId212" xr:uid="{2FDCBFF3-6191-4F93-9644-FBC424E1C64C}"/>
    <hyperlink ref="A110" r:id="rId213" xr:uid="{E823B73E-117D-49F7-A0CA-470C2A4D841E}"/>
    <hyperlink ref="A113" r:id="rId214" xr:uid="{DC0B4245-C385-406C-BE6C-C9514EA66AC1}"/>
    <hyperlink ref="A114" r:id="rId215" xr:uid="{3BC202EA-328E-4855-80BB-A1098A405718}"/>
    <hyperlink ref="A115" r:id="rId216" xr:uid="{CF3EA105-06AC-4C16-82F2-CFB15F60E0C4}"/>
    <hyperlink ref="A116" r:id="rId217" xr:uid="{D0C03E36-6E04-42F0-89B3-08A9C7616432}"/>
    <hyperlink ref="A117" r:id="rId218" xr:uid="{9A6A71DA-D625-407E-AE58-4864E265CA8D}"/>
    <hyperlink ref="A118" r:id="rId219" xr:uid="{5AD4A877-6B2A-4656-A413-8E6001D89D2C}"/>
    <hyperlink ref="A119" r:id="rId220" xr:uid="{36861AC0-B28E-45A9-A2CB-D48B087A9FCC}"/>
    <hyperlink ref="B119" r:id="rId221" display="http://tos.mx/kLCW3jI" xr:uid="{549CCF94-3768-4DDF-B0CC-6570161F2094}"/>
    <hyperlink ref="A121" r:id="rId222" xr:uid="{DED8FF65-EAE0-42C0-9D7D-6461369C28E1}"/>
    <hyperlink ref="A123" r:id="rId223" xr:uid="{77DB7C18-1DA8-441D-A310-C2E59919A121}"/>
    <hyperlink ref="A124" r:id="rId224" xr:uid="{00B84FC1-EF27-4CE1-B56D-A1421D32DF2C}"/>
    <hyperlink ref="A125" r:id="rId225" xr:uid="{39EB5A2F-7716-4623-BBA7-F6B549A3ADCE}"/>
    <hyperlink ref="A126" r:id="rId226" xr:uid="{0D0BD3B9-29B3-4172-891F-25708E7C04DB}"/>
    <hyperlink ref="A127" r:id="rId227" xr:uid="{9EAC3CF9-B0F3-4481-BA67-0ED7596692BC}"/>
    <hyperlink ref="A128" r:id="rId228" xr:uid="{50AFDDB6-4202-4B3C-94CC-20F84FD326A3}"/>
    <hyperlink ref="A129" r:id="rId229" xr:uid="{E3EB2090-70DA-4697-A379-89836B6DD63B}"/>
    <hyperlink ref="A130" r:id="rId230" xr:uid="{2F09135A-65F1-4A93-9C11-7F09AD423B25}"/>
    <hyperlink ref="A131" r:id="rId231" xr:uid="{B6CFBDD9-A41E-498E-BAEF-6153E2A11FB2}"/>
    <hyperlink ref="A132" r:id="rId232" xr:uid="{5A8102EA-A131-41E7-9D31-C21791B317BC}"/>
    <hyperlink ref="A133" r:id="rId233" xr:uid="{315B8C93-664B-4228-9C48-09FFD2D12176}"/>
    <hyperlink ref="A134" r:id="rId234" xr:uid="{37601899-0D08-4ED1-9226-6AB8C0857A88}"/>
    <hyperlink ref="A135" r:id="rId235" xr:uid="{61C27949-7CDF-4F76-B833-8FBBD98B8C3D}"/>
    <hyperlink ref="A136" r:id="rId236" xr:uid="{549EB13F-4667-4465-91D2-4BEB1047B03B}"/>
    <hyperlink ref="A137" r:id="rId237" xr:uid="{DBDCEC3A-C2E5-4AA4-B88B-1F598A90D840}"/>
    <hyperlink ref="A138" r:id="rId238" xr:uid="{B87CFFFB-CE83-4FD5-B859-B2A3F00E2AED}"/>
    <hyperlink ref="A139" r:id="rId239" xr:uid="{9EF7FDF6-42A5-4A2B-B14A-516C09E197DC}"/>
    <hyperlink ref="A140" r:id="rId240" xr:uid="{2F2B336A-4966-414D-A49F-61386A9EE8D3}"/>
    <hyperlink ref="A141" r:id="rId241" xr:uid="{618F60BC-C501-4417-B993-4EEB5A8BA406}"/>
    <hyperlink ref="A142" r:id="rId242" xr:uid="{66447C84-AC9F-4185-BDBC-5902D93EBA3E}"/>
    <hyperlink ref="A143" r:id="rId243" xr:uid="{C5D0F996-7CD3-4F70-B8EB-D659A6F62660}"/>
    <hyperlink ref="A144" r:id="rId244" xr:uid="{FB072521-EC6E-4EFE-8BDF-731B42F95E05}"/>
    <hyperlink ref="A145" r:id="rId245" xr:uid="{49C6303F-9D15-4348-A93E-2A7C5EA4162A}"/>
    <hyperlink ref="A146" r:id="rId246" xr:uid="{DAD3BFD2-3677-4F2D-A2B5-CFF1F656FBC5}"/>
    <hyperlink ref="A147" r:id="rId247" xr:uid="{F87A79E3-B6DD-46AE-8143-10DCB3AB6397}"/>
    <hyperlink ref="A148" r:id="rId248" xr:uid="{422F26CD-7B9A-49A2-AB23-7E651A9A97D0}"/>
    <hyperlink ref="A149" r:id="rId249" xr:uid="{784BEC8C-EFCE-4A40-B0E3-CBCD881DA4AF}"/>
    <hyperlink ref="A150" r:id="rId250" xr:uid="{E59EC3D2-DA9D-43BC-9A6C-16A667763774}"/>
    <hyperlink ref="A151" r:id="rId251" xr:uid="{098DCE53-8188-4097-8A7C-91732BCD2E3D}"/>
    <hyperlink ref="A152" r:id="rId252" xr:uid="{3ABB1C76-F09C-4330-AE71-1D4C9CCB96EA}"/>
    <hyperlink ref="A153" r:id="rId253" xr:uid="{20B4A272-2C8B-40C6-A230-AC8ED645AA23}"/>
    <hyperlink ref="B153" r:id="rId254" display="http://tos.mx/VBRqEFz" xr:uid="{E06B4751-6198-4CEB-8117-8219F58BDB00}"/>
    <hyperlink ref="A154" r:id="rId255" xr:uid="{B9E72C42-96CA-4C23-B395-B3F094442B19}"/>
    <hyperlink ref="A155" r:id="rId256" xr:uid="{FD07C202-60BB-4960-BB67-F62BB2FF60CE}"/>
    <hyperlink ref="A156" r:id="rId257" xr:uid="{E54C8BFD-696F-47F9-8C76-50002F1FDB1B}"/>
    <hyperlink ref="A157" r:id="rId258" xr:uid="{169A1EB6-F94A-4A53-A64C-B124286074A2}"/>
    <hyperlink ref="A158" r:id="rId259" xr:uid="{FCB1F982-A021-4211-8753-49447196BB64}"/>
    <hyperlink ref="A159" r:id="rId260" xr:uid="{C6F598BE-75C4-4FC0-84F7-F917F1BDB26A}"/>
    <hyperlink ref="A160" r:id="rId261" xr:uid="{03110158-26BA-4165-A448-70668D7E8432}"/>
    <hyperlink ref="A161" r:id="rId262" xr:uid="{CE5E0CBB-7BC1-48F0-9C1C-C29EA784E6A2}"/>
    <hyperlink ref="A162" r:id="rId263" xr:uid="{451EECF4-4972-4C54-90DB-DF3F3CFE47C6}"/>
    <hyperlink ref="A163" r:id="rId264" xr:uid="{43599905-2C43-478A-B04C-FC11A50E76D8}"/>
    <hyperlink ref="A164" r:id="rId265" xr:uid="{CD8D9971-B48E-4FA8-A5FF-B21966E15A82}"/>
    <hyperlink ref="A165" r:id="rId266" xr:uid="{B639149F-FA4C-4427-9D9D-8D3414907748}"/>
    <hyperlink ref="A166" r:id="rId267" xr:uid="{E6769EA7-4666-4413-A20C-44AE53A3ED6B}"/>
    <hyperlink ref="A167" r:id="rId268" xr:uid="{D07FF6B5-AB0E-486B-B390-E3DEE2B5BE46}"/>
    <hyperlink ref="A168" r:id="rId269" xr:uid="{D1D0B1FE-A91D-41DD-B06D-A5C2A6F4AE89}"/>
    <hyperlink ref="A169" r:id="rId270" xr:uid="{73B56FFC-1BB7-40ED-A42D-4D4BEA6FAF09}"/>
    <hyperlink ref="A170" r:id="rId271" xr:uid="{023A2983-EFD0-4BE4-9E16-55DBBE19110A}"/>
    <hyperlink ref="A12" r:id="rId272" xr:uid="{568FD768-1BE9-4EE6-AFAE-9CCCDDDC00CA}"/>
  </hyperlinks>
  <pageMargins left="0.7" right="0.7" top="0.75" bottom="0.75" header="0.3" footer="0.3"/>
  <pageSetup orientation="portrait" r:id="rId273"/>
  <legacyDrawing r:id="rId274"/>
  <tableParts count="1">
    <tablePart r:id="rId275"/>
  </tableParts>
  <extLst>
    <ext xmlns:x14="http://schemas.microsoft.com/office/spreadsheetml/2009/9/main" uri="{CCE6A557-97BC-4b89-ADB6-D9C93CAAB3DF}">
      <x14:dataValidations xmlns:xm="http://schemas.microsoft.com/office/excel/2006/main" count="1">
        <x14:dataValidation type="list" allowBlank="1" showInputMessage="1" showErrorMessage="1" xr:uid="{1931E997-8963-46AA-BAAC-57A5A1C4D02F}">
          <x14:formula1>
            <xm:f>'F:\Trading Review\Trading Review\Trading Study\[TNS Dashboard.xlsx]Misc. WKTSHT DATA'!#REF!</xm:f>
          </x14:formula1>
          <xm:sqref>R5:R7 R9:R13 R15:R77 R2:R3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AB1D-23EE-45D5-B800-FE064C9F4B4B}">
  <sheetPr>
    <tabColor rgb="FFA365D1"/>
  </sheetPr>
  <dimension ref="A1:AQ174"/>
  <sheetViews>
    <sheetView tabSelected="1" zoomScale="95" zoomScaleNormal="95" workbookViewId="0">
      <pane ySplit="1" topLeftCell="A49" activePane="bottomLeft" state="frozen"/>
      <selection activeCell="J1" sqref="J1"/>
      <selection pane="bottomLeft" activeCell="E55" sqref="E55"/>
    </sheetView>
  </sheetViews>
  <sheetFormatPr defaultRowHeight="15" x14ac:dyDescent="0.25"/>
  <cols>
    <col min="1" max="1" width="11" style="10" customWidth="1"/>
    <col min="2" max="2" width="13.5703125" style="11" bestFit="1" customWidth="1"/>
    <col min="3" max="3" width="10.5703125" style="11" bestFit="1" customWidth="1"/>
    <col min="4" max="4" width="23.140625" style="17" customWidth="1"/>
    <col min="5" max="5" width="25" customWidth="1"/>
    <col min="6" max="6" width="8.85546875" style="18" customWidth="1"/>
    <col min="7" max="7" width="10.28515625" bestFit="1" customWidth="1"/>
    <col min="8" max="8" width="21" style="18" bestFit="1" customWidth="1"/>
    <col min="9" max="9" width="23.140625" style="18" customWidth="1"/>
    <col min="10" max="10" width="17.28515625" style="13" customWidth="1"/>
    <col min="11" max="11" width="18.28515625" style="18" customWidth="1"/>
    <col min="12" max="12" width="18.85546875" style="12" customWidth="1"/>
    <col min="13" max="13" width="21.7109375" style="12" customWidth="1"/>
    <col min="14" max="14" width="19.5703125" style="12" customWidth="1"/>
    <col min="15" max="15" width="20.42578125" style="12" customWidth="1"/>
    <col min="16" max="16" width="13.5703125" style="12" bestFit="1" customWidth="1"/>
    <col min="17" max="17" width="23.140625" style="18" customWidth="1"/>
    <col min="18" max="19" width="20.85546875" style="18" customWidth="1"/>
    <col min="20" max="20" width="23.140625" style="13" customWidth="1"/>
    <col min="21" max="21" width="30.28515625" style="12" customWidth="1"/>
    <col min="22" max="22" width="24.140625" style="12" customWidth="1"/>
    <col min="23" max="23" width="16.140625" style="13" customWidth="1"/>
    <col min="24" max="24" width="19.140625" style="13" customWidth="1"/>
    <col min="25" max="25" width="30.42578125" style="19" customWidth="1"/>
    <col min="26" max="26" width="16.85546875" style="13" customWidth="1"/>
    <col min="27" max="28" width="25" style="13" customWidth="1"/>
    <col min="29" max="29" width="26.42578125" style="13" customWidth="1"/>
    <col min="30" max="30" width="30.85546875" style="13" customWidth="1"/>
    <col min="31" max="33" width="23.140625" style="18" customWidth="1"/>
    <col min="34" max="34" width="36.28515625" style="18" customWidth="1"/>
    <col min="35" max="36" width="29.7109375" style="17" customWidth="1"/>
    <col min="37" max="37" width="26.140625" style="17" customWidth="1"/>
    <col min="38" max="38" width="17.140625" style="22" customWidth="1"/>
    <col min="39" max="39" width="28.7109375" customWidth="1"/>
    <col min="40" max="40" width="28.42578125" customWidth="1"/>
    <col min="41" max="41" width="19.42578125" customWidth="1"/>
    <col min="42" max="42" width="18.42578125" customWidth="1"/>
    <col min="43" max="43" width="13.7109375" customWidth="1"/>
  </cols>
  <sheetData>
    <row r="1" spans="1:43" s="3" customFormat="1" ht="60" x14ac:dyDescent="0.25">
      <c r="A1" s="1" t="s">
        <v>0</v>
      </c>
      <c r="B1" s="2" t="s">
        <v>1</v>
      </c>
      <c r="C1" s="2" t="s">
        <v>142</v>
      </c>
      <c r="D1" s="4" t="s">
        <v>2</v>
      </c>
      <c r="E1" s="5" t="s">
        <v>3</v>
      </c>
      <c r="F1" s="6" t="s">
        <v>4</v>
      </c>
      <c r="G1" s="6" t="s">
        <v>5</v>
      </c>
      <c r="H1" s="6" t="s">
        <v>6</v>
      </c>
      <c r="I1" s="6" t="s">
        <v>7</v>
      </c>
      <c r="J1" s="6" t="s">
        <v>8</v>
      </c>
      <c r="K1" s="6" t="s">
        <v>9</v>
      </c>
      <c r="L1" s="6" t="s">
        <v>10</v>
      </c>
      <c r="M1" s="6" t="s">
        <v>11</v>
      </c>
      <c r="N1" s="5" t="s">
        <v>12</v>
      </c>
      <c r="O1" s="6" t="s">
        <v>13</v>
      </c>
      <c r="P1" s="5" t="s">
        <v>14</v>
      </c>
      <c r="Q1" s="5" t="s">
        <v>15</v>
      </c>
      <c r="R1" s="5" t="s">
        <v>17</v>
      </c>
      <c r="S1" s="5" t="s">
        <v>18</v>
      </c>
      <c r="T1" s="3" t="s">
        <v>19</v>
      </c>
      <c r="U1" s="3" t="s">
        <v>20</v>
      </c>
      <c r="V1" s="3" t="s">
        <v>21</v>
      </c>
      <c r="W1" s="3" t="s">
        <v>22</v>
      </c>
      <c r="X1" s="3" t="s">
        <v>23</v>
      </c>
      <c r="Y1" s="7" t="s">
        <v>24</v>
      </c>
      <c r="Z1" s="4" t="s">
        <v>25</v>
      </c>
      <c r="AA1" s="4" t="s">
        <v>26</v>
      </c>
      <c r="AB1" s="6" t="s">
        <v>27</v>
      </c>
      <c r="AC1" s="6" t="s">
        <v>28</v>
      </c>
      <c r="AD1" s="4" t="s">
        <v>29</v>
      </c>
      <c r="AE1" s="9" t="s">
        <v>30</v>
      </c>
      <c r="AF1" s="5" t="s">
        <v>31</v>
      </c>
      <c r="AG1" s="4" t="s">
        <v>32</v>
      </c>
      <c r="AH1" s="4" t="s">
        <v>152</v>
      </c>
      <c r="AI1" s="4" t="s">
        <v>153</v>
      </c>
      <c r="AJ1" s="4" t="s">
        <v>154</v>
      </c>
      <c r="AK1" s="4" t="s">
        <v>33</v>
      </c>
      <c r="AL1" s="4" t="s">
        <v>34</v>
      </c>
      <c r="AM1" s="4" t="s">
        <v>35</v>
      </c>
      <c r="AN1" s="4" t="s">
        <v>36</v>
      </c>
      <c r="AO1" s="4" t="s">
        <v>37</v>
      </c>
      <c r="AP1" s="8" t="s">
        <v>38</v>
      </c>
      <c r="AQ1" s="8" t="s">
        <v>39</v>
      </c>
    </row>
    <row r="2" spans="1:43" x14ac:dyDescent="0.25">
      <c r="A2" s="24" t="s">
        <v>190</v>
      </c>
      <c r="B2" s="47">
        <v>43986</v>
      </c>
      <c r="C2" s="47" t="s">
        <v>71</v>
      </c>
      <c r="D2" s="12">
        <v>0.27</v>
      </c>
      <c r="E2" s="13">
        <f>Table133[[#This Row],[Prior day close]]</f>
        <v>0.27</v>
      </c>
      <c r="F2" s="12">
        <v>0.96</v>
      </c>
      <c r="G2" s="12">
        <v>0.27</v>
      </c>
      <c r="H2" s="12">
        <v>0.65</v>
      </c>
      <c r="I2" s="12">
        <v>0.68</v>
      </c>
      <c r="J2" s="12">
        <v>0.72</v>
      </c>
      <c r="K2" s="12">
        <v>0.56999999999999995</v>
      </c>
      <c r="L2" s="12">
        <v>1.57</v>
      </c>
      <c r="M2" s="12">
        <v>1.1100000000000001</v>
      </c>
      <c r="N2" s="13">
        <v>87489244</v>
      </c>
      <c r="O2" s="12">
        <v>118985371</v>
      </c>
      <c r="P2" s="37">
        <v>16.59</v>
      </c>
      <c r="Q2" s="46">
        <v>56.31</v>
      </c>
      <c r="R2" s="37">
        <v>10028179</v>
      </c>
      <c r="S2" s="37" t="s">
        <v>41</v>
      </c>
      <c r="T2" s="37" t="s">
        <v>43</v>
      </c>
      <c r="U2" s="38">
        <v>14</v>
      </c>
      <c r="V2" s="46">
        <v>14</v>
      </c>
      <c r="W2" s="37">
        <v>0.59</v>
      </c>
      <c r="X2" s="46">
        <v>44</v>
      </c>
      <c r="Y2" s="41">
        <f>Table133[[#This Row],[Time until ideal entry + 390 (6:30)]]/(1440)</f>
        <v>0.28055555555555556</v>
      </c>
      <c r="Z2" s="18">
        <f>(F2-D2)/D2</f>
        <v>2.5555555555555554</v>
      </c>
      <c r="AA2" s="18">
        <f>IF(Table133[[#This Row],[HOD AFTER PM HI]]&gt;=Table133[[#This Row],[PM Hi]],((Table133[[#This Row],[HOD AFTER PM HI]]-Table133[[#This Row],[Prior day close]])/Table133[[#This Row],[Prior day close]]),Table133[[#This Row],[Prior Close to PM Hi %]])</f>
        <v>4.8148148148148149</v>
      </c>
      <c r="AB2" s="42">
        <f>(Table133[[#This Row],[Price at hi of squeeze]]-Table133[[#This Row],[MKT Open Price]])/Table133[[#This Row],[MKT Open Price]]</f>
        <v>0.63235294117647056</v>
      </c>
      <c r="AC2" s="18">
        <f>(Table133[[#This Row],[Price at hi of squeeze]]-Table133[[#This Row],[PM Hi]])/Table133[[#This Row],[PM Hi]]</f>
        <v>0.15625000000000014</v>
      </c>
      <c r="AD2" s="18"/>
      <c r="AE2" s="20">
        <f>Table133[[#This Row],[PM VOL]]/1000000/Table133[[#This Row],[FLOAT(M)]]</f>
        <v>0.17808877641626708</v>
      </c>
      <c r="AF2" s="23">
        <f>(Table133[[#This Row],[Volume]]/1000000)/Table133[[#This Row],[FLOAT(M)]]</f>
        <v>1.553707050257503</v>
      </c>
      <c r="AH2" s="18">
        <f>(Table133[[#This Row],[PM Hi]]-Table133[[#This Row],[MKT Open Price]])/(Table133[[#This Row],[PM Hi]])</f>
        <v>0.29166666666666657</v>
      </c>
      <c r="AI2" s="18">
        <f>IF(Table133[[#This Row],[PM LO]]&gt;Table133[[#This Row],[Prior day close]],(Table133[[#This Row],[PM Hi]]-Table133[[#This Row],[MKT Open Price]])/(Table133[[#This Row],[PM Hi]]-Table133[[#This Row],[Prior day close]]),(Table133[[#This Row],[PM Hi]]-Table133[[#This Row],[MKT Open Price]])/(Table133[[#This Row],[PM Hi]]-Table133[[#This Row],[PM LO]]))</f>
        <v>0.40579710144927528</v>
      </c>
      <c r="AJ2" s="48">
        <f>IF(Table133[[#This Row],[Prior day close]]&lt;Table133[[#This Row],[PM LO]],(I2-K2)/(I2-Table133[[#This Row],[Prior day close]]),(I2-K2)/(I2-Table133[[#This Row],[PM LO]]))</f>
        <v>0.26829268292682951</v>
      </c>
      <c r="AK2" s="48">
        <f>Table133[[#This Row],[Spike % on open before drop]]+AL2</f>
        <v>0.16176470588235306</v>
      </c>
      <c r="AL2" s="16">
        <f t="shared" ref="AL2:AL33" si="0">(I2-K2)/I2</f>
        <v>0.16176470588235306</v>
      </c>
      <c r="AM2" s="18">
        <f>IF($J2&gt;=$F2,($J2-$K2)/($J2),(IF($H2&lt;=$K2,($F2-$H2)/($F2),(Table133[[#This Row],[PM Hi]]-Table133[[#This Row],[Lowest lo from open to squeeze]])/(Table133[[#This Row],[PM Hi]]))))</f>
        <v>0.40625000000000006</v>
      </c>
      <c r="AN2" s="48">
        <f>IF(Table133[[#This Row],[Prior day close]]&lt;=Table133[[#This Row],[PM LO]],IF($J2&gt;=$F2,($J2-$K2)/($J2-Table133[[#This Row],[Prior day close]]),(IF($H2&lt;=$K2,($F2-$H2)/($F2-Table133[[#This Row],[Prior day close]]),(Table133[[#This Row],[PM Hi]]-Table133[[#This Row],[Lowest lo from open to squeeze]])/(Table133[[#This Row],[PM Hi]]-Table133[[#This Row],[Prior day close]])))),IF($J2&gt;=$F2,($J2-$K2)/($J2-Table133[[#This Row],[PM LO]]),(IF($H2&lt;=$K2,($F2-$H2)/($F2-Table133[[#This Row],[PM LO]]),(Table133[[#This Row],[PM Hi]]-Table133[[#This Row],[Lowest lo from open to squeeze]])/(Table133[[#This Row],[PM Hi]]-Table133[[#This Row],[PM LO]])))))</f>
        <v>0.56521739130434789</v>
      </c>
      <c r="AO2" s="18">
        <f>IF(J2&gt;=F2,(J2-K2)/(J2-D2),(IF(H2&lt;=K2,(F2-H2)/(F2-D2),(Table133[[#This Row],[PM Hi]]-Table133[[#This Row],[Lowest lo from open to squeeze]])/(Table133[[#This Row],[PM Hi]]-Table133[[#This Row],[Prior day close]]))))</f>
        <v>0.56521739130434789</v>
      </c>
      <c r="AP2" s="17">
        <f>390+Table133[[#This Row],[Time until ideal entry point (mins) from open]]</f>
        <v>404</v>
      </c>
      <c r="AQ2" s="17">
        <f>Table133[[#This Row],[Time until ideal entry + 390 (6:30)]]+Table133[[#This Row],[Duration of frontside (mins)]]</f>
        <v>448</v>
      </c>
    </row>
    <row r="3" spans="1:43" s="36" customFormat="1" x14ac:dyDescent="0.25">
      <c r="A3" s="24" t="s">
        <v>164</v>
      </c>
      <c r="B3" s="47">
        <v>43887</v>
      </c>
      <c r="C3" s="47" t="s">
        <v>71</v>
      </c>
      <c r="D3" s="12">
        <v>0.4</v>
      </c>
      <c r="E3" s="13">
        <f>Table133[[#This Row],[Prior day close]]</f>
        <v>0.4</v>
      </c>
      <c r="F3" s="12">
        <v>0.87</v>
      </c>
      <c r="G3" s="12">
        <v>0.44</v>
      </c>
      <c r="H3" s="12">
        <v>0.73</v>
      </c>
      <c r="I3" s="12">
        <v>0.84</v>
      </c>
      <c r="J3" s="12">
        <v>0.9</v>
      </c>
      <c r="K3" s="12">
        <v>0.75</v>
      </c>
      <c r="L3" s="12">
        <v>1.23</v>
      </c>
      <c r="M3" s="12">
        <v>1.23</v>
      </c>
      <c r="N3" s="13">
        <v>145240330</v>
      </c>
      <c r="O3" s="12">
        <v>130571056</v>
      </c>
      <c r="P3" s="37">
        <v>9.33</v>
      </c>
      <c r="Q3" s="46">
        <v>21.66</v>
      </c>
      <c r="R3" s="37">
        <v>16276394</v>
      </c>
      <c r="S3" s="37" t="s">
        <v>41</v>
      </c>
      <c r="T3" s="37" t="s">
        <v>43</v>
      </c>
      <c r="U3" s="38">
        <v>15</v>
      </c>
      <c r="V3" s="46">
        <v>15</v>
      </c>
      <c r="W3" s="37">
        <v>0.75</v>
      </c>
      <c r="X3" s="46">
        <v>99</v>
      </c>
      <c r="Y3" s="41">
        <f>Table133[[#This Row],[Time until ideal entry + 390 (6:30)]]/(1440)</f>
        <v>0.28125</v>
      </c>
      <c r="Z3" s="18">
        <f>(F3-D3)/D3</f>
        <v>1.1749999999999998</v>
      </c>
      <c r="AA3" s="18">
        <f>IF(Table133[[#This Row],[HOD AFTER PM HI]]&gt;=Table133[[#This Row],[PM Hi]],((Table133[[#This Row],[HOD AFTER PM HI]]-Table133[[#This Row],[Prior day close]])/Table133[[#This Row],[Prior day close]]),Table133[[#This Row],[Prior Close to PM Hi %]])</f>
        <v>2.0749999999999997</v>
      </c>
      <c r="AB3" s="42">
        <f>(Table133[[#This Row],[Price at hi of squeeze]]-Table133[[#This Row],[MKT Open Price]])/Table133[[#This Row],[MKT Open Price]]</f>
        <v>0.4642857142857143</v>
      </c>
      <c r="AC3" s="18">
        <f>(Table133[[#This Row],[Price at hi of squeeze]]-Table133[[#This Row],[PM Hi]])/Table133[[#This Row],[PM Hi]]</f>
        <v>0.41379310344827586</v>
      </c>
      <c r="AD3" s="18"/>
      <c r="AE3" s="20">
        <f>Table133[[#This Row],[PM VOL]]/1000000/Table133[[#This Row],[FLOAT(M)]]</f>
        <v>0.75144939981532777</v>
      </c>
      <c r="AF3" s="23">
        <f>(Table133[[#This Row],[Volume]]/1000000)/Table133[[#This Row],[FLOAT(M)]]</f>
        <v>6.7054630655586331</v>
      </c>
      <c r="AG3" s="18"/>
      <c r="AH3" s="18">
        <f>(Table133[[#This Row],[PM Hi]]-Table133[[#This Row],[MKT Open Price]])/(Table133[[#This Row],[PM Hi]])</f>
        <v>3.4482758620689689E-2</v>
      </c>
      <c r="AI3" s="18">
        <f>IF(Table133[[#This Row],[PM LO]]&gt;Table133[[#This Row],[Prior day close]],(Table133[[#This Row],[PM Hi]]-Table133[[#This Row],[MKT Open Price]])/(Table133[[#This Row],[PM Hi]]-Table133[[#This Row],[Prior day close]]),(Table133[[#This Row],[PM Hi]]-Table133[[#This Row],[MKT Open Price]])/(Table133[[#This Row],[PM Hi]]-Table133[[#This Row],[PM LO]]))</f>
        <v>6.3829787234042618E-2</v>
      </c>
      <c r="AJ3" s="48">
        <f>IF(Table133[[#This Row],[Prior day close]]&lt;Table133[[#This Row],[PM LO]],(I3-K3)/(I3-Table133[[#This Row],[Prior day close]]),(I3-K3)/(I3-Table133[[#This Row],[PM LO]]))</f>
        <v>0.2045454545454545</v>
      </c>
      <c r="AK3" s="48">
        <f>Table133[[#This Row],[Spike % on open before drop]]+AL3</f>
        <v>0.10714285714285711</v>
      </c>
      <c r="AL3" s="16">
        <f t="shared" si="0"/>
        <v>0.10714285714285711</v>
      </c>
      <c r="AM3" s="18">
        <f>IF($J3&gt;=$F3,($J3-$K3)/($J3),(IF($H3&lt;=$K3,($F3-$H3)/($F3),(Table133[[#This Row],[PM Hi]]-Table133[[#This Row],[Lowest lo from open to squeeze]])/(Table133[[#This Row],[PM Hi]]))))</f>
        <v>0.16666666666666669</v>
      </c>
      <c r="AN3" s="48">
        <f>IF(Table133[[#This Row],[Prior day close]]&lt;=Table133[[#This Row],[PM LO]],IF($J3&gt;=$F3,($J3-$K3)/($J3-Table133[[#This Row],[Prior day close]]),(IF($H3&lt;=$K3,($F3-$H3)/($F3-Table133[[#This Row],[Prior day close]]),(Table133[[#This Row],[PM Hi]]-Table133[[#This Row],[Lowest lo from open to squeeze]])/(Table133[[#This Row],[PM Hi]]-Table133[[#This Row],[Prior day close]])))),IF($J3&gt;=$F3,($J3-$K3)/($J3-Table133[[#This Row],[PM LO]]),(IF($H3&lt;=$K3,($F3-$H3)/($F3-Table133[[#This Row],[PM LO]]),(Table133[[#This Row],[PM Hi]]-Table133[[#This Row],[Lowest lo from open to squeeze]])/(Table133[[#This Row],[PM Hi]]-Table133[[#This Row],[PM LO]])))))</f>
        <v>0.30000000000000004</v>
      </c>
      <c r="AO3" s="18">
        <f>IF(J3&gt;=F3,(J3-K3)/(J3-D3),(IF(H3&lt;=K3,(F3-H3)/(F3-D3),(Table133[[#This Row],[PM Hi]]-Table133[[#This Row],[Lowest lo from open to squeeze]])/(Table133[[#This Row],[PM Hi]]-Table133[[#This Row],[Prior day close]]))))</f>
        <v>0.30000000000000004</v>
      </c>
      <c r="AP3" s="17">
        <f>390+Table133[[#This Row],[Time until ideal entry point (mins) from open]]</f>
        <v>405</v>
      </c>
      <c r="AQ3" s="17">
        <f>Table133[[#This Row],[Time until ideal entry + 390 (6:30)]]+Table133[[#This Row],[Duration of frontside (mins)]]</f>
        <v>504</v>
      </c>
    </row>
    <row r="4" spans="1:43" x14ac:dyDescent="0.25">
      <c r="A4" s="25" t="s">
        <v>59</v>
      </c>
      <c r="B4" s="11">
        <v>43914</v>
      </c>
      <c r="C4" s="47" t="s">
        <v>71</v>
      </c>
      <c r="D4" s="12">
        <v>0.44</v>
      </c>
      <c r="E4" s="13">
        <v>0.5</v>
      </c>
      <c r="F4" s="12">
        <v>2.1800000000000002</v>
      </c>
      <c r="G4" s="12">
        <v>0.5</v>
      </c>
      <c r="H4" s="12">
        <v>1.86</v>
      </c>
      <c r="I4" s="12">
        <v>2</v>
      </c>
      <c r="J4" s="12">
        <v>2.2000000000000002</v>
      </c>
      <c r="K4" s="12">
        <v>1.55</v>
      </c>
      <c r="L4" s="12">
        <v>4.95</v>
      </c>
      <c r="M4" s="12">
        <v>3.75</v>
      </c>
      <c r="N4" s="13">
        <v>30671611</v>
      </c>
      <c r="O4" s="12">
        <v>143357092</v>
      </c>
      <c r="P4" s="13">
        <v>42.12</v>
      </c>
      <c r="Q4" s="13">
        <v>4.01</v>
      </c>
      <c r="R4" s="13">
        <v>3621815</v>
      </c>
      <c r="S4" s="13" t="s">
        <v>43</v>
      </c>
      <c r="T4" t="s">
        <v>43</v>
      </c>
      <c r="U4">
        <v>37</v>
      </c>
      <c r="V4">
        <v>38</v>
      </c>
      <c r="W4">
        <v>1.61</v>
      </c>
      <c r="X4">
        <v>166</v>
      </c>
      <c r="Y4" s="15">
        <f>Table133[[#This Row],[Time until ideal entry + 390 (6:30)]]/(1440)</f>
        <v>0.29722222222222222</v>
      </c>
      <c r="Z4" s="18">
        <f>(F4-D4)/D4</f>
        <v>3.954545454545455</v>
      </c>
      <c r="AA4" s="18">
        <f>IF(Table133[[#This Row],[HOD AFTER PM HI]]&gt;=Table133[[#This Row],[PM Hi]],((Table133[[#This Row],[HOD AFTER PM HI]]-Table133[[#This Row],[Prior day close]])/Table133[[#This Row],[Prior day close]]),Table133[[#This Row],[Prior Close to PM Hi %]])</f>
        <v>10.25</v>
      </c>
      <c r="AB4" s="18">
        <f>(Table133[[#This Row],[Price at hi of squeeze]]-Table133[[#This Row],[MKT Open Price]])/Table133[[#This Row],[MKT Open Price]]</f>
        <v>0.875</v>
      </c>
      <c r="AC4" s="18">
        <f>(Table133[[#This Row],[Price at hi of squeeze]]-Table133[[#This Row],[PM Hi]])/Table133[[#This Row],[PM Hi]]</f>
        <v>0.72018348623853201</v>
      </c>
      <c r="AD4" s="18">
        <f>(M4-K4)/K4</f>
        <v>1.4193548387096775</v>
      </c>
      <c r="AE4" s="20">
        <f>Table133[[#This Row],[PM VOL]]/1000000/Table133[[#This Row],[FLOAT(M)]]</f>
        <v>0.90319576059850371</v>
      </c>
      <c r="AF4" s="23">
        <f>(Table133[[#This Row],[Volume]]/1000000)/Table133[[#This Row],[FLOAT(M)]]</f>
        <v>7.6487807980049878</v>
      </c>
      <c r="AG4" s="18">
        <f>(Table133[[#This Row],[Hi of Spike after open before drop]]-Table133[[#This Row],[MKT Open Price]])/Table133[[#This Row],[MKT Open Price]]</f>
        <v>0.10000000000000009</v>
      </c>
      <c r="AH4" s="18">
        <f>(Table133[[#This Row],[PM Hi]]-Table133[[#This Row],[MKT Open Price]])/(Table133[[#This Row],[PM Hi]])</f>
        <v>8.2568807339449615E-2</v>
      </c>
      <c r="AI4" s="16">
        <f>IF(Table133[[#This Row],[PM LO]]&gt;Table133[[#This Row],[Prior day close]],(Table133[[#This Row],[PM Hi]]-Table133[[#This Row],[MKT Open Price]])/(Table133[[#This Row],[PM Hi]]-Table133[[#This Row],[Prior day close]]),(Table133[[#This Row],[PM Hi]]-Table133[[#This Row],[MKT Open Price]])/(Table133[[#This Row],[PM Hi]]-Table133[[#This Row],[PM LO]]))</f>
        <v>0.10344827586206905</v>
      </c>
      <c r="AJ4" s="16">
        <f>IF(Table133[[#This Row],[Prior day close]]&lt;Table133[[#This Row],[PM LO]],(I4-K4)/(I4-Table133[[#This Row],[Prior day close]]),(I4-K4)/(I4-Table133[[#This Row],[PM LO]]))</f>
        <v>0.28846153846153844</v>
      </c>
      <c r="AK4" s="16">
        <f>Table133[[#This Row],[Spike % on open before drop]]+AL4</f>
        <v>0.32500000000000007</v>
      </c>
      <c r="AL4" s="16">
        <f t="shared" si="0"/>
        <v>0.22499999999999998</v>
      </c>
      <c r="AM4" s="18">
        <f>IF($J4&gt;=$F4,($J4-$K4)/($J4-$D4),(IF($H4&lt;=$K4,($F4-$H4)/($F4-$D4),(Table133[[#This Row],[PM Hi]]-Table133[[#This Row],[Lowest lo from open to squeeze]])/(Table133[[#This Row],[PM Hi]]-Table133[[#This Row],[Prior day close]]))))</f>
        <v>0.36931818181818182</v>
      </c>
      <c r="AN4" s="18">
        <f>IF(Table133[[#This Row],[Prior day close]]&lt;=Table133[[#This Row],[PM LO]],IF($J4&gt;=$F4,($J4-$K4)/($J4-Table133[[#This Row],[Prior day close]]),(IF($H4&lt;=$K4,($F4-$H4)/($F4-Table133[[#This Row],[Prior day close]]),(Table133[[#This Row],[PM Hi]]-Table133[[#This Row],[Lowest lo from open to squeeze]])/(Table133[[#This Row],[PM Hi]]-Table133[[#This Row],[Prior day close]])))),IF($J4&gt;=$F4,($J4-$K4)/($J4-Table133[[#This Row],[PM LO]]),(IF($H4&lt;=$K4,($F4-$H4)/($F4-Table133[[#This Row],[PM LO]]),(Table133[[#This Row],[PM Hi]]-Table133[[#This Row],[Lowest lo from open to squeeze]])/(Table133[[#This Row],[PM Hi]]-Table133[[#This Row],[PM LO]])))))</f>
        <v>0.36931818181818182</v>
      </c>
      <c r="AO4" s="18">
        <f>0.65/1.76</f>
        <v>0.36931818181818182</v>
      </c>
      <c r="AP4" s="17">
        <f>390+Table133[[#This Row],[Time until ideal entry point (mins) from open]]</f>
        <v>428</v>
      </c>
      <c r="AQ4" s="51">
        <f>(Table133[[#This Row],[Time until ideal entry + 390 (6:30)]]+Table133[[#This Row],[Duration of frontside (mins)]])/1440</f>
        <v>0.41249999999999998</v>
      </c>
    </row>
    <row r="5" spans="1:43" x14ac:dyDescent="0.25">
      <c r="A5" s="25" t="s">
        <v>63</v>
      </c>
      <c r="B5" s="11">
        <v>43920</v>
      </c>
      <c r="C5" s="47" t="s">
        <v>71</v>
      </c>
      <c r="D5" s="12">
        <v>0.52</v>
      </c>
      <c r="E5" s="13">
        <v>0.5</v>
      </c>
      <c r="F5" s="12">
        <v>1.25</v>
      </c>
      <c r="G5" s="12">
        <v>0.5</v>
      </c>
      <c r="H5" s="12">
        <v>0.95</v>
      </c>
      <c r="I5" s="12">
        <v>1</v>
      </c>
      <c r="J5" s="12">
        <v>1</v>
      </c>
      <c r="K5" s="12">
        <v>0.92</v>
      </c>
      <c r="L5" s="12">
        <v>1.91</v>
      </c>
      <c r="M5" s="12">
        <v>1.91</v>
      </c>
      <c r="N5" s="13">
        <v>62858519</v>
      </c>
      <c r="O5" s="12">
        <v>67735425</v>
      </c>
      <c r="P5" s="13">
        <v>15.75</v>
      </c>
      <c r="Q5" s="13">
        <v>11.7</v>
      </c>
      <c r="R5" s="13">
        <v>4158637</v>
      </c>
      <c r="S5" s="13" t="s">
        <v>43</v>
      </c>
      <c r="T5" t="s">
        <v>43</v>
      </c>
      <c r="U5">
        <v>2</v>
      </c>
      <c r="V5">
        <v>3</v>
      </c>
      <c r="W5">
        <v>0.97</v>
      </c>
      <c r="X5">
        <v>44</v>
      </c>
      <c r="Y5" s="15">
        <f>Table133[[#This Row],[Time until ideal entry + 390 (6:30)]]/(1440)</f>
        <v>0.27291666666666664</v>
      </c>
      <c r="Z5" s="18">
        <f>(F5-D5)/D5</f>
        <v>1.4038461538461537</v>
      </c>
      <c r="AA5" s="18">
        <f>IF(Table133[[#This Row],[HOD AFTER PM HI]]&gt;=Table133[[#This Row],[PM Hi]],((Table133[[#This Row],[HOD AFTER PM HI]]-Table133[[#This Row],[Prior day close]])/Table133[[#This Row],[Prior day close]]),Table133[[#This Row],[Prior Close to PM Hi %]])</f>
        <v>2.6730769230769229</v>
      </c>
      <c r="AB5" s="18">
        <f>(Table133[[#This Row],[Price at hi of squeeze]]-Table133[[#This Row],[MKT Open Price]])/Table133[[#This Row],[MKT Open Price]]</f>
        <v>0.90999999999999992</v>
      </c>
      <c r="AC5" s="18">
        <f>(Table133[[#This Row],[Price at hi of squeeze]]-Table133[[#This Row],[PM Hi]])/Table133[[#This Row],[PM Hi]]</f>
        <v>0.52799999999999991</v>
      </c>
      <c r="AD5" s="18">
        <f>(M5-K5)/K5</f>
        <v>1.076086956521739</v>
      </c>
      <c r="AE5" s="20">
        <f>Table133[[#This Row],[PM VOL]]/1000000/Table133[[#This Row],[FLOAT(M)]]</f>
        <v>0.35543905982905982</v>
      </c>
      <c r="AF5" s="23">
        <f>(Table133[[#This Row],[Volume]]/1000000)/Table133[[#This Row],[FLOAT(M)]]</f>
        <v>5.3725229914529917</v>
      </c>
      <c r="AG5" s="18">
        <f>(Table133[[#This Row],[Hi of Spike after open before drop]]-Table133[[#This Row],[MKT Open Price]])/Table133[[#This Row],[MKT Open Price]]</f>
        <v>0</v>
      </c>
      <c r="AH5" s="18">
        <f>(Table133[[#This Row],[PM Hi]]-Table133[[#This Row],[MKT Open Price]])/(Table133[[#This Row],[PM Hi]])</f>
        <v>0.2</v>
      </c>
      <c r="AI5" s="16">
        <f>IF(Table133[[#This Row],[PM LO]]&gt;Table133[[#This Row],[Prior day close]],(Table133[[#This Row],[PM Hi]]-Table133[[#This Row],[MKT Open Price]])/(Table133[[#This Row],[PM Hi]]-Table133[[#This Row],[Prior day close]]),(Table133[[#This Row],[PM Hi]]-Table133[[#This Row],[MKT Open Price]])/(Table133[[#This Row],[PM Hi]]-Table133[[#This Row],[PM LO]]))</f>
        <v>0.33333333333333331</v>
      </c>
      <c r="AJ5" s="16">
        <f>IF(Table133[[#This Row],[Prior day close]]&lt;Table133[[#This Row],[PM LO]],(I5-K5)/(I5-Table133[[#This Row],[Prior day close]]),(I5-K5)/(I5-Table133[[#This Row],[PM LO]]))</f>
        <v>0.15999999999999992</v>
      </c>
      <c r="AK5" s="16">
        <f>Table133[[#This Row],[Spike % on open before drop]]+AL5</f>
        <v>7.999999999999996E-2</v>
      </c>
      <c r="AL5" s="16">
        <f t="shared" si="0"/>
        <v>7.999999999999996E-2</v>
      </c>
      <c r="AM5" s="18">
        <f>IF($J5&gt;=$F5,($J5-$K5)/($J5-$D5),(IF($H5&lt;=$K5,($F5-$H5)/($F5-$D5),(Table133[[#This Row],[PM Hi]]-Table133[[#This Row],[Lowest lo from open to squeeze]])/(Table133[[#This Row],[PM Hi]]-Table133[[#This Row],[Prior day close]]))))</f>
        <v>0.45205479452054792</v>
      </c>
      <c r="AN5" s="18">
        <f>IF(Table133[[#This Row],[Prior day close]]&lt;=Table133[[#This Row],[PM LO]],IF($J5&gt;=$F5,($J5-$K5)/($J5-Table133[[#This Row],[Prior day close]]),(IF($H5&lt;=$K5,($F5-$H5)/($F5-Table133[[#This Row],[Prior day close]]),(Table133[[#This Row],[PM Hi]]-Table133[[#This Row],[Lowest lo from open to squeeze]])/(Table133[[#This Row],[PM Hi]]-Table133[[#This Row],[Prior day close]])))),IF($J5&gt;=$F5,($J5-$K5)/($J5-Table133[[#This Row],[PM LO]]),(IF($H5&lt;=$K5,($F5-$H5)/($F5-Table133[[#This Row],[PM LO]]),(Table133[[#This Row],[PM Hi]]-Table133[[#This Row],[Lowest lo from open to squeeze]])/(Table133[[#This Row],[PM Hi]]-Table133[[#This Row],[PM LO]])))))</f>
        <v>0.43999999999999995</v>
      </c>
      <c r="AO5" s="18">
        <f>0.33/0.73</f>
        <v>0.45205479452054798</v>
      </c>
      <c r="AP5" s="17">
        <f>390+Table133[[#This Row],[Time until ideal entry point (mins) from open]]</f>
        <v>393</v>
      </c>
      <c r="AQ5" s="51">
        <f>(Table133[[#This Row],[Time until ideal entry + 390 (6:30)]]+Table133[[#This Row],[Duration of frontside (mins)]])/1440</f>
        <v>0.3034722222222222</v>
      </c>
    </row>
    <row r="6" spans="1:43" x14ac:dyDescent="0.25">
      <c r="A6" s="25" t="s">
        <v>62</v>
      </c>
      <c r="B6" s="11">
        <v>43917</v>
      </c>
      <c r="C6" s="47" t="s">
        <v>143</v>
      </c>
      <c r="D6" s="12">
        <v>0.54</v>
      </c>
      <c r="E6" s="13">
        <v>0.59</v>
      </c>
      <c r="F6" s="12">
        <v>2.4500000000000002</v>
      </c>
      <c r="G6" s="12">
        <v>0.59</v>
      </c>
      <c r="H6" s="12">
        <v>1.96</v>
      </c>
      <c r="I6" s="12">
        <v>2.1</v>
      </c>
      <c r="J6" s="12">
        <v>2.29</v>
      </c>
      <c r="K6" s="12">
        <v>1.77</v>
      </c>
      <c r="L6" s="12">
        <v>2.58</v>
      </c>
      <c r="M6" s="12">
        <v>2.58</v>
      </c>
      <c r="N6" s="13">
        <v>52904773</v>
      </c>
      <c r="O6" s="12">
        <v>55298227</v>
      </c>
      <c r="P6" s="13">
        <v>10.1</v>
      </c>
      <c r="Q6" s="13">
        <v>6.89</v>
      </c>
      <c r="R6" s="13">
        <v>4672620</v>
      </c>
      <c r="S6" s="13" t="s">
        <v>43</v>
      </c>
      <c r="T6" t="s">
        <v>43</v>
      </c>
      <c r="U6">
        <v>53</v>
      </c>
      <c r="V6">
        <v>54</v>
      </c>
      <c r="W6">
        <v>1.87</v>
      </c>
      <c r="X6">
        <v>30</v>
      </c>
      <c r="Y6" s="15">
        <f>Table133[[#This Row],[Time until ideal entry + 390 (6:30)]]/(1440)</f>
        <v>0.30833333333333335</v>
      </c>
      <c r="Z6" s="18">
        <f>(L6-D6)/D6</f>
        <v>3.7777777777777777</v>
      </c>
      <c r="AA6" s="18">
        <f>IF(Table133[[#This Row],[HOD AFTER PM HI]]&gt;=Table133[[#This Row],[PM Hi]],((Table133[[#This Row],[HOD AFTER PM HI]]-Table133[[#This Row],[Prior day close]])/Table133[[#This Row],[Prior day close]]),Table133[[#This Row],[Prior Close to PM Hi %]])</f>
        <v>3.7777777777777777</v>
      </c>
      <c r="AB6" s="18">
        <f>(Table133[[#This Row],[Price at hi of squeeze]]-Table133[[#This Row],[MKT Open Price]])/Table133[[#This Row],[MKT Open Price]]</f>
        <v>0.22857142857142856</v>
      </c>
      <c r="AC6" s="18">
        <f>(Table133[[#This Row],[Price at hi of squeeze]]-Table133[[#This Row],[PM Hi]])/Table133[[#This Row],[PM Hi]]</f>
        <v>5.3061224489795868E-2</v>
      </c>
      <c r="AD6" s="18">
        <f>(M6-K6)/K6</f>
        <v>0.4576271186440678</v>
      </c>
      <c r="AE6" s="20">
        <f>Table133[[#This Row],[PM VOL]]/1000000/Table133[[#This Row],[FLOAT(M)]]</f>
        <v>0.67817416545718434</v>
      </c>
      <c r="AF6" s="23">
        <f>(Table133[[#This Row],[Volume]]/1000000)/Table133[[#This Row],[FLOAT(M)]]</f>
        <v>7.6784866473149496</v>
      </c>
      <c r="AG6" s="18">
        <f>(Table133[[#This Row],[Hi of Spike after open before drop]]-Table133[[#This Row],[MKT Open Price]])/Table133[[#This Row],[MKT Open Price]]</f>
        <v>9.0476190476190446E-2</v>
      </c>
      <c r="AH6" s="18">
        <f>(Table133[[#This Row],[PM Hi]]-Table133[[#This Row],[MKT Open Price]])/(Table133[[#This Row],[PM Hi]])</f>
        <v>0.14285714285714288</v>
      </c>
      <c r="AI6" s="16">
        <f>IF(Table133[[#This Row],[PM LO]]&gt;Table133[[#This Row],[Prior day close]],(Table133[[#This Row],[PM Hi]]-Table133[[#This Row],[MKT Open Price]])/(Table133[[#This Row],[PM Hi]]-Table133[[#This Row],[Prior day close]]),(Table133[[#This Row],[PM Hi]]-Table133[[#This Row],[MKT Open Price]])/(Table133[[#This Row],[PM Hi]]-Table133[[#This Row],[PM LO]]))</f>
        <v>0.18324607329842935</v>
      </c>
      <c r="AJ6" s="16">
        <f>IF(Table133[[#This Row],[Prior day close]]&lt;Table133[[#This Row],[PM LO]],(I6-K6)/(I6-Table133[[#This Row],[Prior day close]]),(I6-K6)/(I6-Table133[[#This Row],[PM LO]]))</f>
        <v>0.21153846153846156</v>
      </c>
      <c r="AK6" s="16">
        <f>Table133[[#This Row],[Spike % on open before drop]]+AL6</f>
        <v>0.24761904761904763</v>
      </c>
      <c r="AL6" s="16">
        <f t="shared" si="0"/>
        <v>0.15714285714285717</v>
      </c>
      <c r="AM6" s="18">
        <f>IF($J6&gt;=$F6,($J6-$K6)/($J6-$D6),(IF($H6&lt;=$K6,($F6-$H6)/($F6-$D6),(Table133[[#This Row],[PM Hi]]-Table133[[#This Row],[Lowest lo from open to squeeze]])/(Table133[[#This Row],[PM Hi]]-Table133[[#This Row],[Prior day close]]))))</f>
        <v>0.35602094240837701</v>
      </c>
      <c r="AN6" s="18">
        <f>IF(Table133[[#This Row],[Prior day close]]&lt;=Table133[[#This Row],[PM LO]],IF($J6&gt;=$F6,($J6-$K6)/($J6-Table133[[#This Row],[Prior day close]]),(IF($H6&lt;=$K6,($F6-$H6)/($F6-Table133[[#This Row],[Prior day close]]),(Table133[[#This Row],[PM Hi]]-Table133[[#This Row],[Lowest lo from open to squeeze]])/(Table133[[#This Row],[PM Hi]]-Table133[[#This Row],[Prior day close]])))),IF($J6&gt;=$F6,($J6-$K6)/($J6-Table133[[#This Row],[PM LO]]),(IF($H6&lt;=$K6,($F6-$H6)/($F6-Table133[[#This Row],[PM LO]]),(Table133[[#This Row],[PM Hi]]-Table133[[#This Row],[Lowest lo from open to squeeze]])/(Table133[[#This Row],[PM Hi]]-Table133[[#This Row],[PM LO]])))))</f>
        <v>0.35602094240837701</v>
      </c>
      <c r="AO6" s="18">
        <f>0.68/1.92</f>
        <v>0.35416666666666669</v>
      </c>
      <c r="AP6" s="17">
        <f>390+Table133[[#This Row],[Time until ideal entry point (mins) from open]]</f>
        <v>444</v>
      </c>
      <c r="AQ6" s="51">
        <f>(Table133[[#This Row],[Time until ideal entry + 390 (6:30)]]+Table133[[#This Row],[Duration of frontside (mins)]])/1440</f>
        <v>0.32916666666666666</v>
      </c>
    </row>
    <row r="7" spans="1:43" x14ac:dyDescent="0.25">
      <c r="A7" s="24" t="s">
        <v>181</v>
      </c>
      <c r="B7" s="47">
        <v>43952</v>
      </c>
      <c r="C7" s="47" t="s">
        <v>71</v>
      </c>
      <c r="D7" s="12">
        <v>0.63</v>
      </c>
      <c r="E7" s="13">
        <f>Table133[[#This Row],[Prior day close]]</f>
        <v>0.63</v>
      </c>
      <c r="F7" s="12">
        <v>1.64</v>
      </c>
      <c r="G7" s="12">
        <v>0.75</v>
      </c>
      <c r="H7" s="12">
        <v>1.36</v>
      </c>
      <c r="I7" s="12">
        <v>1.49</v>
      </c>
      <c r="J7" s="12">
        <v>1.5</v>
      </c>
      <c r="K7" s="12">
        <v>1.32</v>
      </c>
      <c r="L7" s="12">
        <v>1.65</v>
      </c>
      <c r="M7" s="12">
        <v>1.65</v>
      </c>
      <c r="N7" s="13">
        <v>20041685</v>
      </c>
      <c r="O7" s="12">
        <v>20041685</v>
      </c>
      <c r="P7" s="37">
        <v>22</v>
      </c>
      <c r="Q7" s="46"/>
      <c r="R7" s="37">
        <v>1918823</v>
      </c>
      <c r="S7" s="37" t="s">
        <v>41</v>
      </c>
      <c r="T7" s="37" t="s">
        <v>43</v>
      </c>
      <c r="U7" s="38">
        <v>5</v>
      </c>
      <c r="V7" s="46">
        <v>5</v>
      </c>
      <c r="W7" s="37">
        <v>1.37</v>
      </c>
      <c r="X7" s="46">
        <v>4</v>
      </c>
      <c r="Y7" s="41">
        <f>Table133[[#This Row],[Time until ideal entry + 390 (6:30)]]/(1440)</f>
        <v>0.27430555555555558</v>
      </c>
      <c r="Z7" s="18">
        <f t="shared" ref="Z7:Z38" si="1">(F7-D7)/D7</f>
        <v>1.6031746031746028</v>
      </c>
      <c r="AA7" s="18">
        <f>IF(Table133[[#This Row],[HOD AFTER PM HI]]&gt;=Table133[[#This Row],[PM Hi]],((Table133[[#This Row],[HOD AFTER PM HI]]-Table133[[#This Row],[Prior day close]])/Table133[[#This Row],[Prior day close]]),Table133[[#This Row],[Prior Close to PM Hi %]])</f>
        <v>1.6190476190476191</v>
      </c>
      <c r="AB7" s="42">
        <f>(Table133[[#This Row],[Price at hi of squeeze]]-Table133[[#This Row],[MKT Open Price]])/Table133[[#This Row],[MKT Open Price]]</f>
        <v>0.10738255033557041</v>
      </c>
      <c r="AC7" s="18">
        <f>(Table133[[#This Row],[Price at hi of squeeze]]-Table133[[#This Row],[PM Hi]])/Table133[[#This Row],[PM Hi]]</f>
        <v>6.0975609756097615E-3</v>
      </c>
      <c r="AD7" s="18"/>
      <c r="AE7" s="20" t="e">
        <f>Table133[[#This Row],[PM VOL]]/1000000/Table133[[#This Row],[FLOAT(M)]]</f>
        <v>#DIV/0!</v>
      </c>
      <c r="AF7" s="23" t="e">
        <f>(Table133[[#This Row],[Volume]]/1000000)/Table133[[#This Row],[FLOAT(M)]]</f>
        <v>#DIV/0!</v>
      </c>
      <c r="AH7" s="18">
        <f>(Table133[[#This Row],[PM Hi]]-Table133[[#This Row],[MKT Open Price]])/(Table133[[#This Row],[PM Hi]])</f>
        <v>9.1463414634146298E-2</v>
      </c>
      <c r="AI7" s="18">
        <f>IF(Table133[[#This Row],[PM LO]]&gt;Table133[[#This Row],[Prior day close]],(Table133[[#This Row],[PM Hi]]-Table133[[#This Row],[MKT Open Price]])/(Table133[[#This Row],[PM Hi]]-Table133[[#This Row],[Prior day close]]),(Table133[[#This Row],[PM Hi]]-Table133[[#This Row],[MKT Open Price]])/(Table133[[#This Row],[PM Hi]]-Table133[[#This Row],[PM LO]]))</f>
        <v>0.14851485148514845</v>
      </c>
      <c r="AJ7" s="48">
        <f>IF(Table133[[#This Row],[Prior day close]]&lt;Table133[[#This Row],[PM LO]],(I7-K7)/(I7-Table133[[#This Row],[Prior day close]]),(I7-K7)/(I7-Table133[[#This Row],[PM LO]]))</f>
        <v>0.19767441860465107</v>
      </c>
      <c r="AK7" s="48">
        <f>Table133[[#This Row],[Spike % on open before drop]]+AL7</f>
        <v>0.11409395973154357</v>
      </c>
      <c r="AL7" s="16">
        <f t="shared" si="0"/>
        <v>0.11409395973154357</v>
      </c>
      <c r="AM7" s="18">
        <f>IF($J7&gt;=$F7,($J7-$K7)/($J7),(IF($H7&lt;=$K7,($F7-$H7)/($F7),(Table133[[#This Row],[PM Hi]]-Table133[[#This Row],[Lowest lo from open to squeeze]])/(Table133[[#This Row],[PM Hi]]))))</f>
        <v>0.19512195121951212</v>
      </c>
      <c r="AN7" s="48">
        <f>IF(Table133[[#This Row],[Prior day close]]&lt;=Table133[[#This Row],[PM LO]],IF($J7&gt;=$F7,($J7-$K7)/($J7-Table133[[#This Row],[Prior day close]]),(IF($H7&lt;=$K7,($F7-$H7)/($F7-Table133[[#This Row],[Prior day close]]),(Table133[[#This Row],[PM Hi]]-Table133[[#This Row],[Lowest lo from open to squeeze]])/(Table133[[#This Row],[PM Hi]]-Table133[[#This Row],[Prior day close]])))),IF($J7&gt;=$F7,($J7-$K7)/($J7-Table133[[#This Row],[PM LO]]),(IF($H7&lt;=$K7,($F7-$H7)/($F7-Table133[[#This Row],[PM LO]]),(Table133[[#This Row],[PM Hi]]-Table133[[#This Row],[Lowest lo from open to squeeze]])/(Table133[[#This Row],[PM Hi]]-Table133[[#This Row],[PM LO]])))))</f>
        <v>0.31683168316831672</v>
      </c>
      <c r="AO7" s="18">
        <f>IF(J7&gt;=F7,(J7-K7)/(J7-D7),(IF(H7&lt;=K7,(F7-H7)/(F7-D7),(Table133[[#This Row],[PM Hi]]-Table133[[#This Row],[Lowest lo from open to squeeze]])/(Table133[[#This Row],[PM Hi]]-Table133[[#This Row],[Prior day close]]))))</f>
        <v>0.31683168316831672</v>
      </c>
      <c r="AP7" s="17">
        <f>390+Table133[[#This Row],[Time until ideal entry point (mins) from open]]</f>
        <v>395</v>
      </c>
      <c r="AQ7" s="17">
        <f>Table133[[#This Row],[Time until ideal entry + 390 (6:30)]]+Table133[[#This Row],[Duration of frontside (mins)]]</f>
        <v>399</v>
      </c>
    </row>
    <row r="8" spans="1:43" x14ac:dyDescent="0.25">
      <c r="A8" s="24" t="s">
        <v>187</v>
      </c>
      <c r="B8" s="45">
        <v>43971</v>
      </c>
      <c r="C8" s="47" t="s">
        <v>71</v>
      </c>
      <c r="D8" s="12">
        <v>0.68</v>
      </c>
      <c r="E8" s="13">
        <f>Table133[[#This Row],[Prior day close]]</f>
        <v>0.68</v>
      </c>
      <c r="F8" s="12">
        <v>1.2</v>
      </c>
      <c r="G8" s="12">
        <v>0.68</v>
      </c>
      <c r="H8" s="12">
        <v>0.88</v>
      </c>
      <c r="I8" s="12">
        <v>1</v>
      </c>
      <c r="J8" s="12">
        <v>1</v>
      </c>
      <c r="K8" s="12">
        <v>0.97</v>
      </c>
      <c r="L8" s="12">
        <v>3</v>
      </c>
      <c r="M8" s="12">
        <v>3</v>
      </c>
      <c r="N8" s="13">
        <v>74751087</v>
      </c>
      <c r="O8" s="12">
        <v>107267809</v>
      </c>
      <c r="P8" s="37">
        <v>27</v>
      </c>
      <c r="Q8" s="46">
        <v>25</v>
      </c>
      <c r="R8" s="37">
        <v>3299520</v>
      </c>
      <c r="S8" s="37" t="s">
        <v>41</v>
      </c>
      <c r="T8" s="37" t="s">
        <v>43</v>
      </c>
      <c r="U8" s="38">
        <v>1</v>
      </c>
      <c r="V8" s="46">
        <v>1</v>
      </c>
      <c r="W8" s="37">
        <v>0.97</v>
      </c>
      <c r="X8" s="46">
        <v>52</v>
      </c>
      <c r="Y8" s="41">
        <f>Table133[[#This Row],[Time until ideal entry + 390 (6:30)]]/(1440)</f>
        <v>0.27152777777777776</v>
      </c>
      <c r="Z8" s="18">
        <f t="shared" si="1"/>
        <v>0.76470588235294101</v>
      </c>
      <c r="AA8" s="18">
        <f>IF(Table133[[#This Row],[HOD AFTER PM HI]]&gt;=Table133[[#This Row],[PM Hi]],((Table133[[#This Row],[HOD AFTER PM HI]]-Table133[[#This Row],[Prior day close]])/Table133[[#This Row],[Prior day close]]),Table133[[#This Row],[Prior Close to PM Hi %]])</f>
        <v>3.4117647058823524</v>
      </c>
      <c r="AB8" s="42">
        <f>(Table133[[#This Row],[Price at hi of squeeze]]-Table133[[#This Row],[MKT Open Price]])/Table133[[#This Row],[MKT Open Price]]</f>
        <v>2</v>
      </c>
      <c r="AC8" s="18">
        <f>(Table133[[#This Row],[Price at hi of squeeze]]-Table133[[#This Row],[PM Hi]])/Table133[[#This Row],[PM Hi]]</f>
        <v>1.5</v>
      </c>
      <c r="AD8" s="18"/>
      <c r="AE8" s="20">
        <f>Table133[[#This Row],[PM VOL]]/1000000/Table133[[#This Row],[FLOAT(M)]]</f>
        <v>0.13198079999999998</v>
      </c>
      <c r="AF8" s="23">
        <f>(Table133[[#This Row],[Volume]]/1000000)/Table133[[#This Row],[FLOAT(M)]]</f>
        <v>2.9900434799999998</v>
      </c>
      <c r="AH8" s="18">
        <f>(Table133[[#This Row],[PM Hi]]-Table133[[#This Row],[MKT Open Price]])/(Table133[[#This Row],[PM Hi]])</f>
        <v>0.16666666666666663</v>
      </c>
      <c r="AI8" s="18">
        <f>IF(Table133[[#This Row],[PM LO]]&gt;Table133[[#This Row],[Prior day close]],(Table133[[#This Row],[PM Hi]]-Table133[[#This Row],[MKT Open Price]])/(Table133[[#This Row],[PM Hi]]-Table133[[#This Row],[Prior day close]]),(Table133[[#This Row],[PM Hi]]-Table133[[#This Row],[MKT Open Price]])/(Table133[[#This Row],[PM Hi]]-Table133[[#This Row],[PM LO]]))</f>
        <v>0.38461538461538458</v>
      </c>
      <c r="AJ8" s="48">
        <f>IF(Table133[[#This Row],[Prior day close]]&lt;Table133[[#This Row],[PM LO]],(I8-K8)/(I8-Table133[[#This Row],[Prior day close]]),(I8-K8)/(I8-Table133[[#This Row],[PM LO]]))</f>
        <v>9.3750000000000097E-2</v>
      </c>
      <c r="AK8" s="48">
        <f>Table133[[#This Row],[Spike % on open before drop]]+AL8</f>
        <v>3.0000000000000027E-2</v>
      </c>
      <c r="AL8" s="16">
        <f t="shared" si="0"/>
        <v>3.0000000000000027E-2</v>
      </c>
      <c r="AM8" s="18">
        <f>IF($J8&gt;=$F8,($J8-$K8)/($J8),(IF($H8&lt;=$K8,($F8-$H8)/($F8),(Table133[[#This Row],[PM Hi]]-Table133[[#This Row],[Lowest lo from open to squeeze]])/(Table133[[#This Row],[PM Hi]]))))</f>
        <v>0.26666666666666666</v>
      </c>
      <c r="AN8" s="48">
        <f>IF(Table133[[#This Row],[Prior day close]]&lt;=Table133[[#This Row],[PM LO]],IF($J8&gt;=$F8,($J8-$K8)/($J8-Table133[[#This Row],[Prior day close]]),(IF($H8&lt;=$K8,($F8-$H8)/($F8-Table133[[#This Row],[Prior day close]]),(Table133[[#This Row],[PM Hi]]-Table133[[#This Row],[Lowest lo from open to squeeze]])/(Table133[[#This Row],[PM Hi]]-Table133[[#This Row],[Prior day close]])))),IF($J8&gt;=$F8,($J8-$K8)/($J8-Table133[[#This Row],[PM LO]]),(IF($H8&lt;=$K8,($F8-$H8)/($F8-Table133[[#This Row],[PM LO]]),(Table133[[#This Row],[PM Hi]]-Table133[[#This Row],[Lowest lo from open to squeeze]])/(Table133[[#This Row],[PM Hi]]-Table133[[#This Row],[PM LO]])))))</f>
        <v>0.61538461538461542</v>
      </c>
      <c r="AO8" s="18">
        <f>IF(J8&gt;=F8,(J8-K8)/(J8-D8),(IF(H8&lt;=K8,(F8-H8)/(F8-D8),(Table133[[#This Row],[PM Hi]]-Table133[[#This Row],[Lowest lo from open to squeeze]])/(Table133[[#This Row],[PM Hi]]-Table133[[#This Row],[Prior day close]]))))</f>
        <v>0.61538461538461542</v>
      </c>
      <c r="AP8" s="17">
        <f>390+Table133[[#This Row],[Time until ideal entry point (mins) from open]]</f>
        <v>391</v>
      </c>
      <c r="AQ8" s="17">
        <f>Table133[[#This Row],[Time until ideal entry + 390 (6:30)]]+Table133[[#This Row],[Duration of frontside (mins)]]</f>
        <v>443</v>
      </c>
    </row>
    <row r="9" spans="1:43" x14ac:dyDescent="0.25">
      <c r="A9" s="10" t="s">
        <v>82</v>
      </c>
      <c r="B9" s="11">
        <v>43991</v>
      </c>
      <c r="C9" s="47" t="s">
        <v>71</v>
      </c>
      <c r="D9" s="12">
        <v>0.69</v>
      </c>
      <c r="E9" s="13">
        <v>0.69</v>
      </c>
      <c r="F9" s="12">
        <v>1.1499999999999999</v>
      </c>
      <c r="G9" s="12">
        <v>0.65</v>
      </c>
      <c r="H9" s="12">
        <v>0.9</v>
      </c>
      <c r="I9" s="12">
        <v>0.94</v>
      </c>
      <c r="J9" s="12">
        <v>0.94</v>
      </c>
      <c r="K9" s="12">
        <v>0.85</v>
      </c>
      <c r="L9" s="12">
        <v>2.62</v>
      </c>
      <c r="M9" s="12">
        <v>2.62</v>
      </c>
      <c r="N9" s="13">
        <v>155918020</v>
      </c>
      <c r="O9" s="12">
        <v>249468832</v>
      </c>
      <c r="P9" s="13">
        <v>4.92</v>
      </c>
      <c r="Q9">
        <v>6.72</v>
      </c>
      <c r="R9" s="13">
        <v>7151620</v>
      </c>
      <c r="S9" s="13" t="s">
        <v>43</v>
      </c>
      <c r="T9" t="s">
        <v>43</v>
      </c>
      <c r="U9">
        <v>3</v>
      </c>
      <c r="V9">
        <v>4</v>
      </c>
      <c r="W9">
        <v>0.87</v>
      </c>
      <c r="X9">
        <v>297</v>
      </c>
      <c r="Y9" s="15">
        <f>Table133[[#This Row],[Time until ideal entry + 390 (6:30)]]/(1440)</f>
        <v>0.27361111111111114</v>
      </c>
      <c r="Z9" s="18">
        <f t="shared" si="1"/>
        <v>0.66666666666666663</v>
      </c>
      <c r="AA9" s="18">
        <f>IF(Table133[[#This Row],[HOD AFTER PM HI]]&gt;=Table133[[#This Row],[PM Hi]],((Table133[[#This Row],[HOD AFTER PM HI]]-Table133[[#This Row],[Prior day close]])/Table133[[#This Row],[Prior day close]]),Table133[[#This Row],[Prior Close to PM Hi %]])</f>
        <v>2.7971014492753628</v>
      </c>
      <c r="AB9" s="18">
        <f>(Table133[[#This Row],[Price at hi of squeeze]]-Table133[[#This Row],[MKT Open Price]])/Table133[[#This Row],[MKT Open Price]]</f>
        <v>1.7872340425531918</v>
      </c>
      <c r="AC9" s="18">
        <f>(Table133[[#This Row],[Price at hi of squeeze]]-Table133[[#This Row],[PM Hi]])/Table133[[#This Row],[PM Hi]]</f>
        <v>1.2782608695652176</v>
      </c>
      <c r="AD9" s="18">
        <f>(M9-K9)/K9</f>
        <v>2.0823529411764707</v>
      </c>
      <c r="AE9" s="20">
        <f>Table133[[#This Row],[PM VOL]]/1000000/Table133[[#This Row],[FLOAT(M)]]</f>
        <v>1.0642291666666668</v>
      </c>
      <c r="AF9" s="21">
        <f>(Table133[[#This Row],[Volume]]/1000000)/Table133[[#This Row],[FLOAT(M)]]</f>
        <v>23.202086309523811</v>
      </c>
      <c r="AG9" s="18">
        <f>(Table133[[#This Row],[Hi of Spike after open before drop]]-Table133[[#This Row],[MKT Open Price]])/Table133[[#This Row],[MKT Open Price]]</f>
        <v>0</v>
      </c>
      <c r="AH9" s="18">
        <f>(Table133[[#This Row],[PM Hi]]-Table133[[#This Row],[MKT Open Price]])/(Table133[[#This Row],[PM Hi]])</f>
        <v>0.18260869565217389</v>
      </c>
      <c r="AI9" s="16">
        <f>IF(Table133[[#This Row],[PM LO]]&gt;Table133[[#This Row],[Prior day close]],(Table133[[#This Row],[PM Hi]]-Table133[[#This Row],[MKT Open Price]])/(Table133[[#This Row],[PM Hi]]-Table133[[#This Row],[Prior day close]]),(Table133[[#This Row],[PM Hi]]-Table133[[#This Row],[MKT Open Price]])/(Table133[[#This Row],[PM Hi]]-Table133[[#This Row],[PM LO]]))</f>
        <v>0.42000000000000004</v>
      </c>
      <c r="AJ9" s="16">
        <f>IF(Table133[[#This Row],[Prior day close]]&lt;Table133[[#This Row],[PM LO]],(I9-K9)/(I9-Table133[[#This Row],[Prior day close]]),(I9-K9)/(I9-Table133[[#This Row],[PM LO]]))</f>
        <v>0.31034482758620685</v>
      </c>
      <c r="AK9" s="16">
        <f>Table133[[#This Row],[Spike % on open before drop]]+AL9</f>
        <v>9.5744680851063801E-2</v>
      </c>
      <c r="AL9" s="16">
        <f t="shared" si="0"/>
        <v>9.5744680851063801E-2</v>
      </c>
      <c r="AM9" s="18">
        <f>IF($J9&gt;=$F9,($J9-$K9)/($J9),(IF($H9&lt;=$K9,($F9-$H9)/($F9),(Table133[[#This Row],[PM Hi]]-Table133[[#This Row],[Lowest lo from open to squeeze]])/(Table133[[#This Row],[PM Hi]]))))</f>
        <v>0.26086956521739124</v>
      </c>
      <c r="AN9" s="18">
        <f>IF(Table133[[#This Row],[Prior day close]]&lt;=Table133[[#This Row],[PM LO]],IF($J9&gt;=$F9,($J9-$K9)/($J9-Table133[[#This Row],[Prior day close]]),(IF($H9&lt;=$K9,($F9-$H9)/($F9-Table133[[#This Row],[Prior day close]]),(Table133[[#This Row],[PM Hi]]-Table133[[#This Row],[Lowest lo from open to squeeze]])/(Table133[[#This Row],[PM Hi]]-Table133[[#This Row],[Prior day close]])))),IF($J9&gt;=$F9,($J9-$K9)/($J9-Table133[[#This Row],[PM LO]]),(IF($H9&lt;=$K9,($F9-$H9)/($F9-Table133[[#This Row],[PM LO]]),(Table133[[#This Row],[PM Hi]]-Table133[[#This Row],[Lowest lo from open to squeeze]])/(Table133[[#This Row],[PM Hi]]-Table133[[#This Row],[PM LO]])))))</f>
        <v>0.6</v>
      </c>
      <c r="AO9" s="18">
        <f>IF(J9&gt;=F9,(J9-K9)/(J9-D9),(IF(H9&lt;=K9,(F9-H9)/(F9-D9),(Table133[[#This Row],[PM Hi]]-Table133[[#This Row],[Lowest lo from open to squeeze]])/(Table133[[#This Row],[PM Hi]]-Table133[[#This Row],[Prior day close]]))))</f>
        <v>0.65217391304347816</v>
      </c>
      <c r="AP9" s="17">
        <f>390+Table133[[#This Row],[Time until ideal entry point (mins) from open]]</f>
        <v>394</v>
      </c>
      <c r="AQ9" s="51">
        <f>(Table133[[#This Row],[Time until ideal entry + 390 (6:30)]]+Table133[[#This Row],[Duration of frontside (mins)]])/1440</f>
        <v>0.47986111111111113</v>
      </c>
    </row>
    <row r="10" spans="1:43" x14ac:dyDescent="0.25">
      <c r="A10" s="10" t="s">
        <v>70</v>
      </c>
      <c r="B10" s="11">
        <v>43970</v>
      </c>
      <c r="C10" s="47" t="s">
        <v>71</v>
      </c>
      <c r="D10" s="12">
        <v>0.75</v>
      </c>
      <c r="E10" s="13">
        <v>0.8</v>
      </c>
      <c r="F10" s="12">
        <v>1.5</v>
      </c>
      <c r="G10" s="12">
        <v>0.8</v>
      </c>
      <c r="H10" s="12">
        <v>1.17</v>
      </c>
      <c r="I10" s="12">
        <v>1.24</v>
      </c>
      <c r="J10" s="12">
        <v>1.29</v>
      </c>
      <c r="K10" s="12">
        <v>1.1399999999999999</v>
      </c>
      <c r="L10" s="12">
        <v>3.97</v>
      </c>
      <c r="M10" s="12">
        <v>3.97</v>
      </c>
      <c r="N10" s="13">
        <v>299097818</v>
      </c>
      <c r="O10" s="12">
        <v>1039156204</v>
      </c>
      <c r="P10" s="13">
        <v>6.28</v>
      </c>
      <c r="Q10">
        <v>7.73</v>
      </c>
      <c r="R10" s="13">
        <v>5868098</v>
      </c>
      <c r="S10" s="13" t="s">
        <v>43</v>
      </c>
      <c r="T10" t="s">
        <v>43</v>
      </c>
      <c r="U10">
        <v>3</v>
      </c>
      <c r="V10">
        <v>4</v>
      </c>
      <c r="W10">
        <v>1.17</v>
      </c>
      <c r="X10">
        <v>214</v>
      </c>
      <c r="Y10" s="15">
        <f>Table133[[#This Row],[Time until ideal entry + 390 (6:30)]]/(1440)</f>
        <v>0.27361111111111114</v>
      </c>
      <c r="Z10" s="18">
        <f t="shared" si="1"/>
        <v>1</v>
      </c>
      <c r="AA10" s="18">
        <f>IF(Table133[[#This Row],[HOD AFTER PM HI]]&gt;=Table133[[#This Row],[PM Hi]],((Table133[[#This Row],[HOD AFTER PM HI]]-Table133[[#This Row],[Prior day close]])/Table133[[#This Row],[Prior day close]]),Table133[[#This Row],[Prior Close to PM Hi %]])</f>
        <v>4.2933333333333339</v>
      </c>
      <c r="AB10" s="18">
        <f>(Table133[[#This Row],[Price at hi of squeeze]]-Table133[[#This Row],[MKT Open Price]])/Table133[[#This Row],[MKT Open Price]]</f>
        <v>2.2016129032258069</v>
      </c>
      <c r="AC10" s="18">
        <f>(Table133[[#This Row],[Price at hi of squeeze]]-Table133[[#This Row],[PM Hi]])/Table133[[#This Row],[PM Hi]]</f>
        <v>1.6466666666666667</v>
      </c>
      <c r="AD10" s="18">
        <f>(M10-K10)/K10</f>
        <v>2.4824561403508776</v>
      </c>
      <c r="AE10" s="20">
        <f>Table133[[#This Row],[PM VOL]]/1000000/Table133[[#This Row],[FLOAT(M)]]</f>
        <v>0.75913298835705034</v>
      </c>
      <c r="AF10" s="21">
        <f>(Table133[[#This Row],[Volume]]/1000000)/Table133[[#This Row],[FLOAT(M)]]</f>
        <v>38.69312005174644</v>
      </c>
      <c r="AG10" s="18">
        <f>(Table133[[#This Row],[Hi of Spike after open before drop]]-Table133[[#This Row],[MKT Open Price]])/Table133[[#This Row],[MKT Open Price]]</f>
        <v>4.0322580645161324E-2</v>
      </c>
      <c r="AH10" s="18">
        <f>(Table133[[#This Row],[PM Hi]]-Table133[[#This Row],[MKT Open Price]])/(Table133[[#This Row],[PM Hi]])</f>
        <v>0.17333333333333334</v>
      </c>
      <c r="AI10" s="16">
        <f>IF(Table133[[#This Row],[PM LO]]&gt;Table133[[#This Row],[Prior day close]],(Table133[[#This Row],[PM Hi]]-Table133[[#This Row],[MKT Open Price]])/(Table133[[#This Row],[PM Hi]]-Table133[[#This Row],[Prior day close]]),(Table133[[#This Row],[PM Hi]]-Table133[[#This Row],[MKT Open Price]])/(Table133[[#This Row],[PM Hi]]-Table133[[#This Row],[PM LO]]))</f>
        <v>0.34666666666666668</v>
      </c>
      <c r="AJ10" s="16">
        <f>IF(Table133[[#This Row],[Prior day close]]&lt;Table133[[#This Row],[PM LO]],(I10-K10)/(I10-Table133[[#This Row],[Prior day close]]),(I10-K10)/(I10-Table133[[#This Row],[PM LO]]))</f>
        <v>0.20408163265306142</v>
      </c>
      <c r="AK10" s="16">
        <f>Table133[[#This Row],[Spike % on open before drop]]+AL10</f>
        <v>0.12096774193548397</v>
      </c>
      <c r="AL10" s="16">
        <f t="shared" si="0"/>
        <v>8.0645161290322648E-2</v>
      </c>
      <c r="AM10" s="18">
        <f>IF($J10&gt;=$F10,($J10-$K10)/($J10),(IF($H10&lt;=$K10,($F10-$H10)/($F10),(Table133[[#This Row],[PM Hi]]-Table133[[#This Row],[Lowest lo from open to squeeze]])/(Table133[[#This Row],[PM Hi]]))))</f>
        <v>0.24000000000000007</v>
      </c>
      <c r="AN10" s="18">
        <f>IF(Table133[[#This Row],[Prior day close]]&lt;=Table133[[#This Row],[PM LO]],IF($J10&gt;=$F10,($J10-$K10)/($J10-Table133[[#This Row],[Prior day close]]),(IF($H10&lt;=$K10,($F10-$H10)/($F10-Table133[[#This Row],[Prior day close]]),(Table133[[#This Row],[PM Hi]]-Table133[[#This Row],[Lowest lo from open to squeeze]])/(Table133[[#This Row],[PM Hi]]-Table133[[#This Row],[Prior day close]])))),IF($J10&gt;=$F10,($J10-$K10)/($J10-Table133[[#This Row],[PM LO]]),(IF($H10&lt;=$K10,($F10-$H10)/($F10-Table133[[#This Row],[PM LO]]),(Table133[[#This Row],[PM Hi]]-Table133[[#This Row],[Lowest lo from open to squeeze]])/(Table133[[#This Row],[PM Hi]]-Table133[[#This Row],[PM LO]])))))</f>
        <v>0.48000000000000015</v>
      </c>
      <c r="AO10" s="18">
        <f>IF(J10&gt;=F10,(J10-K10)/(J10-D10),(IF(H10&lt;=K10,(F10-H10)/(F10-D10),(Table133[[#This Row],[PM Hi]]-Table133[[#This Row],[Lowest lo from open to squeeze]])/(Table133[[#This Row],[PM Hi]]-Table133[[#This Row],[Prior day close]]))))</f>
        <v>0.48000000000000015</v>
      </c>
      <c r="AP10" s="17">
        <f>390+Table133[[#This Row],[Time until ideal entry point (mins) from open]]</f>
        <v>394</v>
      </c>
      <c r="AQ10" s="51">
        <f>(Table133[[#This Row],[Time until ideal entry + 390 (6:30)]]+Table133[[#This Row],[Duration of frontside (mins)]])/1440</f>
        <v>0.42222222222222222</v>
      </c>
    </row>
    <row r="11" spans="1:43" x14ac:dyDescent="0.25">
      <c r="A11" s="24" t="s">
        <v>141</v>
      </c>
      <c r="B11" s="47">
        <v>44202</v>
      </c>
      <c r="C11" s="47" t="s">
        <v>71</v>
      </c>
      <c r="D11" s="12">
        <v>0.87</v>
      </c>
      <c r="E11" s="13">
        <v>0.87</v>
      </c>
      <c r="F11" s="12">
        <v>1.6</v>
      </c>
      <c r="G11" s="12">
        <v>0.84</v>
      </c>
      <c r="H11" s="12">
        <v>1.35</v>
      </c>
      <c r="I11" s="12">
        <v>1.45</v>
      </c>
      <c r="J11" s="12">
        <v>1.45</v>
      </c>
      <c r="K11" s="12">
        <v>1.32</v>
      </c>
      <c r="L11" s="12">
        <v>1.75</v>
      </c>
      <c r="M11" s="12">
        <v>1.75</v>
      </c>
      <c r="N11" s="13">
        <v>188372580</v>
      </c>
      <c r="O11" s="12">
        <v>195907483</v>
      </c>
      <c r="P11" s="37">
        <v>36</v>
      </c>
      <c r="Q11" s="46">
        <v>35</v>
      </c>
      <c r="R11" s="37">
        <v>43836888</v>
      </c>
      <c r="S11" s="37" t="s">
        <v>41</v>
      </c>
      <c r="T11" s="37" t="s">
        <v>43</v>
      </c>
      <c r="U11" s="38">
        <v>2</v>
      </c>
      <c r="V11" s="46">
        <v>2</v>
      </c>
      <c r="W11" s="39">
        <v>1.34</v>
      </c>
      <c r="X11" s="46">
        <v>14</v>
      </c>
      <c r="Y11" s="40">
        <f>Table133[[#This Row],[Time until ideal entry + 390 (6:30)]]/(1440)</f>
        <v>0.2722222222222222</v>
      </c>
      <c r="Z11" s="18">
        <f t="shared" si="1"/>
        <v>0.83908045977011503</v>
      </c>
      <c r="AA11" s="18">
        <f>IF(Table133[[#This Row],[HOD AFTER PM HI]]&gt;=Table133[[#This Row],[PM Hi]],((Table133[[#This Row],[HOD AFTER PM HI]]-Table133[[#This Row],[Prior day close]])/Table133[[#This Row],[Prior day close]]),Table133[[#This Row],[Prior Close to PM Hi %]])</f>
        <v>1.0114942528735633</v>
      </c>
      <c r="AB11" s="42">
        <f>(Table133[[#This Row],[Price at hi of squeeze]]-Table133[[#This Row],[MKT Open Price]])/Table133[[#This Row],[MKT Open Price]]</f>
        <v>0.20689655172413796</v>
      </c>
      <c r="AC11" s="18">
        <f>(Table133[[#This Row],[Price at hi of squeeze]]-Table133[[#This Row],[PM Hi]])/Table133[[#This Row],[PM Hi]]</f>
        <v>9.3749999999999944E-2</v>
      </c>
      <c r="AD11" s="18"/>
      <c r="AE11" s="20">
        <f>Table133[[#This Row],[PM VOL]]/1000000/Table133[[#This Row],[FLOAT(M)]]</f>
        <v>1.2524825142857143</v>
      </c>
      <c r="AF11" s="23">
        <f>(Table133[[#This Row],[Volume]]/1000000)/Table133[[#This Row],[FLOAT(M)]]</f>
        <v>5.3820737142857142</v>
      </c>
      <c r="AH11" s="18">
        <f>(Table133[[#This Row],[PM Hi]]-Table133[[#This Row],[MKT Open Price]])/(Table133[[#This Row],[PM Hi]])</f>
        <v>9.3750000000000083E-2</v>
      </c>
      <c r="AI11" s="16">
        <f>IF(Table133[[#This Row],[PM LO]]&gt;Table133[[#This Row],[Prior day close]],(Table133[[#This Row],[PM Hi]]-Table133[[#This Row],[MKT Open Price]])/(Table133[[#This Row],[PM Hi]]-Table133[[#This Row],[Prior day close]]),(Table133[[#This Row],[PM Hi]]-Table133[[#This Row],[MKT Open Price]])/(Table133[[#This Row],[PM Hi]]-Table133[[#This Row],[PM LO]]))</f>
        <v>0.19736842105263172</v>
      </c>
      <c r="AJ11" s="48">
        <f>IF(Table133[[#This Row],[Prior day close]]&lt;Table133[[#This Row],[PM LO]],(I11-K11)/(I11-Table133[[#This Row],[Prior day close]]),(I11-K11)/(I11-Table133[[#This Row],[PM LO]]))</f>
        <v>0.21311475409836048</v>
      </c>
      <c r="AK11" s="48">
        <f>Table133[[#This Row],[Spike % on open before drop]]+AL11</f>
        <v>8.9655172413793033E-2</v>
      </c>
      <c r="AL11" s="16">
        <f t="shared" si="0"/>
        <v>8.9655172413793033E-2</v>
      </c>
      <c r="AM11" s="16"/>
      <c r="AN11" s="48">
        <f>IF(Table133[[#This Row],[Prior day close]]&lt;=Table133[[#This Row],[PM LO]],IF($J11&gt;=$F11,($J11-$K11)/($J11-Table133[[#This Row],[Prior day close]]),(IF($H11&lt;=$K11,($F11-$H11)/($F11-Table133[[#This Row],[Prior day close]]),(Table133[[#This Row],[PM Hi]]-Table133[[#This Row],[Lowest lo from open to squeeze]])/(Table133[[#This Row],[PM Hi]]-Table133[[#This Row],[Prior day close]])))),IF($J11&gt;=$F11,($J11-$K11)/($J11-Table133[[#This Row],[PM LO]]),(IF($H11&lt;=$K11,($F11-$H11)/($F11-Table133[[#This Row],[PM LO]]),(Table133[[#This Row],[PM Hi]]-Table133[[#This Row],[Lowest lo from open to squeeze]])/(Table133[[#This Row],[PM Hi]]-Table133[[#This Row],[PM LO]])))))</f>
        <v>0.36842105263157893</v>
      </c>
      <c r="AO11" s="18"/>
      <c r="AP11" s="17">
        <f>390+Table133[[#This Row],[Time until ideal entry point (mins) from open]]</f>
        <v>392</v>
      </c>
      <c r="AQ11" s="51">
        <f>(Table133[[#This Row],[Time until ideal entry + 390 (6:30)]]+Table133[[#This Row],[Duration of frontside (mins)]])/1440</f>
        <v>0.28194444444444444</v>
      </c>
    </row>
    <row r="12" spans="1:43" x14ac:dyDescent="0.25">
      <c r="A12" s="24" t="s">
        <v>126</v>
      </c>
      <c r="B12" s="11">
        <v>44125</v>
      </c>
      <c r="C12" s="47" t="s">
        <v>71</v>
      </c>
      <c r="D12" s="12">
        <v>0.97</v>
      </c>
      <c r="E12" s="13">
        <v>1.05</v>
      </c>
      <c r="F12" s="12">
        <v>4</v>
      </c>
      <c r="G12" s="12">
        <v>1.05</v>
      </c>
      <c r="H12" s="12">
        <v>2.69</v>
      </c>
      <c r="I12" s="12">
        <v>2.94</v>
      </c>
      <c r="J12" s="12">
        <v>3.79</v>
      </c>
      <c r="K12" s="12">
        <v>2.52</v>
      </c>
      <c r="L12" s="12">
        <v>4.3600000000000003</v>
      </c>
      <c r="M12" s="12">
        <v>4.3600000000000003</v>
      </c>
      <c r="N12" s="13">
        <v>68920093</v>
      </c>
      <c r="O12" s="12">
        <v>97177331</v>
      </c>
      <c r="P12" s="37">
        <v>9.8000000000000007</v>
      </c>
      <c r="Q12">
        <v>10.47</v>
      </c>
      <c r="R12" s="37">
        <v>8870117</v>
      </c>
      <c r="S12" s="37" t="s">
        <v>41</v>
      </c>
      <c r="T12" s="37" t="s">
        <v>43</v>
      </c>
      <c r="U12" s="38">
        <v>6</v>
      </c>
      <c r="V12">
        <v>7</v>
      </c>
      <c r="W12" s="39">
        <v>2.63</v>
      </c>
      <c r="X12">
        <v>19</v>
      </c>
      <c r="Y12" s="40">
        <f>Table133[[#This Row],[Time until ideal entry + 390 (6:30)]]/(1440)</f>
        <v>0.27569444444444446</v>
      </c>
      <c r="Z12" s="18">
        <f t="shared" si="1"/>
        <v>3.123711340206186</v>
      </c>
      <c r="AA12" s="18">
        <f>IF(Table133[[#This Row],[HOD AFTER PM HI]]&gt;=Table133[[#This Row],[PM Hi]],((Table133[[#This Row],[HOD AFTER PM HI]]-Table133[[#This Row],[Prior day close]])/Table133[[#This Row],[Prior day close]]),Table133[[#This Row],[Prior Close to PM Hi %]])</f>
        <v>3.4948453608247427</v>
      </c>
      <c r="AB12" s="42">
        <f>(Table133[[#This Row],[Price at hi of squeeze]]-Table133[[#This Row],[MKT Open Price]])/Table133[[#This Row],[MKT Open Price]]</f>
        <v>0.48299319727891171</v>
      </c>
      <c r="AC12" s="18">
        <f>(Table133[[#This Row],[Price at hi of squeeze]]-Table133[[#This Row],[PM Hi]])/Table133[[#This Row],[PM Hi]]</f>
        <v>9.000000000000008E-2</v>
      </c>
      <c r="AD12" s="18">
        <f>(M12-K12)/K12</f>
        <v>0.73015873015873023</v>
      </c>
      <c r="AE12" s="20">
        <f>Table133[[#This Row],[PM VOL]]/1000000/Table133[[#This Row],[FLOAT(M)]]</f>
        <v>0.8471936007640879</v>
      </c>
      <c r="AF12" s="23">
        <f>(Table133[[#This Row],[Volume]]/1000000)/Table133[[#This Row],[FLOAT(M)]]</f>
        <v>6.5826258834765987</v>
      </c>
      <c r="AH12" s="18">
        <f>(Table133[[#This Row],[PM Hi]]-Table133[[#This Row],[MKT Open Price]])/(Table133[[#This Row],[PM Hi]])</f>
        <v>0.26500000000000001</v>
      </c>
      <c r="AI12" s="16">
        <f>IF(Table133[[#This Row],[PM LO]]&gt;Table133[[#This Row],[Prior day close]],(Table133[[#This Row],[PM Hi]]-Table133[[#This Row],[MKT Open Price]])/(Table133[[#This Row],[PM Hi]]-Table133[[#This Row],[Prior day close]]),(Table133[[#This Row],[PM Hi]]-Table133[[#This Row],[MKT Open Price]])/(Table133[[#This Row],[PM Hi]]-Table133[[#This Row],[PM LO]]))</f>
        <v>0.34983498349834985</v>
      </c>
      <c r="AJ12" s="18">
        <f>IF(Table133[[#This Row],[Prior day close]]&lt;Table133[[#This Row],[PM LO]],(I12-K12)/(I12-Table133[[#This Row],[Prior day close]]),(I12-K12)/(I12-Table133[[#This Row],[PM LO]]))</f>
        <v>0.21319796954314718</v>
      </c>
      <c r="AK12" s="18">
        <f>Table133[[#This Row],[Spike % on open before drop]]+AL12</f>
        <v>0.14285714285714285</v>
      </c>
      <c r="AL12" s="16">
        <f t="shared" si="0"/>
        <v>0.14285714285714285</v>
      </c>
      <c r="AM12" s="18">
        <f>IF($J12&gt;=$F12,($J12-$K12)/($J12),(IF($H12&lt;=$K12,($F12-$H12)/($F12),(Table133[[#This Row],[PM Hi]]-Table133[[#This Row],[Lowest lo from open to squeeze]])/(Table133[[#This Row],[PM Hi]]))))</f>
        <v>0.37</v>
      </c>
      <c r="AN12" s="18">
        <f>IF(Table133[[#This Row],[Prior day close]]&lt;=Table133[[#This Row],[PM LO]],IF($J12&gt;=$F12,($J12-$K12)/($J12-Table133[[#This Row],[Prior day close]]),(IF($H12&lt;=$K12,($F12-$H12)/($F12-Table133[[#This Row],[Prior day close]]),(Table133[[#This Row],[PM Hi]]-Table133[[#This Row],[Lowest lo from open to squeeze]])/(Table133[[#This Row],[PM Hi]]-Table133[[#This Row],[Prior day close]])))),IF($J12&gt;=$F12,($J12-$K12)/($J12-Table133[[#This Row],[PM LO]]),(IF($H12&lt;=$K12,($F12-$H12)/($F12-Table133[[#This Row],[PM LO]]),(Table133[[#This Row],[PM Hi]]-Table133[[#This Row],[Lowest lo from open to squeeze]])/(Table133[[#This Row],[PM Hi]]-Table133[[#This Row],[PM LO]])))))</f>
        <v>0.48844884488448842</v>
      </c>
      <c r="AO12" s="18">
        <f>IF(J12&gt;=F12,(J12-K12)/(J12-D12),(IF(H12&lt;=K12,(F12-H12)/(F12-D12),(Table133[[#This Row],[PM Hi]]-Table133[[#This Row],[Lowest lo from open to squeeze]])/(Table133[[#This Row],[PM Hi]]-Table133[[#This Row],[Prior day close]]))))</f>
        <v>0.48844884488448842</v>
      </c>
      <c r="AP12" s="17">
        <f>390+Table133[[#This Row],[Time until ideal entry point (mins) from open]]</f>
        <v>397</v>
      </c>
      <c r="AQ12" s="51">
        <f>(Table133[[#This Row],[Time until ideal entry + 390 (6:30)]]+Table133[[#This Row],[Duration of frontside (mins)]])/1440</f>
        <v>0.28888888888888886</v>
      </c>
    </row>
    <row r="13" spans="1:43" x14ac:dyDescent="0.25">
      <c r="A13" s="24" t="s">
        <v>177</v>
      </c>
      <c r="B13" s="47">
        <v>43942</v>
      </c>
      <c r="C13" s="47" t="s">
        <v>71</v>
      </c>
      <c r="D13" s="12">
        <v>1.03</v>
      </c>
      <c r="E13" s="13">
        <f>Table133[[#This Row],[Prior day close]]</f>
        <v>1.03</v>
      </c>
      <c r="F13" s="12">
        <v>2.9</v>
      </c>
      <c r="G13" s="12">
        <v>1.04</v>
      </c>
      <c r="H13" s="12">
        <v>2.27</v>
      </c>
      <c r="I13" s="12">
        <v>2.73</v>
      </c>
      <c r="J13" s="12">
        <v>2.8</v>
      </c>
      <c r="K13" s="12">
        <v>2.4500000000000002</v>
      </c>
      <c r="L13" s="12">
        <v>4.17</v>
      </c>
      <c r="M13" s="12">
        <v>3.8</v>
      </c>
      <c r="N13" s="13">
        <v>123036411</v>
      </c>
      <c r="O13" s="12">
        <v>314358030</v>
      </c>
      <c r="P13" s="37">
        <v>36.25</v>
      </c>
      <c r="Q13" s="46">
        <v>28.3</v>
      </c>
      <c r="R13" s="37">
        <v>10865984</v>
      </c>
      <c r="S13" s="37" t="s">
        <v>41</v>
      </c>
      <c r="T13" s="37" t="s">
        <v>43</v>
      </c>
      <c r="U13" s="38">
        <v>2</v>
      </c>
      <c r="V13" s="46">
        <v>2</v>
      </c>
      <c r="W13" s="37">
        <v>2.4700000000000002</v>
      </c>
      <c r="X13" s="46">
        <v>8</v>
      </c>
      <c r="Y13" s="41">
        <f>Table133[[#This Row],[Time until ideal entry + 390 (6:30)]]/(1440)</f>
        <v>0.2722222222222222</v>
      </c>
      <c r="Z13" s="18">
        <f t="shared" si="1"/>
        <v>1.8155339805825241</v>
      </c>
      <c r="AA13" s="18">
        <f>IF(Table133[[#This Row],[HOD AFTER PM HI]]&gt;=Table133[[#This Row],[PM Hi]],((Table133[[#This Row],[HOD AFTER PM HI]]-Table133[[#This Row],[Prior day close]])/Table133[[#This Row],[Prior day close]]),Table133[[#This Row],[Prior Close to PM Hi %]])</f>
        <v>3.0485436893203879</v>
      </c>
      <c r="AB13" s="42">
        <f>(Table133[[#This Row],[Price at hi of squeeze]]-Table133[[#This Row],[MKT Open Price]])/Table133[[#This Row],[MKT Open Price]]</f>
        <v>0.39194139194139188</v>
      </c>
      <c r="AC13" s="18">
        <f>(Table133[[#This Row],[Price at hi of squeeze]]-Table133[[#This Row],[PM Hi]])/Table133[[#This Row],[PM Hi]]</f>
        <v>0.31034482758620685</v>
      </c>
      <c r="AD13" s="18"/>
      <c r="AE13" s="20">
        <f>Table133[[#This Row],[PM VOL]]/1000000/Table133[[#This Row],[FLOAT(M)]]</f>
        <v>0.3839570318021201</v>
      </c>
      <c r="AF13" s="23">
        <f>(Table133[[#This Row],[Volume]]/1000000)/Table133[[#This Row],[FLOAT(M)]]</f>
        <v>4.3475763604240285</v>
      </c>
      <c r="AH13" s="18">
        <f>(Table133[[#This Row],[PM Hi]]-Table133[[#This Row],[MKT Open Price]])/(Table133[[#This Row],[PM Hi]])</f>
        <v>5.8620689655172392E-2</v>
      </c>
      <c r="AI13" s="18">
        <f>IF(Table133[[#This Row],[PM LO]]&gt;Table133[[#This Row],[Prior day close]],(Table133[[#This Row],[PM Hi]]-Table133[[#This Row],[MKT Open Price]])/(Table133[[#This Row],[PM Hi]]-Table133[[#This Row],[Prior day close]]),(Table133[[#This Row],[PM Hi]]-Table133[[#This Row],[MKT Open Price]])/(Table133[[#This Row],[PM Hi]]-Table133[[#This Row],[PM LO]]))</f>
        <v>9.090909090909087E-2</v>
      </c>
      <c r="AJ13" s="48">
        <f>IF(Table133[[#This Row],[Prior day close]]&lt;Table133[[#This Row],[PM LO]],(I13-K13)/(I13-Table133[[#This Row],[Prior day close]]),(I13-K13)/(I13-Table133[[#This Row],[PM LO]]))</f>
        <v>0.16470588235294106</v>
      </c>
      <c r="AK13" s="48">
        <f>Table133[[#This Row],[Spike % on open before drop]]+AL13</f>
        <v>0.10256410256410249</v>
      </c>
      <c r="AL13" s="16">
        <f t="shared" si="0"/>
        <v>0.10256410256410249</v>
      </c>
      <c r="AM13" s="18">
        <f>IF($J13&gt;=$F13,($J13-$K13)/($J13),(IF($H13&lt;=$K13,($F13-$H13)/($F13),(Table133[[#This Row],[PM Hi]]-Table133[[#This Row],[Lowest lo from open to squeeze]])/(Table133[[#This Row],[PM Hi]]))))</f>
        <v>0.21724137931034479</v>
      </c>
      <c r="AN13" s="48">
        <f>IF(Table133[[#This Row],[Prior day close]]&lt;=Table133[[#This Row],[PM LO]],IF($J13&gt;=$F13,($J13-$K13)/($J13-Table133[[#This Row],[Prior day close]]),(IF($H13&lt;=$K13,($F13-$H13)/($F13-Table133[[#This Row],[Prior day close]]),(Table133[[#This Row],[PM Hi]]-Table133[[#This Row],[Lowest lo from open to squeeze]])/(Table133[[#This Row],[PM Hi]]-Table133[[#This Row],[Prior day close]])))),IF($J13&gt;=$F13,($J13-$K13)/($J13-Table133[[#This Row],[PM LO]]),(IF($H13&lt;=$K13,($F13-$H13)/($F13-Table133[[#This Row],[PM LO]]),(Table133[[#This Row],[PM Hi]]-Table133[[#This Row],[Lowest lo from open to squeeze]])/(Table133[[#This Row],[PM Hi]]-Table133[[#This Row],[PM LO]])))))</f>
        <v>0.33689839572192509</v>
      </c>
      <c r="AO13" s="18">
        <f>IF(J13&gt;=F13,(J13-K13)/(J13-D13),(IF(H13&lt;=K13,(F13-H13)/(F13-D13),(Table133[[#This Row],[PM Hi]]-Table133[[#This Row],[Lowest lo from open to squeeze]])/(Table133[[#This Row],[PM Hi]]-Table133[[#This Row],[Prior day close]]))))</f>
        <v>0.33689839572192509</v>
      </c>
      <c r="AP13" s="17">
        <f>390+Table133[[#This Row],[Time until ideal entry point (mins) from open]]</f>
        <v>392</v>
      </c>
      <c r="AQ13" s="17">
        <f>Table133[[#This Row],[Time until ideal entry + 390 (6:30)]]+Table133[[#This Row],[Duration of frontside (mins)]]</f>
        <v>400</v>
      </c>
    </row>
    <row r="14" spans="1:43" x14ac:dyDescent="0.25">
      <c r="A14" s="24" t="s">
        <v>111</v>
      </c>
      <c r="B14" s="11">
        <v>44082</v>
      </c>
      <c r="C14" s="47" t="s">
        <v>71</v>
      </c>
      <c r="D14" s="12">
        <v>1.05</v>
      </c>
      <c r="E14" s="13">
        <v>1.0900000000000001</v>
      </c>
      <c r="F14" s="12">
        <v>2.02</v>
      </c>
      <c r="G14" s="12">
        <v>1.0900000000000001</v>
      </c>
      <c r="H14" s="12">
        <v>1.9</v>
      </c>
      <c r="I14" s="12">
        <v>1.91</v>
      </c>
      <c r="J14" s="12">
        <v>2.09</v>
      </c>
      <c r="K14" s="12">
        <v>1.65</v>
      </c>
      <c r="L14" s="12">
        <v>2.33</v>
      </c>
      <c r="M14" s="12">
        <v>2.2200000000000002</v>
      </c>
      <c r="N14" s="13">
        <v>165232990</v>
      </c>
      <c r="O14" s="12">
        <v>356903258</v>
      </c>
      <c r="P14" s="37">
        <v>31.5</v>
      </c>
      <c r="Q14">
        <v>19.649999999999999</v>
      </c>
      <c r="R14" s="13">
        <v>6903199</v>
      </c>
      <c r="S14" s="13" t="s">
        <v>41</v>
      </c>
      <c r="T14" t="s">
        <v>43</v>
      </c>
      <c r="U14" s="17">
        <v>14</v>
      </c>
      <c r="V14">
        <v>15</v>
      </c>
      <c r="W14">
        <v>1.7</v>
      </c>
      <c r="X14">
        <v>33</v>
      </c>
      <c r="Y14" s="15">
        <f>Table133[[#This Row],[Time until ideal entry + 390 (6:30)]]/(1440)</f>
        <v>0.28125</v>
      </c>
      <c r="Z14" s="18">
        <f t="shared" si="1"/>
        <v>0.92380952380952375</v>
      </c>
      <c r="AA14" s="18">
        <f>IF(Table133[[#This Row],[HOD AFTER PM HI]]&gt;=Table133[[#This Row],[PM Hi]],((Table133[[#This Row],[HOD AFTER PM HI]]-Table133[[#This Row],[Prior day close]])/Table133[[#This Row],[Prior day close]]),Table133[[#This Row],[Prior Close to PM Hi %]])</f>
        <v>1.2190476190476189</v>
      </c>
      <c r="AB14" s="18">
        <f>(Table133[[#This Row],[Price at hi of squeeze]]-Table133[[#This Row],[MKT Open Price]])/Table133[[#This Row],[MKT Open Price]]</f>
        <v>0.16230366492146611</v>
      </c>
      <c r="AC14" s="18">
        <f>(Table133[[#This Row],[Price at hi of squeeze]]-Table133[[#This Row],[PM Hi]])/Table133[[#This Row],[PM Hi]]</f>
        <v>9.9009900990099098E-2</v>
      </c>
      <c r="AD14" s="18">
        <f t="shared" ref="AD14:AD30" si="2">(M14-K14)/K14</f>
        <v>0.34545454545454563</v>
      </c>
      <c r="AE14" s="20">
        <f>Table133[[#This Row],[PM VOL]]/1000000/Table133[[#This Row],[FLOAT(M)]]</f>
        <v>0.35130783715012726</v>
      </c>
      <c r="AF14" s="23">
        <f>(Table133[[#This Row],[Volume]]/1000000)/Table133[[#This Row],[FLOAT(M)]]</f>
        <v>8.4088035623409674</v>
      </c>
      <c r="AG14" s="18">
        <f>(Table133[[#This Row],[Hi of Spike after open before drop]]-Table133[[#This Row],[MKT Open Price]])/Table133[[#This Row],[MKT Open Price]]</f>
        <v>9.4240837696335053E-2</v>
      </c>
      <c r="AH14" s="18">
        <f>(Table133[[#This Row],[PM Hi]]-Table133[[#This Row],[MKT Open Price]])/(Table133[[#This Row],[PM Hi]])</f>
        <v>5.4455445544554504E-2</v>
      </c>
      <c r="AI14" s="16">
        <f>IF(Table133[[#This Row],[PM LO]]&gt;Table133[[#This Row],[Prior day close]],(Table133[[#This Row],[PM Hi]]-Table133[[#This Row],[MKT Open Price]])/(Table133[[#This Row],[PM Hi]]-Table133[[#This Row],[Prior day close]]),(Table133[[#This Row],[PM Hi]]-Table133[[#This Row],[MKT Open Price]])/(Table133[[#This Row],[PM Hi]]-Table133[[#This Row],[PM LO]]))</f>
        <v>0.11340206185567021</v>
      </c>
      <c r="AJ14" s="16">
        <f>IF(Table133[[#This Row],[Prior day close]]&lt;Table133[[#This Row],[PM LO]],(I14-K14)/(I14-Table133[[#This Row],[Prior day close]]),(I14-K14)/(I14-Table133[[#This Row],[PM LO]]))</f>
        <v>0.30232558139534887</v>
      </c>
      <c r="AK14" s="16">
        <f>Table133[[#This Row],[Spike % on open before drop]]+AL14</f>
        <v>0.23036649214659682</v>
      </c>
      <c r="AL14" s="16">
        <f t="shared" si="0"/>
        <v>0.13612565445026178</v>
      </c>
      <c r="AM14" s="18">
        <f>IF($J14&gt;=$F14,($J14-$K14)/($J14),(IF($H14&lt;=$K14,($F14-$H14)/($F14),(Table133[[#This Row],[PM Hi]]-Table133[[#This Row],[Lowest lo from open to squeeze]])/(Table133[[#This Row],[PM Hi]]))))</f>
        <v>0.21052631578947367</v>
      </c>
      <c r="AN14" s="18">
        <f>IF(Table133[[#This Row],[Prior day close]]&lt;=Table133[[#This Row],[PM LO]],IF($J14&gt;=$F14,($J14-$K14)/($J14-Table133[[#This Row],[Prior day close]]),(IF($H14&lt;=$K14,($F14-$H14)/($F14-Table133[[#This Row],[Prior day close]]),(Table133[[#This Row],[PM Hi]]-Table133[[#This Row],[Lowest lo from open to squeeze]])/(Table133[[#This Row],[PM Hi]]-Table133[[#This Row],[Prior day close]])))),IF($J14&gt;=$F14,($J14-$K14)/($J14-Table133[[#This Row],[PM LO]]),(IF($H14&lt;=$K14,($F14-$H14)/($F14-Table133[[#This Row],[PM LO]]),(Table133[[#This Row],[PM Hi]]-Table133[[#This Row],[Lowest lo from open to squeeze]])/(Table133[[#This Row],[PM Hi]]-Table133[[#This Row],[PM LO]])))))</f>
        <v>0.42307692307692313</v>
      </c>
      <c r="AO14" s="18">
        <f>IF(J14&gt;=F14,(J14-K14)/(J14-D14),(IF(H14&lt;=K14,(F14-H14)/(F14-D14),(Table133[[#This Row],[PM Hi]]-Table133[[#This Row],[Lowest lo from open to squeeze]])/(Table133[[#This Row],[PM Hi]]-Table133[[#This Row],[Prior day close]]))))</f>
        <v>0.42307692307692313</v>
      </c>
      <c r="AP14" s="17">
        <f>390+Table133[[#This Row],[Time until ideal entry point (mins) from open]]</f>
        <v>405</v>
      </c>
      <c r="AQ14" s="51">
        <f>(Table133[[#This Row],[Time until ideal entry + 390 (6:30)]]+Table133[[#This Row],[Duration of frontside (mins)]])/1440</f>
        <v>0.30416666666666664</v>
      </c>
    </row>
    <row r="15" spans="1:43" x14ac:dyDescent="0.25">
      <c r="A15" s="24" t="s">
        <v>113</v>
      </c>
      <c r="B15" s="45">
        <v>44097</v>
      </c>
      <c r="C15" s="47" t="s">
        <v>71</v>
      </c>
      <c r="D15" s="12">
        <v>1.07</v>
      </c>
      <c r="E15" s="13">
        <v>1.0900000000000001</v>
      </c>
      <c r="F15" s="12">
        <v>4.03</v>
      </c>
      <c r="G15" s="12">
        <v>1.0900000000000001</v>
      </c>
      <c r="H15" s="12">
        <v>2.88</v>
      </c>
      <c r="I15" s="12">
        <v>3.54</v>
      </c>
      <c r="J15" s="12">
        <v>4.2300000000000004</v>
      </c>
      <c r="K15" s="12">
        <v>3.3</v>
      </c>
      <c r="L15" s="12">
        <v>46.67</v>
      </c>
      <c r="M15" s="12">
        <v>46.67</v>
      </c>
      <c r="N15" s="13">
        <v>339000000</v>
      </c>
      <c r="O15" s="12">
        <v>5222888908</v>
      </c>
      <c r="P15" s="37">
        <v>15.44</v>
      </c>
      <c r="Q15">
        <v>7.2</v>
      </c>
      <c r="R15" s="13">
        <v>23432797</v>
      </c>
      <c r="S15" s="13" t="s">
        <v>43</v>
      </c>
      <c r="T15" t="s">
        <v>43</v>
      </c>
      <c r="U15" s="17">
        <v>26</v>
      </c>
      <c r="V15">
        <v>27</v>
      </c>
      <c r="W15">
        <v>3.38</v>
      </c>
      <c r="X15">
        <v>248</v>
      </c>
      <c r="Y15" s="15">
        <f>Table133[[#This Row],[Time until ideal entry + 390 (6:30)]]/(1440)</f>
        <v>0.28958333333333336</v>
      </c>
      <c r="Z15" s="18">
        <f t="shared" si="1"/>
        <v>2.7663551401869158</v>
      </c>
      <c r="AA15" s="18">
        <f>IF(Table133[[#This Row],[HOD AFTER PM HI]]&gt;=Table133[[#This Row],[PM Hi]],((Table133[[#This Row],[HOD AFTER PM HI]]-Table133[[#This Row],[Prior day close]])/Table133[[#This Row],[Prior day close]]),Table133[[#This Row],[Prior Close to PM Hi %]])</f>
        <v>42.616822429906541</v>
      </c>
      <c r="AB15" s="18">
        <f>(Table133[[#This Row],[Price at hi of squeeze]]-Table133[[#This Row],[MKT Open Price]])/Table133[[#This Row],[MKT Open Price]]</f>
        <v>12.18361581920904</v>
      </c>
      <c r="AC15" s="18">
        <f>(Table133[[#This Row],[Price at hi of squeeze]]-Table133[[#This Row],[PM Hi]])/Table133[[#This Row],[PM Hi]]</f>
        <v>10.580645161290322</v>
      </c>
      <c r="AD15" s="18">
        <f t="shared" si="2"/>
        <v>13.142424242424244</v>
      </c>
      <c r="AE15" s="20">
        <f>Table133[[#This Row],[PM VOL]]/1000000/Table133[[#This Row],[FLOAT(M)]]</f>
        <v>3.2545551388888887</v>
      </c>
      <c r="AF15" s="23">
        <f>(Table133[[#This Row],[Volume]]/1000000)/Table133[[#This Row],[FLOAT(M)]]</f>
        <v>47.083333333333336</v>
      </c>
      <c r="AG15" s="18">
        <f>(Table133[[#This Row],[Hi of Spike after open before drop]]-Table133[[#This Row],[MKT Open Price]])/Table133[[#This Row],[MKT Open Price]]</f>
        <v>0.19491525423728825</v>
      </c>
      <c r="AH15" s="18">
        <f>(Table133[[#This Row],[PM Hi]]-Table133[[#This Row],[MKT Open Price]])/(Table133[[#This Row],[PM Hi]])</f>
        <v>0.12158808933002486</v>
      </c>
      <c r="AI15" s="16">
        <f>IF(Table133[[#This Row],[PM LO]]&gt;Table133[[#This Row],[Prior day close]],(Table133[[#This Row],[PM Hi]]-Table133[[#This Row],[MKT Open Price]])/(Table133[[#This Row],[PM Hi]]-Table133[[#This Row],[Prior day close]]),(Table133[[#This Row],[PM Hi]]-Table133[[#This Row],[MKT Open Price]])/(Table133[[#This Row],[PM Hi]]-Table133[[#This Row],[PM LO]]))</f>
        <v>0.16554054054054063</v>
      </c>
      <c r="AJ15" s="18">
        <f>IF(Table133[[#This Row],[Prior day close]]&lt;Table133[[#This Row],[PM LO]],(I15-K15)/(I15-Table133[[#This Row],[Prior day close]]),(I15-K15)/(I15-Table133[[#This Row],[PM LO]]))</f>
        <v>9.7165991902834106E-2</v>
      </c>
      <c r="AK15" s="18">
        <f>Table133[[#This Row],[Spike % on open before drop]]+AL15</f>
        <v>0.26271186440677985</v>
      </c>
      <c r="AL15" s="16">
        <f t="shared" si="0"/>
        <v>6.7796610169491581E-2</v>
      </c>
      <c r="AM15" s="18">
        <f>IF($J15&gt;=$F15,($J15-$K15)/($J15),(IF($H15&lt;=$K15,($F15-$H15)/($F15),(Table133[[#This Row],[PM Hi]]-Table133[[#This Row],[Lowest lo from open to squeeze]])/(Table133[[#This Row],[PM Hi]]))))</f>
        <v>0.21985815602836892</v>
      </c>
      <c r="AN15" s="18">
        <f>IF(Table133[[#This Row],[Prior day close]]&lt;=Table133[[#This Row],[PM LO]],IF($J15&gt;=$F15,($J15-$K15)/($J15-Table133[[#This Row],[Prior day close]]),(IF($H15&lt;=$K15,($F15-$H15)/($F15-Table133[[#This Row],[Prior day close]]),(Table133[[#This Row],[PM Hi]]-Table133[[#This Row],[Lowest lo from open to squeeze]])/(Table133[[#This Row],[PM Hi]]-Table133[[#This Row],[Prior day close]])))),IF($J15&gt;=$F15,($J15-$K15)/($J15-Table133[[#This Row],[PM LO]]),(IF($H15&lt;=$K15,($F15-$H15)/($F15-Table133[[#This Row],[PM LO]]),(Table133[[#This Row],[PM Hi]]-Table133[[#This Row],[Lowest lo from open to squeeze]])/(Table133[[#This Row],[PM Hi]]-Table133[[#This Row],[PM LO]])))))</f>
        <v>0.29430379746835461</v>
      </c>
      <c r="AO15" s="18">
        <f>IF(J15&gt;=F15,(J15-K15)/(J15-D15),(IF(H15&lt;=K15,(F15-H15)/(F15-D15),(Table133[[#This Row],[PM Hi]]-Table133[[#This Row],[Lowest lo from open to squeeze]])/(Table133[[#This Row],[PM Hi]]-Table133[[#This Row],[Prior day close]]))))</f>
        <v>0.29430379746835461</v>
      </c>
      <c r="AP15" s="17">
        <f>390+Table133[[#This Row],[Time until ideal entry point (mins) from open]]</f>
        <v>417</v>
      </c>
      <c r="AQ15" s="51">
        <f>(Table133[[#This Row],[Time until ideal entry + 390 (6:30)]]+Table133[[#This Row],[Duration of frontside (mins)]])/1440</f>
        <v>0.46180555555555558</v>
      </c>
    </row>
    <row r="16" spans="1:43" x14ac:dyDescent="0.25">
      <c r="A16" s="25" t="s">
        <v>65</v>
      </c>
      <c r="B16" s="11">
        <v>43930</v>
      </c>
      <c r="C16" s="47" t="s">
        <v>71</v>
      </c>
      <c r="D16" s="12">
        <v>1.1100000000000001</v>
      </c>
      <c r="E16" s="13">
        <v>1.25</v>
      </c>
      <c r="F16" s="12">
        <v>3.61</v>
      </c>
      <c r="G16" s="12">
        <v>1.25</v>
      </c>
      <c r="H16" s="12">
        <v>3.39</v>
      </c>
      <c r="I16" s="12">
        <v>3.5</v>
      </c>
      <c r="J16" s="12">
        <v>4.1500000000000004</v>
      </c>
      <c r="K16" s="12">
        <v>3.05</v>
      </c>
      <c r="L16" s="12">
        <v>4.1100000000000003</v>
      </c>
      <c r="M16" s="12">
        <v>4.1100000000000003</v>
      </c>
      <c r="N16" s="13">
        <v>19795485</v>
      </c>
      <c r="O16" s="12">
        <v>36224670</v>
      </c>
      <c r="P16" s="13">
        <v>5.4</v>
      </c>
      <c r="Q16" s="13">
        <v>3.38</v>
      </c>
      <c r="R16" s="13">
        <v>782201</v>
      </c>
      <c r="S16" s="13" t="s">
        <v>43</v>
      </c>
      <c r="T16" t="s">
        <v>43</v>
      </c>
      <c r="U16">
        <v>13</v>
      </c>
      <c r="V16">
        <v>14</v>
      </c>
      <c r="W16">
        <v>3.24</v>
      </c>
      <c r="X16">
        <v>12</v>
      </c>
      <c r="Y16" s="15">
        <f>Table133[[#This Row],[Time until ideal entry + 390 (6:30)]]/(1440)</f>
        <v>0.28055555555555556</v>
      </c>
      <c r="Z16" s="18">
        <f t="shared" si="1"/>
        <v>2.2522522522522519</v>
      </c>
      <c r="AA16" s="18">
        <f>IF(Table133[[#This Row],[HOD AFTER PM HI]]&gt;=Table133[[#This Row],[PM Hi]],((Table133[[#This Row],[HOD AFTER PM HI]]-Table133[[#This Row],[Prior day close]])/Table133[[#This Row],[Prior day close]]),Table133[[#This Row],[Prior Close to PM Hi %]])</f>
        <v>2.7027027027027026</v>
      </c>
      <c r="AB16" s="18">
        <f>(Table133[[#This Row],[Price at hi of squeeze]]-Table133[[#This Row],[MKT Open Price]])/Table133[[#This Row],[MKT Open Price]]</f>
        <v>0.17428571428571438</v>
      </c>
      <c r="AC16" s="18">
        <f>(Table133[[#This Row],[Price at hi of squeeze]]-Table133[[#This Row],[PM Hi]])/Table133[[#This Row],[PM Hi]]</f>
        <v>0.13850415512465386</v>
      </c>
      <c r="AD16" s="18">
        <f t="shared" si="2"/>
        <v>0.34754098360655755</v>
      </c>
      <c r="AE16" s="20">
        <f>Table133[[#This Row],[PM VOL]]/1000000/Table133[[#This Row],[FLOAT(M)]]</f>
        <v>0.23142041420118345</v>
      </c>
      <c r="AF16" s="23">
        <f>(Table133[[#This Row],[Volume]]/1000000)/Table133[[#This Row],[FLOAT(M)]]</f>
        <v>5.856652366863905</v>
      </c>
      <c r="AG16" s="18">
        <f>(Table133[[#This Row],[Hi of Spike after open before drop]]-Table133[[#This Row],[MKT Open Price]])/Table133[[#This Row],[MKT Open Price]]</f>
        <v>0.1857142857142858</v>
      </c>
      <c r="AH16" s="18">
        <f>(Table133[[#This Row],[PM Hi]]-Table133[[#This Row],[MKT Open Price]])/(Table133[[#This Row],[PM Hi]])</f>
        <v>3.0470914127423789E-2</v>
      </c>
      <c r="AI16" s="16">
        <f>IF(Table133[[#This Row],[PM LO]]&gt;Table133[[#This Row],[Prior day close]],(Table133[[#This Row],[PM Hi]]-Table133[[#This Row],[MKT Open Price]])/(Table133[[#This Row],[PM Hi]]-Table133[[#This Row],[Prior day close]]),(Table133[[#This Row],[PM Hi]]-Table133[[#This Row],[MKT Open Price]])/(Table133[[#This Row],[PM Hi]]-Table133[[#This Row],[PM LO]]))</f>
        <v>4.3999999999999949E-2</v>
      </c>
      <c r="AJ16" s="16">
        <f>IF(Table133[[#This Row],[Prior day close]]&lt;Table133[[#This Row],[PM LO]],(I16-K16)/(I16-Table133[[#This Row],[Prior day close]]),(I16-K16)/(I16-Table133[[#This Row],[PM LO]]))</f>
        <v>0.18828451882845199</v>
      </c>
      <c r="AK16" s="16">
        <f>Table133[[#This Row],[Spike % on open before drop]]+AL16</f>
        <v>0.31428571428571439</v>
      </c>
      <c r="AL16" s="16">
        <f t="shared" si="0"/>
        <v>0.12857142857142861</v>
      </c>
      <c r="AM16" s="18">
        <f>IF($J16&gt;=$F16,($J16-$K16)/($J16-$D16),(IF($H16&lt;=$K16,($F16-$H16)/($F16-$D16),(Table133[[#This Row],[PM Hi]]-Table133[[#This Row],[Lowest lo from open to squeeze]])/(Table133[[#This Row],[PM Hi]]-Table133[[#This Row],[Prior day close]]))))</f>
        <v>0.36184210526315808</v>
      </c>
      <c r="AN16" s="18">
        <f>IF(Table133[[#This Row],[Prior day close]]&lt;=Table133[[#This Row],[PM LO]],IF($J16&gt;=$F16,($J16-$K16)/($J16-Table133[[#This Row],[Prior day close]]),(IF($H16&lt;=$K16,($F16-$H16)/($F16-Table133[[#This Row],[Prior day close]]),(Table133[[#This Row],[PM Hi]]-Table133[[#This Row],[Lowest lo from open to squeeze]])/(Table133[[#This Row],[PM Hi]]-Table133[[#This Row],[Prior day close]])))),IF($J16&gt;=$F16,($J16-$K16)/($J16-Table133[[#This Row],[PM LO]]),(IF($H16&lt;=$K16,($F16-$H16)/($F16-Table133[[#This Row],[PM LO]]),(Table133[[#This Row],[PM Hi]]-Table133[[#This Row],[Lowest lo from open to squeeze]])/(Table133[[#This Row],[PM Hi]]-Table133[[#This Row],[PM LO]])))))</f>
        <v>0.36184210526315808</v>
      </c>
      <c r="AO16" s="18">
        <f>1.09/3.05</f>
        <v>0.35737704918032792</v>
      </c>
      <c r="AP16" s="17">
        <f>390+Table133[[#This Row],[Time until ideal entry point (mins) from open]]</f>
        <v>404</v>
      </c>
      <c r="AQ16" s="51">
        <f>(Table133[[#This Row],[Time until ideal entry + 390 (6:30)]]+Table133[[#This Row],[Duration of frontside (mins)]])/1440</f>
        <v>0.28888888888888886</v>
      </c>
    </row>
    <row r="17" spans="1:43" x14ac:dyDescent="0.25">
      <c r="A17" s="25" t="s">
        <v>60</v>
      </c>
      <c r="B17" s="11">
        <v>43915</v>
      </c>
      <c r="C17" s="47" t="s">
        <v>71</v>
      </c>
      <c r="D17" s="12">
        <v>1.1200000000000001</v>
      </c>
      <c r="E17" s="13">
        <v>1.6</v>
      </c>
      <c r="F17" s="12">
        <v>4.08</v>
      </c>
      <c r="G17" s="12">
        <v>1.6</v>
      </c>
      <c r="H17" s="12">
        <v>3.62</v>
      </c>
      <c r="I17" s="12">
        <v>3.64</v>
      </c>
      <c r="J17" s="12">
        <v>4.34</v>
      </c>
      <c r="K17" s="12">
        <v>3.3</v>
      </c>
      <c r="L17" s="12">
        <v>7.75</v>
      </c>
      <c r="M17" s="12">
        <v>7.74</v>
      </c>
      <c r="N17" s="13">
        <v>46623018</v>
      </c>
      <c r="O17" s="12">
        <v>174472072</v>
      </c>
      <c r="P17" s="13">
        <v>7.1</v>
      </c>
      <c r="Q17" s="13">
        <v>3.66</v>
      </c>
      <c r="R17" s="13">
        <v>1492287</v>
      </c>
      <c r="S17" s="13" t="s">
        <v>41</v>
      </c>
      <c r="T17" t="s">
        <v>43</v>
      </c>
      <c r="U17">
        <v>7</v>
      </c>
      <c r="V17">
        <v>8</v>
      </c>
      <c r="W17">
        <v>3.47</v>
      </c>
      <c r="X17">
        <v>44</v>
      </c>
      <c r="Y17" s="15">
        <f>Table133[[#This Row],[Time until ideal entry + 390 (6:30)]]/(1440)</f>
        <v>0.27638888888888891</v>
      </c>
      <c r="Z17" s="18">
        <f t="shared" si="1"/>
        <v>2.6428571428571428</v>
      </c>
      <c r="AA17" s="18">
        <f>IF(Table133[[#This Row],[HOD AFTER PM HI]]&gt;=Table133[[#This Row],[PM Hi]],((Table133[[#This Row],[HOD AFTER PM HI]]-Table133[[#This Row],[Prior day close]])/Table133[[#This Row],[Prior day close]]),Table133[[#This Row],[Prior Close to PM Hi %]])</f>
        <v>5.9196428571428568</v>
      </c>
      <c r="AB17" s="18">
        <f>(Table133[[#This Row],[Price at hi of squeeze]]-Table133[[#This Row],[MKT Open Price]])/Table133[[#This Row],[MKT Open Price]]</f>
        <v>1.1263736263736261</v>
      </c>
      <c r="AC17" s="18">
        <f>(Table133[[#This Row],[Price at hi of squeeze]]-Table133[[#This Row],[PM Hi]])/Table133[[#This Row],[PM Hi]]</f>
        <v>0.8970588235294118</v>
      </c>
      <c r="AD17" s="18">
        <f t="shared" si="2"/>
        <v>1.3454545454545457</v>
      </c>
      <c r="AE17" s="20">
        <f>Table133[[#This Row],[PM VOL]]/1000000/Table133[[#This Row],[FLOAT(M)]]</f>
        <v>0.4077286885245901</v>
      </c>
      <c r="AF17" s="23">
        <f>(Table133[[#This Row],[Volume]]/1000000)/Table133[[#This Row],[FLOAT(M)]]</f>
        <v>12.738529508196722</v>
      </c>
      <c r="AG17" s="18">
        <f>(Table133[[#This Row],[Hi of Spike after open before drop]]-Table133[[#This Row],[MKT Open Price]])/Table133[[#This Row],[MKT Open Price]]</f>
        <v>0.19230769230769224</v>
      </c>
      <c r="AH17" s="18">
        <f>(Table133[[#This Row],[PM Hi]]-Table133[[#This Row],[MKT Open Price]])/(Table133[[#This Row],[PM Hi]])</f>
        <v>0.10784313725490195</v>
      </c>
      <c r="AI17" s="16">
        <f>IF(Table133[[#This Row],[PM LO]]&gt;Table133[[#This Row],[Prior day close]],(Table133[[#This Row],[PM Hi]]-Table133[[#This Row],[MKT Open Price]])/(Table133[[#This Row],[PM Hi]]-Table133[[#This Row],[Prior day close]]),(Table133[[#This Row],[PM Hi]]-Table133[[#This Row],[MKT Open Price]])/(Table133[[#This Row],[PM Hi]]-Table133[[#This Row],[PM LO]]))</f>
        <v>0.14864864864864863</v>
      </c>
      <c r="AJ17" s="16">
        <f>IF(Table133[[#This Row],[Prior day close]]&lt;Table133[[#This Row],[PM LO]],(I17-K17)/(I17-Table133[[#This Row],[Prior day close]]),(I17-K17)/(I17-Table133[[#This Row],[PM LO]]))</f>
        <v>0.13492063492063505</v>
      </c>
      <c r="AK17" s="16">
        <f>Table133[[#This Row],[Spike % on open before drop]]+AL17</f>
        <v>0.2857142857142857</v>
      </c>
      <c r="AL17" s="16">
        <f t="shared" si="0"/>
        <v>9.3406593406593491E-2</v>
      </c>
      <c r="AM17" s="18">
        <f>IF($J17&gt;=$F17,($J17-$K17)/($J17-$D17),(IF($H17&lt;=$K17,($F17-$H17)/($F17-$D17),(Table133[[#This Row],[PM Hi]]-Table133[[#This Row],[Lowest lo from open to squeeze]])/(Table133[[#This Row],[PM Hi]]-Table133[[#This Row],[Prior day close]]))))</f>
        <v>0.32298136645962738</v>
      </c>
      <c r="AN17" s="18">
        <f>IF(Table133[[#This Row],[Prior day close]]&lt;=Table133[[#This Row],[PM LO]],IF($J17&gt;=$F17,($J17-$K17)/($J17-Table133[[#This Row],[Prior day close]]),(IF($H17&lt;=$K17,($F17-$H17)/($F17-Table133[[#This Row],[Prior day close]]),(Table133[[#This Row],[PM Hi]]-Table133[[#This Row],[Lowest lo from open to squeeze]])/(Table133[[#This Row],[PM Hi]]-Table133[[#This Row],[Prior day close]])))),IF($J17&gt;=$F17,($J17-$K17)/($J17-Table133[[#This Row],[PM LO]]),(IF($H17&lt;=$K17,($F17-$H17)/($F17-Table133[[#This Row],[PM LO]]),(Table133[[#This Row],[PM Hi]]-Table133[[#This Row],[Lowest lo from open to squeeze]])/(Table133[[#This Row],[PM Hi]]-Table133[[#This Row],[PM LO]])))))</f>
        <v>0.32298136645962738</v>
      </c>
      <c r="AO17" s="18">
        <f>1.04/3.23</f>
        <v>0.32198142414860681</v>
      </c>
      <c r="AP17" s="17">
        <f>390+Table133[[#This Row],[Time until ideal entry point (mins) from open]]</f>
        <v>398</v>
      </c>
      <c r="AQ17" s="51">
        <f>(Table133[[#This Row],[Time until ideal entry + 390 (6:30)]]+Table133[[#This Row],[Duration of frontside (mins)]])/1440</f>
        <v>0.30694444444444446</v>
      </c>
    </row>
    <row r="18" spans="1:43" x14ac:dyDescent="0.25">
      <c r="A18" s="10" t="s">
        <v>85</v>
      </c>
      <c r="B18" s="11">
        <v>43999</v>
      </c>
      <c r="C18" s="47" t="s">
        <v>71</v>
      </c>
      <c r="D18" s="12">
        <v>1.1200000000000001</v>
      </c>
      <c r="E18" s="13">
        <v>1.1499999999999999</v>
      </c>
      <c r="F18" s="12">
        <v>3.57</v>
      </c>
      <c r="G18" s="12">
        <v>1.1399999999999999</v>
      </c>
      <c r="H18" s="12">
        <v>2.2999999999999998</v>
      </c>
      <c r="I18" s="12">
        <v>2.74</v>
      </c>
      <c r="J18" s="12">
        <v>3.12</v>
      </c>
      <c r="K18" s="12">
        <v>2.5</v>
      </c>
      <c r="L18" s="12">
        <v>4.8899999999999997</v>
      </c>
      <c r="M18" s="12">
        <v>4.8899999999999997</v>
      </c>
      <c r="N18" s="13">
        <v>47681656</v>
      </c>
      <c r="O18" s="12">
        <v>86416284</v>
      </c>
      <c r="P18" s="13">
        <v>4.34</v>
      </c>
      <c r="Q18">
        <v>1.93</v>
      </c>
      <c r="R18" s="13">
        <v>1868143</v>
      </c>
      <c r="S18" s="13"/>
      <c r="T18" t="s">
        <v>43</v>
      </c>
      <c r="U18">
        <v>1</v>
      </c>
      <c r="V18">
        <v>2</v>
      </c>
      <c r="W18">
        <v>2.96</v>
      </c>
      <c r="X18">
        <v>40</v>
      </c>
      <c r="Y18" s="15">
        <f>Table133[[#This Row],[Time until ideal entry + 390 (6:30)]]/(1440)</f>
        <v>0.2722222222222222</v>
      </c>
      <c r="Z18" s="18">
        <f t="shared" si="1"/>
        <v>2.1874999999999996</v>
      </c>
      <c r="AA18" s="18">
        <f>IF(Table133[[#This Row],[HOD AFTER PM HI]]&gt;=Table133[[#This Row],[PM Hi]],((Table133[[#This Row],[HOD AFTER PM HI]]-Table133[[#This Row],[Prior day close]])/Table133[[#This Row],[Prior day close]]),Table133[[#This Row],[Prior Close to PM Hi %]])</f>
        <v>3.3660714285714279</v>
      </c>
      <c r="AB18" s="18">
        <f>(Table133[[#This Row],[Price at hi of squeeze]]-Table133[[#This Row],[MKT Open Price]])/Table133[[#This Row],[MKT Open Price]]</f>
        <v>0.78467153284671509</v>
      </c>
      <c r="AC18" s="18">
        <f>(Table133[[#This Row],[Price at hi of squeeze]]-Table133[[#This Row],[PM Hi]])/Table133[[#This Row],[PM Hi]]</f>
        <v>0.36974789915966383</v>
      </c>
      <c r="AD18" s="18">
        <f t="shared" si="2"/>
        <v>0.95599999999999985</v>
      </c>
      <c r="AE18" s="20">
        <f>Table133[[#This Row],[PM VOL]]/1000000/Table133[[#This Row],[FLOAT(M)]]</f>
        <v>0.96794974093264252</v>
      </c>
      <c r="AF18" s="21">
        <f>(Table133[[#This Row],[Volume]]/1000000)/Table133[[#This Row],[FLOAT(M)]]</f>
        <v>24.705521243523314</v>
      </c>
      <c r="AG18" s="18">
        <f>(Table133[[#This Row],[Hi of Spike after open before drop]]-Table133[[#This Row],[MKT Open Price]])/Table133[[#This Row],[MKT Open Price]]</f>
        <v>0.13868613138686126</v>
      </c>
      <c r="AH18" s="18">
        <f>(Table133[[#This Row],[PM Hi]]-Table133[[#This Row],[MKT Open Price]])/(Table133[[#This Row],[PM Hi]])</f>
        <v>0.23249299719887945</v>
      </c>
      <c r="AI18" s="16">
        <f>IF(Table133[[#This Row],[PM LO]]&gt;Table133[[#This Row],[Prior day close]],(Table133[[#This Row],[PM Hi]]-Table133[[#This Row],[MKT Open Price]])/(Table133[[#This Row],[PM Hi]]-Table133[[#This Row],[Prior day close]]),(Table133[[#This Row],[PM Hi]]-Table133[[#This Row],[MKT Open Price]])/(Table133[[#This Row],[PM Hi]]-Table133[[#This Row],[PM LO]]))</f>
        <v>0.33877551020408153</v>
      </c>
      <c r="AJ18" s="16">
        <f>IF(Table133[[#This Row],[Prior day close]]&lt;Table133[[#This Row],[PM LO]],(I18-K18)/(I18-Table133[[#This Row],[Prior day close]]),(I18-K18)/(I18-Table133[[#This Row],[PM LO]]))</f>
        <v>0.14814814814814828</v>
      </c>
      <c r="AK18" s="16">
        <f>Table133[[#This Row],[Spike % on open before drop]]+AL18</f>
        <v>0.22627737226277372</v>
      </c>
      <c r="AL18" s="16">
        <f t="shared" si="0"/>
        <v>8.7591240875912482E-2</v>
      </c>
      <c r="AM18" s="18">
        <f>IF($J18&gt;=$F18,($J18-$K18)/($J18),(IF($H18&lt;=$K18,($F18-$H18)/($F18),(Table133[[#This Row],[PM Hi]]-Table133[[#This Row],[Lowest lo from open to squeeze]])/(Table133[[#This Row],[PM Hi]]))))</f>
        <v>0.35574229691876752</v>
      </c>
      <c r="AN18" s="18">
        <f>IF(Table133[[#This Row],[Prior day close]]&lt;=Table133[[#This Row],[PM LO]],IF($J18&gt;=$F18,($J18-$K18)/($J18-Table133[[#This Row],[Prior day close]]),(IF($H18&lt;=$K18,($F18-$H18)/($F18-Table133[[#This Row],[Prior day close]]),(Table133[[#This Row],[PM Hi]]-Table133[[#This Row],[Lowest lo from open to squeeze]])/(Table133[[#This Row],[PM Hi]]-Table133[[#This Row],[Prior day close]])))),IF($J18&gt;=$F18,($J18-$K18)/($J18-Table133[[#This Row],[PM LO]]),(IF($H18&lt;=$K18,($F18-$H18)/($F18-Table133[[#This Row],[PM LO]]),(Table133[[#This Row],[PM Hi]]-Table133[[#This Row],[Lowest lo from open to squeeze]])/(Table133[[#This Row],[PM Hi]]-Table133[[#This Row],[PM LO]])))))</f>
        <v>0.51836734693877562</v>
      </c>
      <c r="AO18" s="18">
        <f>IF(J18&gt;=F18,(J18-K18)/(J18-D18),(IF(H18&lt;=K18,(F18-H18)/(F18-D18),(Table133[[#This Row],[PM Hi]]-Table133[[#This Row],[Lowest lo from open to squeeze]])/(Table133[[#This Row],[PM Hi]]-Table133[[#This Row],[Prior day close]]))))</f>
        <v>0.51836734693877562</v>
      </c>
      <c r="AP18" s="17">
        <f>390+Table133[[#This Row],[Time until ideal entry point (mins) from open]]</f>
        <v>392</v>
      </c>
      <c r="AQ18" s="51">
        <f>(Table133[[#This Row],[Time until ideal entry + 390 (6:30)]]+Table133[[#This Row],[Duration of frontside (mins)]])/1440</f>
        <v>0.3</v>
      </c>
    </row>
    <row r="19" spans="1:43" x14ac:dyDescent="0.25">
      <c r="A19" s="10" t="s">
        <v>92</v>
      </c>
      <c r="B19" s="44">
        <v>44013</v>
      </c>
      <c r="C19" s="47" t="s">
        <v>71</v>
      </c>
      <c r="D19" s="12">
        <v>1.1299999999999999</v>
      </c>
      <c r="E19" s="13">
        <v>1.18</v>
      </c>
      <c r="F19" s="12">
        <v>3.73</v>
      </c>
      <c r="G19" s="12">
        <v>1.1499999999999999</v>
      </c>
      <c r="H19" s="12">
        <v>1.71</v>
      </c>
      <c r="I19" s="12">
        <v>2.11</v>
      </c>
      <c r="J19" s="12">
        <v>2.11</v>
      </c>
      <c r="K19" s="12">
        <v>1.96</v>
      </c>
      <c r="L19" s="12">
        <v>3.85</v>
      </c>
      <c r="M19" s="12">
        <v>3.63</v>
      </c>
      <c r="N19" s="13">
        <v>223606230</v>
      </c>
      <c r="O19" s="12">
        <v>562723906</v>
      </c>
      <c r="P19" s="13">
        <v>8</v>
      </c>
      <c r="Q19">
        <v>6.42</v>
      </c>
      <c r="R19" s="13">
        <v>6004157</v>
      </c>
      <c r="S19" s="13" t="s">
        <v>41</v>
      </c>
      <c r="T19" t="s">
        <v>43</v>
      </c>
      <c r="U19">
        <v>1</v>
      </c>
      <c r="V19">
        <v>2</v>
      </c>
      <c r="W19">
        <v>2.15</v>
      </c>
      <c r="X19">
        <v>66</v>
      </c>
      <c r="Y19" s="15">
        <f>Table133[[#This Row],[Time until ideal entry + 390 (6:30)]]/(1440)</f>
        <v>0.2722222222222222</v>
      </c>
      <c r="Z19" s="18">
        <f t="shared" si="1"/>
        <v>2.3008849557522129</v>
      </c>
      <c r="AA19" s="18">
        <f>IF(Table133[[#This Row],[HOD AFTER PM HI]]&gt;=Table133[[#This Row],[PM Hi]],((Table133[[#This Row],[HOD AFTER PM HI]]-Table133[[#This Row],[Prior day close]])/Table133[[#This Row],[Prior day close]]),Table133[[#This Row],[Prior Close to PM Hi %]])</f>
        <v>2.4070796460176993</v>
      </c>
      <c r="AB19" s="18">
        <f>(Table133[[#This Row],[Price at hi of squeeze]]-Table133[[#This Row],[MKT Open Price]])/Table133[[#This Row],[MKT Open Price]]</f>
        <v>0.72037914691943128</v>
      </c>
      <c r="AC19" s="18">
        <f>(Table133[[#This Row],[Price at hi of squeeze]]-Table133[[#This Row],[PM Hi]])/Table133[[#This Row],[PM Hi]]</f>
        <v>-2.6809651474530856E-2</v>
      </c>
      <c r="AD19" s="18">
        <f t="shared" si="2"/>
        <v>0.85204081632653061</v>
      </c>
      <c r="AE19" s="20">
        <f>Table133[[#This Row],[PM VOL]]/1000000/Table133[[#This Row],[FLOAT(M)]]</f>
        <v>0.93522694704049847</v>
      </c>
      <c r="AF19" s="21">
        <f>(Table133[[#This Row],[Volume]]/1000000)/Table133[[#This Row],[FLOAT(M)]]</f>
        <v>34.829630841121499</v>
      </c>
      <c r="AG19" s="18">
        <f>(Table133[[#This Row],[Hi of Spike after open before drop]]-Table133[[#This Row],[MKT Open Price]])/Table133[[#This Row],[MKT Open Price]]</f>
        <v>0</v>
      </c>
      <c r="AH19" s="18">
        <f>(Table133[[#This Row],[PM Hi]]-Table133[[#This Row],[MKT Open Price]])/(Table133[[#This Row],[PM Hi]])</f>
        <v>0.43431635388739948</v>
      </c>
      <c r="AI19" s="16">
        <f>IF(Table133[[#This Row],[PM LO]]&gt;Table133[[#This Row],[Prior day close]],(Table133[[#This Row],[PM Hi]]-Table133[[#This Row],[MKT Open Price]])/(Table133[[#This Row],[PM Hi]]-Table133[[#This Row],[Prior day close]]),(Table133[[#This Row],[PM Hi]]-Table133[[#This Row],[MKT Open Price]])/(Table133[[#This Row],[PM Hi]]-Table133[[#This Row],[PM LO]]))</f>
        <v>0.62307692307692308</v>
      </c>
      <c r="AJ19" s="16">
        <f>IF(Table133[[#This Row],[Prior day close]]&lt;Table133[[#This Row],[PM LO]],(I19-K19)/(I19-Table133[[#This Row],[Prior day close]]),(I19-K19)/(I19-Table133[[#This Row],[PM LO]]))</f>
        <v>0.15306122448979584</v>
      </c>
      <c r="AK19" s="16">
        <f>Table133[[#This Row],[Spike % on open before drop]]+AL19</f>
        <v>7.1090047393364886E-2</v>
      </c>
      <c r="AL19" s="16">
        <f t="shared" si="0"/>
        <v>7.1090047393364886E-2</v>
      </c>
      <c r="AM19" s="18">
        <f>IF($J19&gt;=$F19,($J19-$K19)/($J19),(IF($H19&lt;=$K19,($F19-$H19)/($F19),(Table133[[#This Row],[PM Hi]]-Table133[[#This Row],[Lowest lo from open to squeeze]])/(Table133[[#This Row],[PM Hi]]))))</f>
        <v>0.54155495978552282</v>
      </c>
      <c r="AN19" s="18">
        <f>IF(Table133[[#This Row],[Prior day close]]&lt;=Table133[[#This Row],[PM LO]],IF($J19&gt;=$F19,($J19-$K19)/($J19-Table133[[#This Row],[Prior day close]]),(IF($H19&lt;=$K19,($F19-$H19)/($F19-Table133[[#This Row],[Prior day close]]),(Table133[[#This Row],[PM Hi]]-Table133[[#This Row],[Lowest lo from open to squeeze]])/(Table133[[#This Row],[PM Hi]]-Table133[[#This Row],[Prior day close]])))),IF($J19&gt;=$F19,($J19-$K19)/($J19-Table133[[#This Row],[PM LO]]),(IF($H19&lt;=$K19,($F19-$H19)/($F19-Table133[[#This Row],[PM LO]]),(Table133[[#This Row],[PM Hi]]-Table133[[#This Row],[Lowest lo from open to squeeze]])/(Table133[[#This Row],[PM Hi]]-Table133[[#This Row],[PM LO]])))))</f>
        <v>0.77692307692307694</v>
      </c>
      <c r="AO19" s="18">
        <f>IF(J19&gt;=F19,(J19-K19)/(J19-D19),(IF(H19&lt;=K19,(F19-H19)/(F19-D19),(Table133[[#This Row],[PM Hi]]-Table133[[#This Row],[Lowest lo from open to squeeze]])/(Table133[[#This Row],[PM Hi]]-Table133[[#This Row],[Prior day close]]))))</f>
        <v>0.77692307692307694</v>
      </c>
      <c r="AP19" s="17">
        <f>390+Table133[[#This Row],[Time until ideal entry point (mins) from open]]</f>
        <v>392</v>
      </c>
      <c r="AQ19" s="51">
        <f>(Table133[[#This Row],[Time until ideal entry + 390 (6:30)]]+Table133[[#This Row],[Duration of frontside (mins)]])/1440</f>
        <v>0.31805555555555554</v>
      </c>
    </row>
    <row r="20" spans="1:43" x14ac:dyDescent="0.25">
      <c r="A20" s="10" t="s">
        <v>97</v>
      </c>
      <c r="B20" s="11">
        <v>44025</v>
      </c>
      <c r="C20" s="47" t="s">
        <v>71</v>
      </c>
      <c r="D20" s="12">
        <v>1.1499999999999999</v>
      </c>
      <c r="E20" s="13">
        <v>1.18</v>
      </c>
      <c r="F20" s="12">
        <v>2.1800000000000002</v>
      </c>
      <c r="G20" s="12">
        <v>1.1299999999999999</v>
      </c>
      <c r="H20" s="12">
        <v>1.46</v>
      </c>
      <c r="I20" s="12">
        <v>1.54</v>
      </c>
      <c r="J20" s="12">
        <v>1.63</v>
      </c>
      <c r="K20" s="12">
        <v>1.42</v>
      </c>
      <c r="L20" s="12">
        <v>1.94</v>
      </c>
      <c r="M20" s="12">
        <v>1.94</v>
      </c>
      <c r="N20" s="13">
        <v>81548470</v>
      </c>
      <c r="O20" s="12">
        <v>110917868</v>
      </c>
      <c r="P20" s="13">
        <v>38.4</v>
      </c>
      <c r="Q20">
        <v>26.11</v>
      </c>
      <c r="R20" s="13">
        <v>9827815</v>
      </c>
      <c r="S20" s="13" t="s">
        <v>43</v>
      </c>
      <c r="T20" t="s">
        <v>43</v>
      </c>
      <c r="U20">
        <v>4</v>
      </c>
      <c r="V20">
        <v>5</v>
      </c>
      <c r="W20">
        <v>1.45</v>
      </c>
      <c r="X20">
        <v>28</v>
      </c>
      <c r="Y20" s="15">
        <f>Table133[[#This Row],[Time until ideal entry + 390 (6:30)]]/(1440)</f>
        <v>0.27430555555555558</v>
      </c>
      <c r="Z20" s="18">
        <f t="shared" si="1"/>
        <v>0.89565217391304375</v>
      </c>
      <c r="AA20" s="18">
        <f>IF(Table133[[#This Row],[HOD AFTER PM HI]]&gt;=Table133[[#This Row],[PM Hi]],((Table133[[#This Row],[HOD AFTER PM HI]]-Table133[[#This Row],[Prior day close]])/Table133[[#This Row],[Prior day close]]),Table133[[#This Row],[Prior Close to PM Hi %]])</f>
        <v>0.89565217391304375</v>
      </c>
      <c r="AB20" s="18">
        <f>(Table133[[#This Row],[Price at hi of squeeze]]-Table133[[#This Row],[MKT Open Price]])/Table133[[#This Row],[MKT Open Price]]</f>
        <v>0.25974025974025966</v>
      </c>
      <c r="AC20" s="18">
        <f>(Table133[[#This Row],[Price at hi of squeeze]]-Table133[[#This Row],[PM Hi]])/Table133[[#This Row],[PM Hi]]</f>
        <v>-0.11009174311926614</v>
      </c>
      <c r="AD20" s="18">
        <f t="shared" si="2"/>
        <v>0.36619718309859156</v>
      </c>
      <c r="AE20" s="20">
        <f>Table133[[#This Row],[PM VOL]]/1000000/Table133[[#This Row],[FLOAT(M)]]</f>
        <v>0.37640042129452317</v>
      </c>
      <c r="AF20" s="21">
        <f>(Table133[[#This Row],[Volume]]/1000000)/Table133[[#This Row],[FLOAT(M)]]</f>
        <v>3.1232657985446188</v>
      </c>
      <c r="AG20" s="18">
        <f>(Table133[[#This Row],[Hi of Spike after open before drop]]-Table133[[#This Row],[MKT Open Price]])/Table133[[#This Row],[MKT Open Price]]</f>
        <v>5.844155844155835E-2</v>
      </c>
      <c r="AH20" s="18">
        <f>(Table133[[#This Row],[PM Hi]]-Table133[[#This Row],[MKT Open Price]])/(Table133[[#This Row],[PM Hi]])</f>
        <v>0.29357798165137616</v>
      </c>
      <c r="AI20" s="16">
        <f>IF(Table133[[#This Row],[PM LO]]&gt;Table133[[#This Row],[Prior day close]],(Table133[[#This Row],[PM Hi]]-Table133[[#This Row],[MKT Open Price]])/(Table133[[#This Row],[PM Hi]]-Table133[[#This Row],[Prior day close]]),(Table133[[#This Row],[PM Hi]]-Table133[[#This Row],[MKT Open Price]])/(Table133[[#This Row],[PM Hi]]-Table133[[#This Row],[PM LO]]))</f>
        <v>0.60952380952380947</v>
      </c>
      <c r="AJ20" s="16">
        <f>IF(Table133[[#This Row],[Prior day close]]&lt;Table133[[#This Row],[PM LO]],(I20-K20)/(I20-Table133[[#This Row],[Prior day close]]),(I20-K20)/(I20-Table133[[#This Row],[PM LO]]))</f>
        <v>0.29268292682926844</v>
      </c>
      <c r="AK20" s="16">
        <f>Table133[[#This Row],[Spike % on open before drop]]+AL20</f>
        <v>0.13636363636363635</v>
      </c>
      <c r="AL20" s="16">
        <f t="shared" si="0"/>
        <v>7.792207792207799E-2</v>
      </c>
      <c r="AM20" s="18">
        <f>IF($J20&gt;=$F20,($J20-$K20)/($J20),(IF($H20&lt;=$K20,($F20-$H20)/($F20),(Table133[[#This Row],[PM Hi]]-Table133[[#This Row],[Lowest lo from open to squeeze]])/(Table133[[#This Row],[PM Hi]]))))</f>
        <v>0.34862385321100925</v>
      </c>
      <c r="AN20" s="18">
        <f>IF(Table133[[#This Row],[Prior day close]]&lt;=Table133[[#This Row],[PM LO]],IF($J20&gt;=$F20,($J20-$K20)/($J20-Table133[[#This Row],[Prior day close]]),(IF($H20&lt;=$K20,($F20-$H20)/($F20-Table133[[#This Row],[Prior day close]]),(Table133[[#This Row],[PM Hi]]-Table133[[#This Row],[Lowest lo from open to squeeze]])/(Table133[[#This Row],[PM Hi]]-Table133[[#This Row],[Prior day close]])))),IF($J20&gt;=$F20,($J20-$K20)/($J20-Table133[[#This Row],[PM LO]]),(IF($H20&lt;=$K20,($F20-$H20)/($F20-Table133[[#This Row],[PM LO]]),(Table133[[#This Row],[PM Hi]]-Table133[[#This Row],[Lowest lo from open to squeeze]])/(Table133[[#This Row],[PM Hi]]-Table133[[#This Row],[PM LO]])))))</f>
        <v>0.72380952380952379</v>
      </c>
      <c r="AO20" s="18">
        <f>IF(J20&gt;=F20,(J20-K20)/(J20-D20),(IF(H20&lt;=K20,(F20-H20)/(F20-D20),(Table133[[#This Row],[PM Hi]]-Table133[[#This Row],[Lowest lo from open to squeeze]])/(Table133[[#This Row],[PM Hi]]-Table133[[#This Row],[Prior day close]]))))</f>
        <v>0.73786407766990292</v>
      </c>
      <c r="AP20" s="17">
        <f>390+Table133[[#This Row],[Time until ideal entry point (mins) from open]]</f>
        <v>395</v>
      </c>
      <c r="AQ20" s="51">
        <f>(Table133[[#This Row],[Time until ideal entry + 390 (6:30)]]+Table133[[#This Row],[Duration of frontside (mins)]])/1440</f>
        <v>0.29375000000000001</v>
      </c>
    </row>
    <row r="21" spans="1:43" x14ac:dyDescent="0.25">
      <c r="A21" s="24" t="s">
        <v>45</v>
      </c>
      <c r="B21" s="11">
        <v>43104</v>
      </c>
      <c r="C21" s="47" t="s">
        <v>71</v>
      </c>
      <c r="D21" s="12">
        <v>1.17</v>
      </c>
      <c r="E21" s="13">
        <v>1.3</v>
      </c>
      <c r="F21" s="12">
        <v>3.64</v>
      </c>
      <c r="G21" s="12">
        <v>1.3</v>
      </c>
      <c r="H21" s="12">
        <v>2.83</v>
      </c>
      <c r="I21" s="12">
        <v>2.84</v>
      </c>
      <c r="J21" s="12">
        <v>3.33</v>
      </c>
      <c r="K21" s="12">
        <v>2.76</v>
      </c>
      <c r="L21" s="12">
        <v>11.9</v>
      </c>
      <c r="M21" s="12">
        <v>11.9</v>
      </c>
      <c r="N21" s="13">
        <v>81662655</v>
      </c>
      <c r="O21" s="12">
        <v>781491436</v>
      </c>
      <c r="P21" s="13">
        <v>14</v>
      </c>
      <c r="Q21" s="13">
        <v>5</v>
      </c>
      <c r="R21" s="13">
        <v>1381195</v>
      </c>
      <c r="S21" s="13" t="s">
        <v>43</v>
      </c>
      <c r="T21" t="s">
        <v>43</v>
      </c>
      <c r="U21">
        <v>4</v>
      </c>
      <c r="V21">
        <v>5</v>
      </c>
      <c r="W21">
        <v>2.86</v>
      </c>
      <c r="X21">
        <v>337</v>
      </c>
      <c r="Y21" s="15">
        <f>Table133[[#This Row],[Time until ideal entry + 390 (6:30)]]/(1440)</f>
        <v>0.27430555555555558</v>
      </c>
      <c r="Z21" s="18">
        <f t="shared" si="1"/>
        <v>2.1111111111111116</v>
      </c>
      <c r="AA21" s="18">
        <f>IF(Table133[[#This Row],[HOD AFTER PM HI]]&gt;=Table133[[#This Row],[PM Hi]],((Table133[[#This Row],[HOD AFTER PM HI]]-Table133[[#This Row],[Prior day close]])/Table133[[#This Row],[Prior day close]]),Table133[[#This Row],[Prior Close to PM Hi %]])</f>
        <v>9.1709401709401721</v>
      </c>
      <c r="AB21" s="18">
        <f>(Table133[[#This Row],[Price at hi of squeeze]]-Table133[[#This Row],[MKT Open Price]])/Table133[[#This Row],[MKT Open Price]]</f>
        <v>3.1901408450704229</v>
      </c>
      <c r="AC21" s="18">
        <f>(Table133[[#This Row],[Price at hi of squeeze]]-Table133[[#This Row],[PM Hi]])/Table133[[#This Row],[PM Hi]]</f>
        <v>2.2692307692307692</v>
      </c>
      <c r="AD21" s="18">
        <f t="shared" si="2"/>
        <v>3.3115942028985512</v>
      </c>
      <c r="AE21" s="20">
        <f>Table133[[#This Row],[PM VOL]]/1000000/Table133[[#This Row],[FLOAT(M)]]</f>
        <v>0.27623900000000001</v>
      </c>
      <c r="AF21" s="21">
        <f>(Table133[[#This Row],[Volume]]/1000000)/Table133[[#This Row],[FLOAT(M)]]</f>
        <v>16.332530999999999</v>
      </c>
      <c r="AG21" s="18">
        <f>(Table133[[#This Row],[Hi of Spike after open before drop]]-Table133[[#This Row],[MKT Open Price]])/Table133[[#This Row],[MKT Open Price]]</f>
        <v>0.17253521126760571</v>
      </c>
      <c r="AH21" s="18">
        <f>(Table133[[#This Row],[PM Hi]]-Table133[[#This Row],[MKT Open Price]])/(Table133[[#This Row],[PM Hi]])</f>
        <v>0.21978021978021983</v>
      </c>
      <c r="AI21" s="16">
        <f>IF(Table133[[#This Row],[PM LO]]&gt;Table133[[#This Row],[Prior day close]],(Table133[[#This Row],[PM Hi]]-Table133[[#This Row],[MKT Open Price]])/(Table133[[#This Row],[PM Hi]]-Table133[[#This Row],[Prior day close]]),(Table133[[#This Row],[PM Hi]]-Table133[[#This Row],[MKT Open Price]])/(Table133[[#This Row],[PM Hi]]-Table133[[#This Row],[PM LO]]))</f>
        <v>0.32388663967611342</v>
      </c>
      <c r="AJ21" s="16">
        <f>IF(Table133[[#This Row],[Prior day close]]&lt;Table133[[#This Row],[PM LO]],(I21-K21)/(I21-Table133[[#This Row],[Prior day close]]),(I21-K21)/(I21-Table133[[#This Row],[PM LO]]))</f>
        <v>4.7904191616766512E-2</v>
      </c>
      <c r="AK21" s="16">
        <f>Table133[[#This Row],[Spike % on open before drop]]+AL21</f>
        <v>0.20070422535211277</v>
      </c>
      <c r="AL21" s="16">
        <f t="shared" si="0"/>
        <v>2.8169014084507067E-2</v>
      </c>
      <c r="AM21" s="18">
        <f>IF($J21&gt;=$F21,($J21-$K21)/($J21-$D21),(IF($H21&lt;=$K21,($F21-$H21)/($F21-$D21),(Table133[[#This Row],[PM Hi]]-Table133[[#This Row],[Lowest lo from open to squeeze]])/(Table133[[#This Row],[PM Hi]]-Table133[[#This Row],[Prior day close]]))))</f>
        <v>0.35627530364372478</v>
      </c>
      <c r="AN21" s="18">
        <f>IF(Table133[[#This Row],[Prior day close]]&lt;=Table133[[#This Row],[PM LO]],IF($J21&gt;=$F21,($J21-$K21)/($J21-Table133[[#This Row],[Prior day close]]),(IF($H21&lt;=$K21,($F21-$H21)/($F21-Table133[[#This Row],[Prior day close]]),(Table133[[#This Row],[PM Hi]]-Table133[[#This Row],[Lowest lo from open to squeeze]])/(Table133[[#This Row],[PM Hi]]-Table133[[#This Row],[Prior day close]])))),IF($J21&gt;=$F21,($J21-$K21)/($J21-Table133[[#This Row],[PM LO]]),(IF($H21&lt;=$K21,($F21-$H21)/($F21-Table133[[#This Row],[PM LO]]),(Table133[[#This Row],[PM Hi]]-Table133[[#This Row],[Lowest lo from open to squeeze]])/(Table133[[#This Row],[PM Hi]]-Table133[[#This Row],[PM LO]])))))</f>
        <v>0.35627530364372478</v>
      </c>
      <c r="AO21" s="18">
        <f>0.85/2.4</f>
        <v>0.35416666666666669</v>
      </c>
      <c r="AP21" s="17">
        <f>390+Table133[[#This Row],[Time until ideal entry point (mins) from open]]</f>
        <v>395</v>
      </c>
      <c r="AQ21" s="51">
        <f>(Table133[[#This Row],[Time until ideal entry + 390 (6:30)]]+Table133[[#This Row],[Duration of frontside (mins)]])/1440</f>
        <v>0.5083333333333333</v>
      </c>
    </row>
    <row r="22" spans="1:43" x14ac:dyDescent="0.25">
      <c r="A22" s="10" t="s">
        <v>83</v>
      </c>
      <c r="B22" s="44">
        <v>43992</v>
      </c>
      <c r="C22" s="47" t="s">
        <v>71</v>
      </c>
      <c r="D22" s="12">
        <v>1.22</v>
      </c>
      <c r="E22" s="13">
        <v>1.24</v>
      </c>
      <c r="F22" s="12">
        <v>2.78</v>
      </c>
      <c r="G22" s="12">
        <v>1.24</v>
      </c>
      <c r="H22" s="12">
        <v>1.89</v>
      </c>
      <c r="I22" s="12">
        <v>2.19</v>
      </c>
      <c r="J22" s="12">
        <v>2.4</v>
      </c>
      <c r="K22" s="12">
        <v>1.88</v>
      </c>
      <c r="L22" s="12">
        <v>3.59</v>
      </c>
      <c r="M22" s="12">
        <v>3.2</v>
      </c>
      <c r="N22" s="13">
        <v>166997013</v>
      </c>
      <c r="O22" s="12">
        <v>302343572</v>
      </c>
      <c r="P22" s="13">
        <v>45.47</v>
      </c>
      <c r="Q22">
        <v>30.91</v>
      </c>
      <c r="R22" s="13">
        <v>7873710</v>
      </c>
      <c r="S22" s="13" t="s">
        <v>43</v>
      </c>
      <c r="T22" t="s">
        <v>41</v>
      </c>
      <c r="U22">
        <v>5</v>
      </c>
      <c r="V22">
        <v>6</v>
      </c>
      <c r="W22">
        <v>2.0099999999999998</v>
      </c>
      <c r="X22">
        <v>25</v>
      </c>
      <c r="Y22" s="15">
        <f>Table133[[#This Row],[Time until ideal entry + 390 (6:30)]]/(1440)</f>
        <v>0.27500000000000002</v>
      </c>
      <c r="Z22" s="18">
        <f t="shared" si="1"/>
        <v>1.2786885245901638</v>
      </c>
      <c r="AA22" s="18">
        <f>IF(Table133[[#This Row],[HOD AFTER PM HI]]&gt;=Table133[[#This Row],[PM Hi]],((Table133[[#This Row],[HOD AFTER PM HI]]-Table133[[#This Row],[Prior day close]])/Table133[[#This Row],[Prior day close]]),Table133[[#This Row],[Prior Close to PM Hi %]])</f>
        <v>1.9426229508196722</v>
      </c>
      <c r="AB22" s="18">
        <f>(Table133[[#This Row],[Price at hi of squeeze]]-Table133[[#This Row],[MKT Open Price]])/Table133[[#This Row],[MKT Open Price]]</f>
        <v>0.46118721461187229</v>
      </c>
      <c r="AC22" s="18">
        <f>(Table133[[#This Row],[Price at hi of squeeze]]-Table133[[#This Row],[PM Hi]])/Table133[[#This Row],[PM Hi]]</f>
        <v>0.15107913669064763</v>
      </c>
      <c r="AD22" s="18">
        <f t="shared" si="2"/>
        <v>0.70212765957446832</v>
      </c>
      <c r="AE22" s="20">
        <f>Table133[[#This Row],[PM VOL]]/1000000/Table133[[#This Row],[FLOAT(M)]]</f>
        <v>0.25473018440634099</v>
      </c>
      <c r="AF22" s="21">
        <f>(Table133[[#This Row],[Volume]]/1000000)/Table133[[#This Row],[FLOAT(M)]]</f>
        <v>5.4026856357165967</v>
      </c>
      <c r="AG22" s="18">
        <f>(Table133[[#This Row],[Hi of Spike after open before drop]]-Table133[[#This Row],[MKT Open Price]])/Table133[[#This Row],[MKT Open Price]]</f>
        <v>9.589041095890409E-2</v>
      </c>
      <c r="AH22" s="18">
        <f>(Table133[[#This Row],[PM Hi]]-Table133[[#This Row],[MKT Open Price]])/(Table133[[#This Row],[PM Hi]])</f>
        <v>0.21223021582733809</v>
      </c>
      <c r="AI22" s="16">
        <f>IF(Table133[[#This Row],[PM LO]]&gt;Table133[[#This Row],[Prior day close]],(Table133[[#This Row],[PM Hi]]-Table133[[#This Row],[MKT Open Price]])/(Table133[[#This Row],[PM Hi]]-Table133[[#This Row],[Prior day close]]),(Table133[[#This Row],[PM Hi]]-Table133[[#This Row],[MKT Open Price]])/(Table133[[#This Row],[PM Hi]]-Table133[[#This Row],[PM LO]]))</f>
        <v>0.37820512820512814</v>
      </c>
      <c r="AJ22" s="16">
        <f>IF(Table133[[#This Row],[Prior day close]]&lt;Table133[[#This Row],[PM LO]],(I22-K22)/(I22-Table133[[#This Row],[Prior day close]]),(I22-K22)/(I22-Table133[[#This Row],[PM LO]]))</f>
        <v>0.31958762886597947</v>
      </c>
      <c r="AK22" s="16">
        <f>Table133[[#This Row],[Spike % on open before drop]]+AL22</f>
        <v>0.23744292237442921</v>
      </c>
      <c r="AL22" s="16">
        <f t="shared" si="0"/>
        <v>0.14155251141552513</v>
      </c>
      <c r="AM22" s="18">
        <f>IF($J22&gt;=$F22,($J22-$K22)/($J22),(IF($H22&lt;=$K22,($F22-$H22)/($F22),(Table133[[#This Row],[PM Hi]]-Table133[[#This Row],[Lowest lo from open to squeeze]])/(Table133[[#This Row],[PM Hi]]))))</f>
        <v>0.32374100719424459</v>
      </c>
      <c r="AN22" s="18">
        <f>IF(Table133[[#This Row],[Prior day close]]&lt;=Table133[[#This Row],[PM LO]],IF($J22&gt;=$F22,($J22-$K22)/($J22-Table133[[#This Row],[Prior day close]]),(IF($H22&lt;=$K22,($F22-$H22)/($F22-Table133[[#This Row],[Prior day close]]),(Table133[[#This Row],[PM Hi]]-Table133[[#This Row],[Lowest lo from open to squeeze]])/(Table133[[#This Row],[PM Hi]]-Table133[[#This Row],[Prior day close]])))),IF($J22&gt;=$F22,($J22-$K22)/($J22-Table133[[#This Row],[PM LO]]),(IF($H22&lt;=$K22,($F22-$H22)/($F22-Table133[[#This Row],[PM LO]]),(Table133[[#This Row],[PM Hi]]-Table133[[#This Row],[Lowest lo from open to squeeze]])/(Table133[[#This Row],[PM Hi]]-Table133[[#This Row],[PM LO]])))))</f>
        <v>0.57692307692307698</v>
      </c>
      <c r="AO22" s="18">
        <f>IF(J22&gt;=F22,(J22-K22)/(J22-D22),(IF(H22&lt;=K22,(F22-H22)/(F22-D22),(Table133[[#This Row],[PM Hi]]-Table133[[#This Row],[Lowest lo from open to squeeze]])/(Table133[[#This Row],[PM Hi]]-Table133[[#This Row],[Prior day close]]))))</f>
        <v>0.57692307692307698</v>
      </c>
      <c r="AP22" s="17">
        <f>390+Table133[[#This Row],[Time until ideal entry point (mins) from open]]</f>
        <v>396</v>
      </c>
      <c r="AQ22" s="51">
        <f>(Table133[[#This Row],[Time until ideal entry + 390 (6:30)]]+Table133[[#This Row],[Duration of frontside (mins)]])/1440</f>
        <v>0.29236111111111113</v>
      </c>
    </row>
    <row r="23" spans="1:43" x14ac:dyDescent="0.25">
      <c r="A23" s="10" t="s">
        <v>72</v>
      </c>
      <c r="B23" s="44">
        <v>43979</v>
      </c>
      <c r="C23" s="47" t="s">
        <v>71</v>
      </c>
      <c r="D23" s="12">
        <v>1.29</v>
      </c>
      <c r="E23" s="13">
        <v>1.47</v>
      </c>
      <c r="F23" s="12">
        <v>4.38</v>
      </c>
      <c r="G23" s="12">
        <v>1.47</v>
      </c>
      <c r="H23" s="12">
        <v>3.36</v>
      </c>
      <c r="I23" s="12">
        <v>3.9</v>
      </c>
      <c r="J23" s="12">
        <v>4.32</v>
      </c>
      <c r="K23" s="12">
        <v>3.48</v>
      </c>
      <c r="L23" s="12">
        <v>5.07</v>
      </c>
      <c r="M23" s="12">
        <v>4.4400000000000004</v>
      </c>
      <c r="N23" s="13">
        <v>122754829</v>
      </c>
      <c r="O23" s="12">
        <v>484922432</v>
      </c>
      <c r="P23" s="13">
        <v>21.94</v>
      </c>
      <c r="Q23">
        <v>45.71</v>
      </c>
      <c r="R23" s="13">
        <v>3010889</v>
      </c>
      <c r="S23" s="13" t="s">
        <v>43</v>
      </c>
      <c r="T23" t="s">
        <v>43</v>
      </c>
      <c r="U23">
        <v>6</v>
      </c>
      <c r="V23">
        <v>36</v>
      </c>
      <c r="W23">
        <v>3.63</v>
      </c>
      <c r="X23">
        <v>24</v>
      </c>
      <c r="Y23" s="15">
        <f>Table133[[#This Row],[Time until ideal entry + 390 (6:30)]]/(1440)</f>
        <v>0.29583333333333334</v>
      </c>
      <c r="Z23" s="18">
        <f t="shared" si="1"/>
        <v>2.3953488372093021</v>
      </c>
      <c r="AA23" s="18">
        <f>IF(Table133[[#This Row],[HOD AFTER PM HI]]&gt;=Table133[[#This Row],[PM Hi]],((Table133[[#This Row],[HOD AFTER PM HI]]-Table133[[#This Row],[Prior day close]])/Table133[[#This Row],[Prior day close]]),Table133[[#This Row],[Prior Close to PM Hi %]])</f>
        <v>2.9302325581395352</v>
      </c>
      <c r="AB23" s="18">
        <f>(Table133[[#This Row],[Price at hi of squeeze]]-Table133[[#This Row],[MKT Open Price]])/Table133[[#This Row],[MKT Open Price]]</f>
        <v>0.13846153846153858</v>
      </c>
      <c r="AC23" s="18">
        <f>(Table133[[#This Row],[Price at hi of squeeze]]-Table133[[#This Row],[PM Hi]])/Table133[[#This Row],[PM Hi]]</f>
        <v>1.3698630136986415E-2</v>
      </c>
      <c r="AD23" s="18">
        <f t="shared" si="2"/>
        <v>0.27586206896551735</v>
      </c>
      <c r="AE23" s="20">
        <f>Table133[[#This Row],[PM VOL]]/1000000/Table133[[#This Row],[FLOAT(M)]]</f>
        <v>6.5869372128637055E-2</v>
      </c>
      <c r="AF23" s="21">
        <f>(Table133[[#This Row],[Volume]]/1000000)/Table133[[#This Row],[FLOAT(M)]]</f>
        <v>2.6855136512798072</v>
      </c>
      <c r="AG23" s="18">
        <f>(Table133[[#This Row],[Hi of Spike after open before drop]]-Table133[[#This Row],[MKT Open Price]])/Table133[[#This Row],[MKT Open Price]]</f>
        <v>0.1076923076923078</v>
      </c>
      <c r="AH23" s="18">
        <f>(Table133[[#This Row],[PM Hi]]-Table133[[#This Row],[MKT Open Price]])/(Table133[[#This Row],[PM Hi]])</f>
        <v>0.1095890410958904</v>
      </c>
      <c r="AI23" s="16">
        <f>IF(Table133[[#This Row],[PM LO]]&gt;Table133[[#This Row],[Prior day close]],(Table133[[#This Row],[PM Hi]]-Table133[[#This Row],[MKT Open Price]])/(Table133[[#This Row],[PM Hi]]-Table133[[#This Row],[Prior day close]]),(Table133[[#This Row],[PM Hi]]-Table133[[#This Row],[MKT Open Price]])/(Table133[[#This Row],[PM Hi]]-Table133[[#This Row],[PM LO]]))</f>
        <v>0.15533980582524273</v>
      </c>
      <c r="AJ23" s="16">
        <f>IF(Table133[[#This Row],[Prior day close]]&lt;Table133[[#This Row],[PM LO]],(I23-K23)/(I23-Table133[[#This Row],[Prior day close]]),(I23-K23)/(I23-Table133[[#This Row],[PM LO]]))</f>
        <v>0.16091954022988503</v>
      </c>
      <c r="AK23" s="16">
        <f>Table133[[#This Row],[Spike % on open before drop]]+AL23</f>
        <v>0.21538461538461545</v>
      </c>
      <c r="AL23" s="16">
        <f t="shared" si="0"/>
        <v>0.10769230769230767</v>
      </c>
      <c r="AM23" s="18">
        <f>IF($J23&gt;=$F23,($J23-$K23)/($J23),(IF($H23&lt;=$K23,($F23-$H23)/($F23),(Table133[[#This Row],[PM Hi]]-Table133[[#This Row],[Lowest lo from open to squeeze]])/(Table133[[#This Row],[PM Hi]]))))</f>
        <v>0.23287671232876714</v>
      </c>
      <c r="AN23" s="18">
        <f>IF(Table133[[#This Row],[Prior day close]]&lt;=Table133[[#This Row],[PM LO]],IF($J23&gt;=$F23,($J23-$K23)/($J23-Table133[[#This Row],[Prior day close]]),(IF($H23&lt;=$K23,($F23-$H23)/($F23-Table133[[#This Row],[Prior day close]]),(Table133[[#This Row],[PM Hi]]-Table133[[#This Row],[Lowest lo from open to squeeze]])/(Table133[[#This Row],[PM Hi]]-Table133[[#This Row],[Prior day close]])))),IF($J23&gt;=$F23,($J23-$K23)/($J23-Table133[[#This Row],[PM LO]]),(IF($H23&lt;=$K23,($F23-$H23)/($F23-Table133[[#This Row],[PM LO]]),(Table133[[#This Row],[PM Hi]]-Table133[[#This Row],[Lowest lo from open to squeeze]])/(Table133[[#This Row],[PM Hi]]-Table133[[#This Row],[PM LO]])))))</f>
        <v>0.3300970873786408</v>
      </c>
      <c r="AO23" s="18">
        <f>IF(J23&gt;=F23,(J23-K23)/(J23-D23),(IF(H23&lt;=K23,(F23-H23)/(F23-D23),(Table133[[#This Row],[PM Hi]]-Table133[[#This Row],[Lowest lo from open to squeeze]])/(Table133[[#This Row],[PM Hi]]-Table133[[#This Row],[Prior day close]]))))</f>
        <v>0.3300970873786408</v>
      </c>
      <c r="AP23" s="17">
        <f>390+Table133[[#This Row],[Time until ideal entry point (mins) from open]]</f>
        <v>426</v>
      </c>
      <c r="AQ23" s="51">
        <f>(Table133[[#This Row],[Time until ideal entry + 390 (6:30)]]+Table133[[#This Row],[Duration of frontside (mins)]])/1440</f>
        <v>0.3125</v>
      </c>
    </row>
    <row r="24" spans="1:43" x14ac:dyDescent="0.25">
      <c r="A24" s="10" t="s">
        <v>87</v>
      </c>
      <c r="B24" s="11">
        <v>44006</v>
      </c>
      <c r="C24" s="47" t="s">
        <v>71</v>
      </c>
      <c r="D24" s="12">
        <v>1.29</v>
      </c>
      <c r="E24" s="13">
        <v>1.29</v>
      </c>
      <c r="F24" s="12">
        <v>1.71</v>
      </c>
      <c r="G24" s="12">
        <v>1.1499999999999999</v>
      </c>
      <c r="H24" s="12">
        <v>1.48</v>
      </c>
      <c r="I24" s="12">
        <v>1.56</v>
      </c>
      <c r="J24" s="12">
        <v>1.64</v>
      </c>
      <c r="K24" s="12">
        <v>1.38</v>
      </c>
      <c r="L24" s="12">
        <v>2.4900000000000002</v>
      </c>
      <c r="M24" s="12">
        <v>2.4900000000000002</v>
      </c>
      <c r="N24" s="13">
        <v>266520566</v>
      </c>
      <c r="O24" s="12">
        <v>460682388</v>
      </c>
      <c r="P24" s="13">
        <v>176</v>
      </c>
      <c r="Q24">
        <v>141.80000000000001</v>
      </c>
      <c r="R24" s="13">
        <v>6163104</v>
      </c>
      <c r="S24" s="13"/>
      <c r="T24" t="s">
        <v>43</v>
      </c>
      <c r="U24">
        <v>20</v>
      </c>
      <c r="V24">
        <v>21</v>
      </c>
      <c r="W24">
        <v>1.4</v>
      </c>
      <c r="X24">
        <v>43</v>
      </c>
      <c r="Y24" s="15">
        <f>Table133[[#This Row],[Time until ideal entry + 390 (6:30)]]/(1440)</f>
        <v>0.28541666666666665</v>
      </c>
      <c r="Z24" s="18">
        <f t="shared" si="1"/>
        <v>0.32558139534883712</v>
      </c>
      <c r="AA24" s="18">
        <f>IF(Table133[[#This Row],[HOD AFTER PM HI]]&gt;=Table133[[#This Row],[PM Hi]],((Table133[[#This Row],[HOD AFTER PM HI]]-Table133[[#This Row],[Prior day close]])/Table133[[#This Row],[Prior day close]]),Table133[[#This Row],[Prior Close to PM Hi %]])</f>
        <v>0.93023255813953498</v>
      </c>
      <c r="AB24" s="18">
        <f>(Table133[[#This Row],[Price at hi of squeeze]]-Table133[[#This Row],[MKT Open Price]])/Table133[[#This Row],[MKT Open Price]]</f>
        <v>0.59615384615384626</v>
      </c>
      <c r="AC24" s="18">
        <f>(Table133[[#This Row],[Price at hi of squeeze]]-Table133[[#This Row],[PM Hi]])/Table133[[#This Row],[PM Hi]]</f>
        <v>0.45614035087719312</v>
      </c>
      <c r="AD24" s="18">
        <f t="shared" si="2"/>
        <v>0.80434782608695676</v>
      </c>
      <c r="AE24" s="20">
        <f>Table133[[#This Row],[PM VOL]]/1000000/Table133[[#This Row],[FLOAT(M)]]</f>
        <v>4.3463356840620589E-2</v>
      </c>
      <c r="AF24" s="21">
        <f>(Table133[[#This Row],[Volume]]/1000000)/Table133[[#This Row],[FLOAT(M)]]</f>
        <v>1.8795526516220025</v>
      </c>
      <c r="AG24" s="18">
        <f>(Table133[[#This Row],[Hi of Spike after open before drop]]-Table133[[#This Row],[MKT Open Price]])/Table133[[#This Row],[MKT Open Price]]</f>
        <v>5.1282051282051183E-2</v>
      </c>
      <c r="AH24" s="18">
        <f>(Table133[[#This Row],[PM Hi]]-Table133[[#This Row],[MKT Open Price]])/(Table133[[#This Row],[PM Hi]])</f>
        <v>8.7719298245613989E-2</v>
      </c>
      <c r="AI24" s="16">
        <f>IF(Table133[[#This Row],[PM LO]]&gt;Table133[[#This Row],[Prior day close]],(Table133[[#This Row],[PM Hi]]-Table133[[#This Row],[MKT Open Price]])/(Table133[[#This Row],[PM Hi]]-Table133[[#This Row],[Prior day close]]),(Table133[[#This Row],[PM Hi]]-Table133[[#This Row],[MKT Open Price]])/(Table133[[#This Row],[PM Hi]]-Table133[[#This Row],[PM LO]]))</f>
        <v>0.26785714285714268</v>
      </c>
      <c r="AJ24" s="16">
        <f>IF(Table133[[#This Row],[Prior day close]]&lt;Table133[[#This Row],[PM LO]],(I24-K24)/(I24-Table133[[#This Row],[Prior day close]]),(I24-K24)/(I24-Table133[[#This Row],[PM LO]]))</f>
        <v>0.43902439024390266</v>
      </c>
      <c r="AK24" s="16">
        <f>Table133[[#This Row],[Spike % on open before drop]]+AL24</f>
        <v>0.16666666666666669</v>
      </c>
      <c r="AL24" s="16">
        <f t="shared" si="0"/>
        <v>0.11538461538461549</v>
      </c>
      <c r="AM24" s="18">
        <f>IF($J24&gt;=$F24,($J24-$K24)/($J24),(IF($H24&lt;=$K24,($F24-$H24)/($F24),(Table133[[#This Row],[PM Hi]]-Table133[[#This Row],[Lowest lo from open to squeeze]])/(Table133[[#This Row],[PM Hi]]))))</f>
        <v>0.19298245614035092</v>
      </c>
      <c r="AN24" s="18">
        <f>IF(Table133[[#This Row],[Prior day close]]&lt;=Table133[[#This Row],[PM LO]],IF($J24&gt;=$F24,($J24-$K24)/($J24-Table133[[#This Row],[Prior day close]]),(IF($H24&lt;=$K24,($F24-$H24)/($F24-Table133[[#This Row],[Prior day close]]),(Table133[[#This Row],[PM Hi]]-Table133[[#This Row],[Lowest lo from open to squeeze]])/(Table133[[#This Row],[PM Hi]]-Table133[[#This Row],[Prior day close]])))),IF($J24&gt;=$F24,($J24-$K24)/($J24-Table133[[#This Row],[PM LO]]),(IF($H24&lt;=$K24,($F24-$H24)/($F24-Table133[[#This Row],[PM LO]]),(Table133[[#This Row],[PM Hi]]-Table133[[#This Row],[Lowest lo from open to squeeze]])/(Table133[[#This Row],[PM Hi]]-Table133[[#This Row],[PM LO]])))))</f>
        <v>0.5892857142857143</v>
      </c>
      <c r="AO24" s="18">
        <f>IF(J24&gt;=F24,(J24-K24)/(J24-D24),(IF(H24&lt;=K24,(F24-H24)/(F24-D24),(Table133[[#This Row],[PM Hi]]-Table133[[#This Row],[Lowest lo from open to squeeze]])/(Table133[[#This Row],[PM Hi]]-Table133[[#This Row],[Prior day close]]))))</f>
        <v>0.78571428571428603</v>
      </c>
      <c r="AP24" s="17">
        <f>390+Table133[[#This Row],[Time until ideal entry point (mins) from open]]</f>
        <v>411</v>
      </c>
      <c r="AQ24" s="51">
        <f>(Table133[[#This Row],[Time until ideal entry + 390 (6:30)]]+Table133[[#This Row],[Duration of frontside (mins)]])/1440</f>
        <v>0.31527777777777777</v>
      </c>
    </row>
    <row r="25" spans="1:43" x14ac:dyDescent="0.25">
      <c r="A25" s="24" t="s">
        <v>138</v>
      </c>
      <c r="B25" s="11">
        <v>44195</v>
      </c>
      <c r="C25" s="47" t="s">
        <v>71</v>
      </c>
      <c r="D25" s="12">
        <v>1.36</v>
      </c>
      <c r="E25" s="13">
        <v>1.4</v>
      </c>
      <c r="F25" s="12">
        <v>2.38</v>
      </c>
      <c r="G25" s="12">
        <v>1.37</v>
      </c>
      <c r="H25" s="12">
        <v>1.37</v>
      </c>
      <c r="I25" s="12">
        <v>1.92</v>
      </c>
      <c r="J25" s="12">
        <v>2.27</v>
      </c>
      <c r="K25" s="12">
        <v>1.84</v>
      </c>
      <c r="L25" s="12">
        <v>5.56</v>
      </c>
      <c r="M25" s="12">
        <v>5.56</v>
      </c>
      <c r="N25" s="13">
        <v>119470640</v>
      </c>
      <c r="O25" s="12">
        <v>348854268</v>
      </c>
      <c r="P25" s="37">
        <v>18.3</v>
      </c>
      <c r="Q25">
        <v>5.74</v>
      </c>
      <c r="R25" s="37">
        <v>8188511</v>
      </c>
      <c r="S25" s="37" t="s">
        <v>41</v>
      </c>
      <c r="T25" s="37" t="s">
        <v>43</v>
      </c>
      <c r="U25" s="38">
        <v>14</v>
      </c>
      <c r="V25">
        <v>14</v>
      </c>
      <c r="W25" s="39">
        <v>1.88</v>
      </c>
      <c r="X25">
        <v>38</v>
      </c>
      <c r="Y25" s="40">
        <f>Table133[[#This Row],[Time until ideal entry + 390 (6:30)]]/(1440)</f>
        <v>0.28055555555555556</v>
      </c>
      <c r="Z25" s="18">
        <f t="shared" si="1"/>
        <v>0.74999999999999978</v>
      </c>
      <c r="AA25" s="18">
        <f>IF(Table133[[#This Row],[HOD AFTER PM HI]]&gt;=Table133[[#This Row],[PM Hi]],((Table133[[#This Row],[HOD AFTER PM HI]]-Table133[[#This Row],[Prior day close]])/Table133[[#This Row],[Prior day close]]),Table133[[#This Row],[Prior Close to PM Hi %]])</f>
        <v>3.0882352941176463</v>
      </c>
      <c r="AB25" s="42">
        <f>(Table133[[#This Row],[Price at hi of squeeze]]-Table133[[#This Row],[MKT Open Price]])/Table133[[#This Row],[MKT Open Price]]</f>
        <v>1.8958333333333333</v>
      </c>
      <c r="AC25" s="18">
        <f>(Table133[[#This Row],[Price at hi of squeeze]]-Table133[[#This Row],[PM Hi]])/Table133[[#This Row],[PM Hi]]</f>
        <v>1.3361344537815125</v>
      </c>
      <c r="AD25" s="18">
        <f t="shared" si="2"/>
        <v>2.0217391304347823</v>
      </c>
      <c r="AE25" s="20">
        <f>Table133[[#This Row],[PM VOL]]/1000000/Table133[[#This Row],[FLOAT(M)]]</f>
        <v>1.4265698606271777</v>
      </c>
      <c r="AF25" s="23">
        <f>(Table133[[#This Row],[Volume]]/1000000)/Table133[[#This Row],[FLOAT(M)]]</f>
        <v>20.813700348432054</v>
      </c>
      <c r="AH25" s="18">
        <f>(Table133[[#This Row],[PM Hi]]-Table133[[#This Row],[MKT Open Price]])/(Table133[[#This Row],[PM Hi]])</f>
        <v>0.19327731092436976</v>
      </c>
      <c r="AI25" s="16">
        <f>IF(Table133[[#This Row],[PM LO]]&gt;Table133[[#This Row],[Prior day close]],(Table133[[#This Row],[PM Hi]]-Table133[[#This Row],[MKT Open Price]])/(Table133[[#This Row],[PM Hi]]-Table133[[#This Row],[Prior day close]]),(Table133[[#This Row],[PM Hi]]-Table133[[#This Row],[MKT Open Price]])/(Table133[[#This Row],[PM Hi]]-Table133[[#This Row],[PM LO]]))</f>
        <v>0.45098039215686281</v>
      </c>
      <c r="AJ25" s="18">
        <f>IF(Table133[[#This Row],[Prior day close]]&lt;Table133[[#This Row],[PM LO]],(I25-K25)/(I25-Table133[[#This Row],[Prior day close]]),(I25-K25)/(I25-Table133[[#This Row],[PM LO]]))</f>
        <v>0.14285714285714263</v>
      </c>
      <c r="AK25" s="18">
        <f>Table133[[#This Row],[Spike % on open before drop]]+AL25</f>
        <v>4.1666666666666588E-2</v>
      </c>
      <c r="AL25" s="16">
        <f t="shared" si="0"/>
        <v>4.1666666666666588E-2</v>
      </c>
      <c r="AM25" s="18">
        <f>IF($J25&gt;=$F25,($J25-$K25)/($J25),(IF($H25&lt;=$K25,($F25-$H25)/($F25),(Table133[[#This Row],[PM Hi]]-Table133[[#This Row],[Lowest lo from open to squeeze]])/(Table133[[#This Row],[PM Hi]]))))</f>
        <v>0.4243697478991596</v>
      </c>
      <c r="AN25" s="18">
        <f>IF(Table133[[#This Row],[Prior day close]]&lt;=Table133[[#This Row],[PM LO]],IF($J25&gt;=$F25,($J25-$K25)/($J25-Table133[[#This Row],[Prior day close]]),(IF($H25&lt;=$K25,($F25-$H25)/($F25-Table133[[#This Row],[Prior day close]]),(Table133[[#This Row],[PM Hi]]-Table133[[#This Row],[Lowest lo from open to squeeze]])/(Table133[[#This Row],[PM Hi]]-Table133[[#This Row],[Prior day close]])))),IF($J25&gt;=$F25,($J25-$K25)/($J25-Table133[[#This Row],[PM LO]]),(IF($H25&lt;=$K25,($F25-$H25)/($F25-Table133[[#This Row],[PM LO]]),(Table133[[#This Row],[PM Hi]]-Table133[[#This Row],[Lowest lo from open to squeeze]])/(Table133[[#This Row],[PM Hi]]-Table133[[#This Row],[PM LO]])))))</f>
        <v>0.99019607843137258</v>
      </c>
      <c r="AO25" s="18">
        <f>IF(J25&gt;=F25,(J25-K25)/(J25-D25),(IF(H25&lt;=K25,(F25-H25)/(F25-D25),(Table133[[#This Row],[PM Hi]]-Table133[[#This Row],[Lowest lo from open to squeeze]])/(Table133[[#This Row],[PM Hi]]-Table133[[#This Row],[Prior day close]]))))</f>
        <v>0.99019607843137258</v>
      </c>
      <c r="AP25" s="17">
        <f>390+Table133[[#This Row],[Time until ideal entry point (mins) from open]]</f>
        <v>404</v>
      </c>
      <c r="AQ25" s="51">
        <f>(Table133[[#This Row],[Time until ideal entry + 390 (6:30)]]+Table133[[#This Row],[Duration of frontside (mins)]])/1440</f>
        <v>0.30694444444444446</v>
      </c>
    </row>
    <row r="26" spans="1:43" x14ac:dyDescent="0.25">
      <c r="A26" s="10" t="s">
        <v>67</v>
      </c>
      <c r="B26" s="11">
        <v>43945</v>
      </c>
      <c r="C26" s="47" t="s">
        <v>71</v>
      </c>
      <c r="D26" s="12">
        <v>1.41</v>
      </c>
      <c r="E26" s="13">
        <v>1.45</v>
      </c>
      <c r="F26" s="12">
        <v>3.1</v>
      </c>
      <c r="G26" s="12">
        <v>1.45</v>
      </c>
      <c r="H26" s="12">
        <v>2.3199999999999998</v>
      </c>
      <c r="I26" s="12">
        <v>2.36</v>
      </c>
      <c r="J26" s="12">
        <v>2.48</v>
      </c>
      <c r="K26" s="12">
        <v>2.06</v>
      </c>
      <c r="L26" s="12">
        <v>3.42</v>
      </c>
      <c r="M26" s="12">
        <v>3.42</v>
      </c>
      <c r="N26" s="13">
        <v>32754511</v>
      </c>
      <c r="O26" s="12">
        <v>58613192</v>
      </c>
      <c r="P26" s="13">
        <v>5.82</v>
      </c>
      <c r="Q26" s="13">
        <v>2.14</v>
      </c>
      <c r="R26" s="13">
        <v>2586134</v>
      </c>
      <c r="S26" s="13" t="s">
        <v>43</v>
      </c>
      <c r="T26" t="s">
        <v>43</v>
      </c>
      <c r="U26">
        <v>13</v>
      </c>
      <c r="V26">
        <v>14</v>
      </c>
      <c r="W26">
        <v>2.12</v>
      </c>
      <c r="X26">
        <v>41</v>
      </c>
      <c r="Y26" s="15">
        <f>Table133[[#This Row],[Time until ideal entry + 390 (6:30)]]/(1440)</f>
        <v>0.28055555555555556</v>
      </c>
      <c r="Z26" s="18">
        <f t="shared" si="1"/>
        <v>1.1985815602836882</v>
      </c>
      <c r="AA26" s="18">
        <f>IF(Table133[[#This Row],[HOD AFTER PM HI]]&gt;=Table133[[#This Row],[PM Hi]],((Table133[[#This Row],[HOD AFTER PM HI]]-Table133[[#This Row],[Prior day close]])/Table133[[#This Row],[Prior day close]]),Table133[[#This Row],[Prior Close to PM Hi %]])</f>
        <v>1.425531914893617</v>
      </c>
      <c r="AB26" s="18">
        <f>(Table133[[#This Row],[Price at hi of squeeze]]-Table133[[#This Row],[MKT Open Price]])/Table133[[#This Row],[MKT Open Price]]</f>
        <v>0.44915254237288138</v>
      </c>
      <c r="AC26" s="18">
        <f>(Table133[[#This Row],[Price at hi of squeeze]]-Table133[[#This Row],[PM Hi]])/Table133[[#This Row],[PM Hi]]</f>
        <v>0.10322580645161285</v>
      </c>
      <c r="AD26" s="18">
        <f t="shared" si="2"/>
        <v>0.66019417475728148</v>
      </c>
      <c r="AE26" s="20">
        <f>Table133[[#This Row],[PM VOL]]/1000000/Table133[[#This Row],[FLOAT(M)]]</f>
        <v>1.2084738317757009</v>
      </c>
      <c r="AF26" s="21">
        <f>(Table133[[#This Row],[Volume]]/1000000)/Table133[[#This Row],[FLOAT(M)]]</f>
        <v>15.305846261682243</v>
      </c>
      <c r="AG26" s="18">
        <f>(Table133[[#This Row],[Hi of Spike after open before drop]]-Table133[[#This Row],[MKT Open Price]])/Table133[[#This Row],[MKT Open Price]]</f>
        <v>5.0847457627118689E-2</v>
      </c>
      <c r="AH26" s="18">
        <f>(Table133[[#This Row],[PM Hi]]-Table133[[#This Row],[MKT Open Price]])/(Table133[[#This Row],[PM Hi]])</f>
        <v>0.23870967741935489</v>
      </c>
      <c r="AI26" s="16">
        <f>IF(Table133[[#This Row],[PM LO]]&gt;Table133[[#This Row],[Prior day close]],(Table133[[#This Row],[PM Hi]]-Table133[[#This Row],[MKT Open Price]])/(Table133[[#This Row],[PM Hi]]-Table133[[#This Row],[Prior day close]]),(Table133[[#This Row],[PM Hi]]-Table133[[#This Row],[MKT Open Price]])/(Table133[[#This Row],[PM Hi]]-Table133[[#This Row],[PM LO]]))</f>
        <v>0.43786982248520717</v>
      </c>
      <c r="AJ26" s="16">
        <f>IF(Table133[[#This Row],[Prior day close]]&lt;Table133[[#This Row],[PM LO]],(I26-K26)/(I26-Table133[[#This Row],[Prior day close]]),(I26-K26)/(I26-Table133[[#This Row],[PM LO]]))</f>
        <v>0.31578947368421034</v>
      </c>
      <c r="AK26" s="16">
        <f>Table133[[#This Row],[Spike % on open before drop]]+AL26</f>
        <v>0.17796610169491522</v>
      </c>
      <c r="AL26" s="16">
        <f t="shared" si="0"/>
        <v>0.12711864406779655</v>
      </c>
      <c r="AM26" s="18">
        <f>IF($J26&gt;=$F26,($J26-$K26)/($J26-$D26),(IF($H26&lt;=$K26,($F26-$H26)/($F26-$D26),(Table133[[#This Row],[PM Hi]]-Table133[[#This Row],[Lowest lo from open to squeeze]])/(Table133[[#This Row],[PM Hi]]-Table133[[#This Row],[Prior day close]]))))</f>
        <v>0.61538461538461531</v>
      </c>
      <c r="AN26" s="18">
        <f>IF(Table133[[#This Row],[Prior day close]]&lt;=Table133[[#This Row],[PM LO]],IF($J26&gt;=$F26,($J26-$K26)/($J26-Table133[[#This Row],[Prior day close]]),(IF($H26&lt;=$K26,($F26-$H26)/($F26-Table133[[#This Row],[Prior day close]]),(Table133[[#This Row],[PM Hi]]-Table133[[#This Row],[Lowest lo from open to squeeze]])/(Table133[[#This Row],[PM Hi]]-Table133[[#This Row],[Prior day close]])))),IF($J26&gt;=$F26,($J26-$K26)/($J26-Table133[[#This Row],[PM LO]]),(IF($H26&lt;=$K26,($F26-$H26)/($F26-Table133[[#This Row],[PM LO]]),(Table133[[#This Row],[PM Hi]]-Table133[[#This Row],[Lowest lo from open to squeeze]])/(Table133[[#This Row],[PM Hi]]-Table133[[#This Row],[PM LO]])))))</f>
        <v>0.61538461538461531</v>
      </c>
      <c r="AO26" s="18">
        <f>1.02/1.7</f>
        <v>0.6</v>
      </c>
      <c r="AP26" s="17">
        <f>390+Table133[[#This Row],[Time until ideal entry point (mins) from open]]</f>
        <v>404</v>
      </c>
      <c r="AQ26" s="51">
        <f>(Table133[[#This Row],[Time until ideal entry + 390 (6:30)]]+Table133[[#This Row],[Duration of frontside (mins)]])/1440</f>
        <v>0.30902777777777779</v>
      </c>
    </row>
    <row r="27" spans="1:43" x14ac:dyDescent="0.25">
      <c r="A27" s="10" t="s">
        <v>79</v>
      </c>
      <c r="B27" s="44">
        <v>43990</v>
      </c>
      <c r="C27" s="47" t="s">
        <v>71</v>
      </c>
      <c r="D27" s="12">
        <v>1.41</v>
      </c>
      <c r="E27" s="13">
        <v>1.41</v>
      </c>
      <c r="F27" s="12">
        <v>2.25</v>
      </c>
      <c r="G27" s="12">
        <v>1.41</v>
      </c>
      <c r="H27" s="12">
        <v>1.85</v>
      </c>
      <c r="I27" s="12">
        <v>1.91</v>
      </c>
      <c r="J27" s="12">
        <v>2.0299999999999998</v>
      </c>
      <c r="K27" s="12">
        <v>1.88</v>
      </c>
      <c r="L27" s="12">
        <v>3.59</v>
      </c>
      <c r="M27" s="12">
        <v>3.59</v>
      </c>
      <c r="N27" s="13">
        <v>102442455</v>
      </c>
      <c r="O27" s="12">
        <v>345602834</v>
      </c>
      <c r="P27" s="13">
        <v>78</v>
      </c>
      <c r="Q27">
        <f>78/1.5</f>
        <v>52</v>
      </c>
      <c r="R27" s="13">
        <v>3779866</v>
      </c>
      <c r="S27" s="13" t="s">
        <v>43</v>
      </c>
      <c r="T27" t="s">
        <v>43</v>
      </c>
      <c r="U27">
        <v>6</v>
      </c>
      <c r="V27">
        <v>7</v>
      </c>
      <c r="W27">
        <v>1.93</v>
      </c>
      <c r="X27">
        <v>44</v>
      </c>
      <c r="Y27" s="15">
        <f>Table133[[#This Row],[Time until ideal entry + 390 (6:30)]]/(1440)</f>
        <v>0.27569444444444446</v>
      </c>
      <c r="Z27" s="18">
        <f t="shared" si="1"/>
        <v>0.59574468085106391</v>
      </c>
      <c r="AA27" s="18">
        <f>IF(Table133[[#This Row],[HOD AFTER PM HI]]&gt;=Table133[[#This Row],[PM Hi]],((Table133[[#This Row],[HOD AFTER PM HI]]-Table133[[#This Row],[Prior day close]])/Table133[[#This Row],[Prior day close]]),Table133[[#This Row],[Prior Close to PM Hi %]])</f>
        <v>1.5460992907801416</v>
      </c>
      <c r="AB27" s="18">
        <f>(Table133[[#This Row],[Price at hi of squeeze]]-Table133[[#This Row],[MKT Open Price]])/Table133[[#This Row],[MKT Open Price]]</f>
        <v>0.87958115183246077</v>
      </c>
      <c r="AC27" s="18">
        <f>(Table133[[#This Row],[Price at hi of squeeze]]-Table133[[#This Row],[PM Hi]])/Table133[[#This Row],[PM Hi]]</f>
        <v>0.5955555555555555</v>
      </c>
      <c r="AD27" s="18">
        <f t="shared" si="2"/>
        <v>0.90957446808510645</v>
      </c>
      <c r="AE27" s="20">
        <f>Table133[[#This Row],[PM VOL]]/1000000/Table133[[#This Row],[FLOAT(M)]]</f>
        <v>7.268973076923077E-2</v>
      </c>
      <c r="AF27" s="21">
        <f>(Table133[[#This Row],[Volume]]/1000000)/Table133[[#This Row],[FLOAT(M)]]</f>
        <v>1.9700472115384615</v>
      </c>
      <c r="AG27" s="18">
        <f>(Table133[[#This Row],[Hi of Spike after open before drop]]-Table133[[#This Row],[MKT Open Price]])/Table133[[#This Row],[MKT Open Price]]</f>
        <v>6.2827225130889994E-2</v>
      </c>
      <c r="AH27" s="18">
        <f>(Table133[[#This Row],[PM Hi]]-Table133[[#This Row],[MKT Open Price]])/(Table133[[#This Row],[PM Hi]])</f>
        <v>0.15111111111111114</v>
      </c>
      <c r="AI27" s="16">
        <f>IF(Table133[[#This Row],[PM LO]]&gt;Table133[[#This Row],[Prior day close]],(Table133[[#This Row],[PM Hi]]-Table133[[#This Row],[MKT Open Price]])/(Table133[[#This Row],[PM Hi]]-Table133[[#This Row],[Prior day close]]),(Table133[[#This Row],[PM Hi]]-Table133[[#This Row],[MKT Open Price]])/(Table133[[#This Row],[PM Hi]]-Table133[[#This Row],[PM LO]]))</f>
        <v>0.40476190476190482</v>
      </c>
      <c r="AJ27" s="16">
        <f>IF(Table133[[#This Row],[Prior day close]]&lt;Table133[[#This Row],[PM LO]],(I27-K27)/(I27-Table133[[#This Row],[Prior day close]]),(I27-K27)/(I27-Table133[[#This Row],[PM LO]]))</f>
        <v>6.0000000000000053E-2</v>
      </c>
      <c r="AK27" s="16">
        <f>Table133[[#This Row],[Spike % on open before drop]]+AL27</f>
        <v>7.8534031413612523E-2</v>
      </c>
      <c r="AL27" s="16">
        <f t="shared" si="0"/>
        <v>1.5706806282722526E-2</v>
      </c>
      <c r="AM27" s="18">
        <f>IF($J27&gt;=$F27,($J27-$K27)/($J27),(IF($H27&lt;=$K27,($F27-$H27)/($F27),(Table133[[#This Row],[PM Hi]]-Table133[[#This Row],[Lowest lo from open to squeeze]])/(Table133[[#This Row],[PM Hi]]))))</f>
        <v>0.17777777777777773</v>
      </c>
      <c r="AN27" s="18">
        <f>IF(Table133[[#This Row],[Prior day close]]&lt;=Table133[[#This Row],[PM LO]],IF($J27&gt;=$F27,($J27-$K27)/($J27-Table133[[#This Row],[Prior day close]]),(IF($H27&lt;=$K27,($F27-$H27)/($F27-Table133[[#This Row],[Prior day close]]),(Table133[[#This Row],[PM Hi]]-Table133[[#This Row],[Lowest lo from open to squeeze]])/(Table133[[#This Row],[PM Hi]]-Table133[[#This Row],[Prior day close]])))),IF($J27&gt;=$F27,($J27-$K27)/($J27-Table133[[#This Row],[PM LO]]),(IF($H27&lt;=$K27,($F27-$H27)/($F27-Table133[[#This Row],[PM LO]]),(Table133[[#This Row],[PM Hi]]-Table133[[#This Row],[Lowest lo from open to squeeze]])/(Table133[[#This Row],[PM Hi]]-Table133[[#This Row],[PM LO]])))))</f>
        <v>0.47619047619047605</v>
      </c>
      <c r="AO27" s="18">
        <f>IF(J27&gt;=F27,(J27-K27)/(J27-D27),(IF(H27&lt;=K27,(F27-H27)/(F27-D27),(Table133[[#This Row],[PM Hi]]-Table133[[#This Row],[Lowest lo from open to squeeze]])/(Table133[[#This Row],[PM Hi]]-Table133[[#This Row],[Prior day close]]))))</f>
        <v>0.47619047619047605</v>
      </c>
      <c r="AP27" s="17">
        <f>390+Table133[[#This Row],[Time until ideal entry point (mins) from open]]</f>
        <v>397</v>
      </c>
      <c r="AQ27" s="51">
        <f>(Table133[[#This Row],[Time until ideal entry + 390 (6:30)]]+Table133[[#This Row],[Duration of frontside (mins)]])/1440</f>
        <v>0.30625000000000002</v>
      </c>
    </row>
    <row r="28" spans="1:43" x14ac:dyDescent="0.25">
      <c r="A28" s="10" t="s">
        <v>75</v>
      </c>
      <c r="B28" s="11">
        <v>43984</v>
      </c>
      <c r="C28" s="47" t="s">
        <v>71</v>
      </c>
      <c r="D28" s="12">
        <v>1.41</v>
      </c>
      <c r="E28" s="13">
        <v>1.5</v>
      </c>
      <c r="F28" s="12">
        <v>2.9</v>
      </c>
      <c r="G28" s="12">
        <v>1.5</v>
      </c>
      <c r="H28" s="12">
        <v>2.2200000000000002</v>
      </c>
      <c r="I28" s="12">
        <v>2.34</v>
      </c>
      <c r="J28" s="12">
        <v>2.41</v>
      </c>
      <c r="K28" s="12">
        <v>2.17</v>
      </c>
      <c r="L28" s="12">
        <v>2.68</v>
      </c>
      <c r="M28" s="12">
        <v>2.68</v>
      </c>
      <c r="N28" s="13">
        <v>54115995</v>
      </c>
      <c r="O28" s="12">
        <v>66298878</v>
      </c>
      <c r="P28" s="13">
        <v>13.89</v>
      </c>
      <c r="Q28">
        <v>9.18</v>
      </c>
      <c r="R28" s="13">
        <v>8025782</v>
      </c>
      <c r="S28" s="13" t="s">
        <v>43</v>
      </c>
      <c r="T28" t="s">
        <v>43</v>
      </c>
      <c r="U28">
        <v>9</v>
      </c>
      <c r="V28">
        <v>10</v>
      </c>
      <c r="W28">
        <v>2.2200000000000002</v>
      </c>
      <c r="X28">
        <v>10</v>
      </c>
      <c r="Y28" s="15">
        <f>Table133[[#This Row],[Time until ideal entry + 390 (6:30)]]/(1440)</f>
        <v>0.27777777777777779</v>
      </c>
      <c r="Z28" s="18">
        <f t="shared" si="1"/>
        <v>1.0567375886524824</v>
      </c>
      <c r="AA28" s="18">
        <f>IF(Table133[[#This Row],[HOD AFTER PM HI]]&gt;=Table133[[#This Row],[PM Hi]],((Table133[[#This Row],[HOD AFTER PM HI]]-Table133[[#This Row],[Prior day close]])/Table133[[#This Row],[Prior day close]]),Table133[[#This Row],[Prior Close to PM Hi %]])</f>
        <v>1.0567375886524824</v>
      </c>
      <c r="AB28" s="18">
        <f>(Table133[[#This Row],[Price at hi of squeeze]]-Table133[[#This Row],[MKT Open Price]])/Table133[[#This Row],[MKT Open Price]]</f>
        <v>0.14529914529914545</v>
      </c>
      <c r="AC28" s="18">
        <f>(Table133[[#This Row],[Price at hi of squeeze]]-Table133[[#This Row],[PM Hi]])/Table133[[#This Row],[PM Hi]]</f>
        <v>-7.5862068965517157E-2</v>
      </c>
      <c r="AD28" s="18">
        <f t="shared" si="2"/>
        <v>0.2350230414746545</v>
      </c>
      <c r="AE28" s="20">
        <f>Table133[[#This Row],[PM VOL]]/1000000/Table133[[#This Row],[FLOAT(M)]]</f>
        <v>0.8742681917211329</v>
      </c>
      <c r="AF28" s="21">
        <f>(Table133[[#This Row],[Volume]]/1000000)/Table133[[#This Row],[FLOAT(M)]]</f>
        <v>5.8949885620915037</v>
      </c>
      <c r="AG28" s="18">
        <f>(Table133[[#This Row],[Hi of Spike after open before drop]]-Table133[[#This Row],[MKT Open Price]])/Table133[[#This Row],[MKT Open Price]]</f>
        <v>2.9914529914530037E-2</v>
      </c>
      <c r="AH28" s="18">
        <f>(Table133[[#This Row],[PM Hi]]-Table133[[#This Row],[MKT Open Price]])/(Table133[[#This Row],[PM Hi]])</f>
        <v>0.19310344827586209</v>
      </c>
      <c r="AI28" s="16">
        <f>IF(Table133[[#This Row],[PM LO]]&gt;Table133[[#This Row],[Prior day close]],(Table133[[#This Row],[PM Hi]]-Table133[[#This Row],[MKT Open Price]])/(Table133[[#This Row],[PM Hi]]-Table133[[#This Row],[Prior day close]]),(Table133[[#This Row],[PM Hi]]-Table133[[#This Row],[MKT Open Price]])/(Table133[[#This Row],[PM Hi]]-Table133[[#This Row],[PM LO]]))</f>
        <v>0.37583892617449666</v>
      </c>
      <c r="AJ28" s="16">
        <f>IF(Table133[[#This Row],[Prior day close]]&lt;Table133[[#This Row],[PM LO]],(I28-K28)/(I28-Table133[[#This Row],[Prior day close]]),(I28-K28)/(I28-Table133[[#This Row],[PM LO]]))</f>
        <v>0.18279569892473113</v>
      </c>
      <c r="AK28" s="16">
        <f>Table133[[#This Row],[Spike % on open before drop]]+AL28</f>
        <v>0.10256410256410267</v>
      </c>
      <c r="AL28" s="16">
        <f t="shared" si="0"/>
        <v>7.2649572649572627E-2</v>
      </c>
      <c r="AM28" s="18">
        <f>IF($J28&gt;=$F28,($J28-$K28)/($J28),(IF($H28&lt;=$K28,($F28-$H28)/($F28),(Table133[[#This Row],[PM Hi]]-Table133[[#This Row],[Lowest lo from open to squeeze]])/(Table133[[#This Row],[PM Hi]]))))</f>
        <v>0.25172413793103449</v>
      </c>
      <c r="AN28" s="18">
        <f>IF(Table133[[#This Row],[Prior day close]]&lt;=Table133[[#This Row],[PM LO]],IF($J28&gt;=$F28,($J28-$K28)/($J28-Table133[[#This Row],[Prior day close]]),(IF($H28&lt;=$K28,($F28-$H28)/($F28-Table133[[#This Row],[Prior day close]]),(Table133[[#This Row],[PM Hi]]-Table133[[#This Row],[Lowest lo from open to squeeze]])/(Table133[[#This Row],[PM Hi]]-Table133[[#This Row],[Prior day close]])))),IF($J28&gt;=$F28,($J28-$K28)/($J28-Table133[[#This Row],[PM LO]]),(IF($H28&lt;=$K28,($F28-$H28)/($F28-Table133[[#This Row],[PM LO]]),(Table133[[#This Row],[PM Hi]]-Table133[[#This Row],[Lowest lo from open to squeeze]])/(Table133[[#This Row],[PM Hi]]-Table133[[#This Row],[PM LO]])))))</f>
        <v>0.48993288590604028</v>
      </c>
      <c r="AO28" s="18">
        <f>IF(J28&gt;=F28,(J28-K28)/(J28-D28),(IF(H28&lt;=K28,(F28-H28)/(F28-D28),(Table133[[#This Row],[PM Hi]]-Table133[[#This Row],[Lowest lo from open to squeeze]])/(Table133[[#This Row],[PM Hi]]-Table133[[#This Row],[Prior day close]]))))</f>
        <v>0.48993288590604028</v>
      </c>
      <c r="AP28" s="17">
        <f>390+Table133[[#This Row],[Time until ideal entry point (mins) from open]]</f>
        <v>400</v>
      </c>
      <c r="AQ28" s="51">
        <f>(Table133[[#This Row],[Time until ideal entry + 390 (6:30)]]+Table133[[#This Row],[Duration of frontside (mins)]])/1440</f>
        <v>0.28472222222222221</v>
      </c>
    </row>
    <row r="29" spans="1:43" x14ac:dyDescent="0.25">
      <c r="A29" s="10" t="s">
        <v>88</v>
      </c>
      <c r="B29" s="11">
        <v>44006</v>
      </c>
      <c r="C29" s="47" t="s">
        <v>71</v>
      </c>
      <c r="D29" s="12">
        <v>1.43</v>
      </c>
      <c r="E29" s="13">
        <v>1.43</v>
      </c>
      <c r="F29" s="12">
        <v>1.69</v>
      </c>
      <c r="G29" s="12">
        <v>1.35</v>
      </c>
      <c r="H29" s="12">
        <v>1.53</v>
      </c>
      <c r="I29" s="12">
        <v>1.62</v>
      </c>
      <c r="J29" s="12">
        <v>1.68</v>
      </c>
      <c r="K29" s="12">
        <v>1.53</v>
      </c>
      <c r="L29" s="12">
        <v>2.57</v>
      </c>
      <c r="M29" s="12">
        <v>2.57</v>
      </c>
      <c r="N29" s="13">
        <v>133831031</v>
      </c>
      <c r="O29" s="12">
        <v>280010853</v>
      </c>
      <c r="P29" s="13">
        <v>8.89</v>
      </c>
      <c r="Q29" s="13">
        <v>10.3</v>
      </c>
      <c r="R29" s="13">
        <v>1953230</v>
      </c>
      <c r="S29" s="13"/>
      <c r="T29" t="s">
        <v>43</v>
      </c>
      <c r="U29">
        <v>2</v>
      </c>
      <c r="V29">
        <v>3</v>
      </c>
      <c r="W29">
        <v>1.61</v>
      </c>
      <c r="X29">
        <v>37</v>
      </c>
      <c r="Y29" s="15">
        <f>Table133[[#This Row],[Time until ideal entry + 390 (6:30)]]/(1440)</f>
        <v>0.27291666666666664</v>
      </c>
      <c r="Z29" s="18">
        <f t="shared" si="1"/>
        <v>0.18181818181818182</v>
      </c>
      <c r="AA29" s="18">
        <f>IF(Table133[[#This Row],[HOD AFTER PM HI]]&gt;=Table133[[#This Row],[PM Hi]],((Table133[[#This Row],[HOD AFTER PM HI]]-Table133[[#This Row],[Prior day close]])/Table133[[#This Row],[Prior day close]]),Table133[[#This Row],[Prior Close to PM Hi %]])</f>
        <v>0.79720279720279719</v>
      </c>
      <c r="AB29" s="18">
        <f>(Table133[[#This Row],[Price at hi of squeeze]]-Table133[[#This Row],[MKT Open Price]])/Table133[[#This Row],[MKT Open Price]]</f>
        <v>0.58641975308641958</v>
      </c>
      <c r="AC29" s="18">
        <f>(Table133[[#This Row],[Price at hi of squeeze]]-Table133[[#This Row],[PM Hi]])/Table133[[#This Row],[PM Hi]]</f>
        <v>0.52071005917159763</v>
      </c>
      <c r="AD29" s="18">
        <f t="shared" si="2"/>
        <v>0.67973856209150318</v>
      </c>
      <c r="AE29" s="20">
        <f>Table133[[#This Row],[PM VOL]]/1000000/Table133[[#This Row],[FLOAT(M)]]</f>
        <v>0.18963398058252426</v>
      </c>
      <c r="AF29" s="23">
        <f>(Table133[[#This Row],[Volume]]/1000000)/Table133[[#This Row],[FLOAT(M)]]</f>
        <v>12.993303980582523</v>
      </c>
      <c r="AG29" s="18">
        <f>(Table133[[#This Row],[Hi of Spike after open before drop]]-Table133[[#This Row],[MKT Open Price]])/Table133[[#This Row],[MKT Open Price]]</f>
        <v>3.7037037037036931E-2</v>
      </c>
      <c r="AH29" s="18">
        <f>(Table133[[#This Row],[PM Hi]]-Table133[[#This Row],[MKT Open Price]])/(Table133[[#This Row],[PM Hi]])</f>
        <v>4.1420118343195172E-2</v>
      </c>
      <c r="AI29" s="16">
        <f>IF(Table133[[#This Row],[PM LO]]&gt;Table133[[#This Row],[Prior day close]],(Table133[[#This Row],[PM Hi]]-Table133[[#This Row],[MKT Open Price]])/(Table133[[#This Row],[PM Hi]]-Table133[[#This Row],[Prior day close]]),(Table133[[#This Row],[PM Hi]]-Table133[[#This Row],[MKT Open Price]])/(Table133[[#This Row],[PM Hi]]-Table133[[#This Row],[PM LO]]))</f>
        <v>0.2058823529411761</v>
      </c>
      <c r="AJ29" s="16">
        <f>IF(Table133[[#This Row],[Prior day close]]&lt;Table133[[#This Row],[PM LO]],(I29-K29)/(I29-Table133[[#This Row],[Prior day close]]),(I29-K29)/(I29-Table133[[#This Row],[PM LO]]))</f>
        <v>0.33333333333333359</v>
      </c>
      <c r="AK29" s="16">
        <f>Table133[[#This Row],[Spike % on open before drop]]+AL29</f>
        <v>9.2592592592592532E-2</v>
      </c>
      <c r="AL29" s="16">
        <f t="shared" si="0"/>
        <v>5.5555555555555601E-2</v>
      </c>
      <c r="AM29" s="18">
        <f>IF($J29&gt;=$F29,($J29-$K29)/($J29),(IF($H29&lt;=$K29,($F29-$H29)/($F29),(Table133[[#This Row],[PM Hi]]-Table133[[#This Row],[Lowest lo from open to squeeze]])/(Table133[[#This Row],[PM Hi]]))))</f>
        <v>9.4674556213017708E-2</v>
      </c>
      <c r="AN29" s="18">
        <f>IF(Table133[[#This Row],[Prior day close]]&lt;=Table133[[#This Row],[PM LO]],IF($J29&gt;=$F29,($J29-$K29)/($J29-Table133[[#This Row],[Prior day close]]),(IF($H29&lt;=$K29,($F29-$H29)/($F29-Table133[[#This Row],[Prior day close]]),(Table133[[#This Row],[PM Hi]]-Table133[[#This Row],[Lowest lo from open to squeeze]])/(Table133[[#This Row],[PM Hi]]-Table133[[#This Row],[Prior day close]])))),IF($J29&gt;=$F29,($J29-$K29)/($J29-Table133[[#This Row],[PM LO]]),(IF($H29&lt;=$K29,($F29-$H29)/($F29-Table133[[#This Row],[PM LO]]),(Table133[[#This Row],[PM Hi]]-Table133[[#This Row],[Lowest lo from open to squeeze]])/(Table133[[#This Row],[PM Hi]]-Table133[[#This Row],[PM LO]])))))</f>
        <v>0.47058823529411759</v>
      </c>
      <c r="AO29" s="18">
        <f>IF(J29&gt;=F29,(J29-K29)/(J29-D29),(IF(H29&lt;=K29,(F29-H29)/(F29-D29),(Table133[[#This Row],[PM Hi]]-Table133[[#This Row],[Lowest lo from open to squeeze]])/(Table133[[#This Row],[PM Hi]]-Table133[[#This Row],[Prior day close]]))))</f>
        <v>0.61538461538461509</v>
      </c>
      <c r="AP29" s="17">
        <f>390+Table133[[#This Row],[Time until ideal entry point (mins) from open]]</f>
        <v>393</v>
      </c>
      <c r="AQ29" s="51">
        <f>(Table133[[#This Row],[Time until ideal entry + 390 (6:30)]]+Table133[[#This Row],[Duration of frontside (mins)]])/1440</f>
        <v>0.2986111111111111</v>
      </c>
    </row>
    <row r="30" spans="1:43" x14ac:dyDescent="0.25">
      <c r="A30" s="24" t="s">
        <v>129</v>
      </c>
      <c r="B30" s="11">
        <v>44134</v>
      </c>
      <c r="C30" s="47" t="s">
        <v>71</v>
      </c>
      <c r="D30" s="12">
        <v>1.48</v>
      </c>
      <c r="E30" s="13">
        <v>1.66</v>
      </c>
      <c r="F30" s="12">
        <v>2.6</v>
      </c>
      <c r="G30" s="12">
        <v>1.66</v>
      </c>
      <c r="H30" s="12">
        <v>1.94</v>
      </c>
      <c r="I30" s="12">
        <v>2.2799999999999998</v>
      </c>
      <c r="J30" s="12">
        <v>2.39</v>
      </c>
      <c r="K30" s="12">
        <v>2.06</v>
      </c>
      <c r="L30" s="12">
        <v>3.1</v>
      </c>
      <c r="M30" s="12">
        <v>3.1</v>
      </c>
      <c r="N30" s="13">
        <v>194522812</v>
      </c>
      <c r="O30" s="12">
        <v>384182553</v>
      </c>
      <c r="P30" s="37">
        <v>29.55</v>
      </c>
      <c r="Q30">
        <v>18.079999999999998</v>
      </c>
      <c r="R30" s="13">
        <v>16462879</v>
      </c>
      <c r="S30" s="37" t="s">
        <v>41</v>
      </c>
      <c r="T30" s="37" t="s">
        <v>43</v>
      </c>
      <c r="U30" s="38">
        <v>7</v>
      </c>
      <c r="V30">
        <v>8</v>
      </c>
      <c r="W30" s="39">
        <v>2.1</v>
      </c>
      <c r="X30">
        <v>124</v>
      </c>
      <c r="Y30" s="40">
        <f>Table133[[#This Row],[Time until ideal entry + 390 (6:30)]]/(1440)</f>
        <v>0.27638888888888891</v>
      </c>
      <c r="Z30" s="18">
        <f t="shared" si="1"/>
        <v>0.7567567567567568</v>
      </c>
      <c r="AA30" s="18">
        <f>IF(Table133[[#This Row],[HOD AFTER PM HI]]&gt;=Table133[[#This Row],[PM Hi]],((Table133[[#This Row],[HOD AFTER PM HI]]-Table133[[#This Row],[Prior day close]])/Table133[[#This Row],[Prior day close]]),Table133[[#This Row],[Prior Close to PM Hi %]])</f>
        <v>1.0945945945945947</v>
      </c>
      <c r="AB30" s="42">
        <f>(Table133[[#This Row],[Price at hi of squeeze]]-Table133[[#This Row],[MKT Open Price]])/Table133[[#This Row],[MKT Open Price]]</f>
        <v>0.35964912280701772</v>
      </c>
      <c r="AC30" s="18">
        <f>(Table133[[#This Row],[Price at hi of squeeze]]-Table133[[#This Row],[PM Hi]])/Table133[[#This Row],[PM Hi]]</f>
        <v>0.19230769230769229</v>
      </c>
      <c r="AD30" s="18">
        <f t="shared" si="2"/>
        <v>0.50485436893203883</v>
      </c>
      <c r="AE30" s="20">
        <f>Table133[[#This Row],[PM VOL]]/1000000/Table133[[#This Row],[FLOAT(M)]]</f>
        <v>0.91055746681415939</v>
      </c>
      <c r="AF30" s="23">
        <f>(Table133[[#This Row],[Volume]]/1000000)/Table133[[#This Row],[FLOAT(M)]]</f>
        <v>10.759005088495575</v>
      </c>
      <c r="AH30" s="18">
        <f>(Table133[[#This Row],[PM Hi]]-Table133[[#This Row],[MKT Open Price]])/(Table133[[#This Row],[PM Hi]])</f>
        <v>0.12307692307692318</v>
      </c>
      <c r="AI30" s="16">
        <f>IF(Table133[[#This Row],[PM LO]]&gt;Table133[[#This Row],[Prior day close]],(Table133[[#This Row],[PM Hi]]-Table133[[#This Row],[MKT Open Price]])/(Table133[[#This Row],[PM Hi]]-Table133[[#This Row],[Prior day close]]),(Table133[[#This Row],[PM Hi]]-Table133[[#This Row],[MKT Open Price]])/(Table133[[#This Row],[PM Hi]]-Table133[[#This Row],[PM LO]]))</f>
        <v>0.28571428571428592</v>
      </c>
      <c r="AJ30" s="18">
        <f>IF(Table133[[#This Row],[Prior day close]]&lt;Table133[[#This Row],[PM LO]],(I30-K30)/(I30-Table133[[#This Row],[Prior day close]]),(I30-K30)/(I30-Table133[[#This Row],[PM LO]]))</f>
        <v>0.27499999999999974</v>
      </c>
      <c r="AK30" s="18">
        <f>Table133[[#This Row],[Spike % on open before drop]]+AL30</f>
        <v>9.6491228070175336E-2</v>
      </c>
      <c r="AL30" s="16">
        <f t="shared" si="0"/>
        <v>9.6491228070175336E-2</v>
      </c>
      <c r="AM30" s="18">
        <f>IF($J30&gt;=$F30,($J30-$K30)/($J30),(IF($H30&lt;=$K30,($F30-$H30)/($F30),(Table133[[#This Row],[PM Hi]]-Table133[[#This Row],[Lowest lo from open to squeeze]])/(Table133[[#This Row],[PM Hi]]))))</f>
        <v>0.25384615384615389</v>
      </c>
      <c r="AN30" s="18">
        <f>IF(Table133[[#This Row],[Prior day close]]&lt;=Table133[[#This Row],[PM LO]],IF($J30&gt;=$F30,($J30-$K30)/($J30-Table133[[#This Row],[Prior day close]]),(IF($H30&lt;=$K30,($F30-$H30)/($F30-Table133[[#This Row],[Prior day close]]),(Table133[[#This Row],[PM Hi]]-Table133[[#This Row],[Lowest lo from open to squeeze]])/(Table133[[#This Row],[PM Hi]]-Table133[[#This Row],[Prior day close]])))),IF($J30&gt;=$F30,($J30-$K30)/($J30-Table133[[#This Row],[PM LO]]),(IF($H30&lt;=$K30,($F30-$H30)/($F30-Table133[[#This Row],[PM LO]]),(Table133[[#This Row],[PM Hi]]-Table133[[#This Row],[Lowest lo from open to squeeze]])/(Table133[[#This Row],[PM Hi]]-Table133[[#This Row],[PM LO]])))))</f>
        <v>0.5892857142857143</v>
      </c>
      <c r="AO30" s="18">
        <f>IF(J30&gt;=F30,(J30-K30)/(J30-D30),(IF(H30&lt;=K30,(F30-H30)/(F30-D30),(Table133[[#This Row],[PM Hi]]-Table133[[#This Row],[Lowest lo from open to squeeze]])/(Table133[[#This Row],[PM Hi]]-Table133[[#This Row],[Prior day close]]))))</f>
        <v>0.5892857142857143</v>
      </c>
      <c r="AP30" s="17">
        <f>390+Table133[[#This Row],[Time until ideal entry point (mins) from open]]</f>
        <v>398</v>
      </c>
      <c r="AQ30" s="51">
        <f>(Table133[[#This Row],[Time until ideal entry + 390 (6:30)]]+Table133[[#This Row],[Duration of frontside (mins)]])/1440</f>
        <v>0.36249999999999999</v>
      </c>
    </row>
    <row r="31" spans="1:43" x14ac:dyDescent="0.25">
      <c r="A31" s="24" t="s">
        <v>169</v>
      </c>
      <c r="B31" s="47">
        <v>43895</v>
      </c>
      <c r="C31" s="47" t="s">
        <v>71</v>
      </c>
      <c r="D31" s="12">
        <v>1.5</v>
      </c>
      <c r="E31" s="13">
        <f>Table133[[#This Row],[Prior day close]]</f>
        <v>1.5</v>
      </c>
      <c r="F31" s="12">
        <v>2.57</v>
      </c>
      <c r="G31" s="12">
        <v>1.44</v>
      </c>
      <c r="H31" s="12">
        <v>1.9</v>
      </c>
      <c r="I31" s="12">
        <v>2.0699999999999998</v>
      </c>
      <c r="J31" s="12">
        <v>2.0699999999999998</v>
      </c>
      <c r="K31" s="12">
        <v>1.96</v>
      </c>
      <c r="L31" s="12">
        <v>2.4</v>
      </c>
      <c r="M31" s="12">
        <v>2.4</v>
      </c>
      <c r="N31" s="13">
        <v>11557697</v>
      </c>
      <c r="O31" s="12">
        <v>22653086</v>
      </c>
      <c r="P31" s="37">
        <v>9.4499999999999993</v>
      </c>
      <c r="Q31" s="46">
        <v>2.71</v>
      </c>
      <c r="R31" s="37">
        <v>2643669</v>
      </c>
      <c r="S31" s="37" t="s">
        <v>41</v>
      </c>
      <c r="T31" s="37" t="s">
        <v>43</v>
      </c>
      <c r="U31" s="38">
        <v>3</v>
      </c>
      <c r="V31" s="46">
        <v>2</v>
      </c>
      <c r="W31" s="37">
        <v>1.98</v>
      </c>
      <c r="X31" s="46">
        <v>6</v>
      </c>
      <c r="Y31" s="41">
        <f>Table133[[#This Row],[Time until ideal entry + 390 (6:30)]]/(1440)</f>
        <v>0.2722222222222222</v>
      </c>
      <c r="Z31" s="18">
        <f t="shared" si="1"/>
        <v>0.71333333333333326</v>
      </c>
      <c r="AA31" s="18">
        <f>IF(Table133[[#This Row],[HOD AFTER PM HI]]&gt;=Table133[[#This Row],[PM Hi]],((Table133[[#This Row],[HOD AFTER PM HI]]-Table133[[#This Row],[Prior day close]])/Table133[[#This Row],[Prior day close]]),Table133[[#This Row],[Prior Close to PM Hi %]])</f>
        <v>0.71333333333333326</v>
      </c>
      <c r="AB31" s="42">
        <f>(Table133[[#This Row],[Price at hi of squeeze]]-Table133[[#This Row],[MKT Open Price]])/Table133[[#This Row],[MKT Open Price]]</f>
        <v>0.15942028985507251</v>
      </c>
      <c r="AC31" s="18">
        <f>(Table133[[#This Row],[Price at hi of squeeze]]-Table133[[#This Row],[PM Hi]])/Table133[[#This Row],[PM Hi]]</f>
        <v>-6.6147859922178961E-2</v>
      </c>
      <c r="AD31" s="18"/>
      <c r="AE31" s="20">
        <f>Table133[[#This Row],[PM VOL]]/1000000/Table133[[#This Row],[FLOAT(M)]]</f>
        <v>0.97552361623616235</v>
      </c>
      <c r="AF31" s="23">
        <f>(Table133[[#This Row],[Volume]]/1000000)/Table133[[#This Row],[FLOAT(M)]]</f>
        <v>4.2648328413284133</v>
      </c>
      <c r="AH31" s="18">
        <f>(Table133[[#This Row],[PM Hi]]-Table133[[#This Row],[MKT Open Price]])/(Table133[[#This Row],[PM Hi]])</f>
        <v>0.19455252918287938</v>
      </c>
      <c r="AI31" s="18">
        <f>IF(Table133[[#This Row],[PM LO]]&gt;Table133[[#This Row],[Prior day close]],(Table133[[#This Row],[PM Hi]]-Table133[[#This Row],[MKT Open Price]])/(Table133[[#This Row],[PM Hi]]-Table133[[#This Row],[Prior day close]]),(Table133[[#This Row],[PM Hi]]-Table133[[#This Row],[MKT Open Price]])/(Table133[[#This Row],[PM Hi]]-Table133[[#This Row],[PM LO]]))</f>
        <v>0.44247787610619471</v>
      </c>
      <c r="AJ31" s="48">
        <f>IF(Table133[[#This Row],[Prior day close]]&lt;Table133[[#This Row],[PM LO]],(I31-K31)/(I31-Table133[[#This Row],[Prior day close]]),(I31-K31)/(I31-Table133[[#This Row],[PM LO]]))</f>
        <v>0.17460317460317443</v>
      </c>
      <c r="AK31" s="48">
        <f>Table133[[#This Row],[Spike % on open before drop]]+AL31</f>
        <v>5.3140096618357432E-2</v>
      </c>
      <c r="AL31" s="16">
        <f t="shared" si="0"/>
        <v>5.3140096618357432E-2</v>
      </c>
      <c r="AM31" s="18">
        <f>IF($J31&gt;=$F31,($J31-$K31)/($J31),(IF($H31&lt;=$K31,($F31-$H31)/($F31),(Table133[[#This Row],[PM Hi]]-Table133[[#This Row],[Lowest lo from open to squeeze]])/(Table133[[#This Row],[PM Hi]]))))</f>
        <v>0.26070038910505833</v>
      </c>
      <c r="AN31" s="48">
        <f>IF(Table133[[#This Row],[Prior day close]]&lt;=Table133[[#This Row],[PM LO]],IF($J31&gt;=$F31,($J31-$K31)/($J31-Table133[[#This Row],[Prior day close]]),(IF($H31&lt;=$K31,($F31-$H31)/($F31-Table133[[#This Row],[Prior day close]]),(Table133[[#This Row],[PM Hi]]-Table133[[#This Row],[Lowest lo from open to squeeze]])/(Table133[[#This Row],[PM Hi]]-Table133[[#This Row],[Prior day close]])))),IF($J31&gt;=$F31,($J31-$K31)/($J31-Table133[[#This Row],[PM LO]]),(IF($H31&lt;=$K31,($F31-$H31)/($F31-Table133[[#This Row],[PM LO]]),(Table133[[#This Row],[PM Hi]]-Table133[[#This Row],[Lowest lo from open to squeeze]])/(Table133[[#This Row],[PM Hi]]-Table133[[#This Row],[PM LO]])))))</f>
        <v>0.59292035398230092</v>
      </c>
      <c r="AO31" s="18">
        <f>IF(J31&gt;=F31,(J31-K31)/(J31-D31),(IF(H31&lt;=K31,(F31-H31)/(F31-D31),(Table133[[#This Row],[PM Hi]]-Table133[[#This Row],[Lowest lo from open to squeeze]])/(Table133[[#This Row],[PM Hi]]-Table133[[#This Row],[Prior day close]]))))</f>
        <v>0.62616822429906549</v>
      </c>
      <c r="AP31" s="17">
        <f>390+Table133[[#This Row],[Time until ideal entry point (mins) from open]]</f>
        <v>392</v>
      </c>
      <c r="AQ31" s="17">
        <f>Table133[[#This Row],[Time until ideal entry + 390 (6:30)]]+Table133[[#This Row],[Duration of frontside (mins)]]</f>
        <v>398</v>
      </c>
    </row>
    <row r="32" spans="1:43" x14ac:dyDescent="0.25">
      <c r="A32" s="10" t="s">
        <v>96</v>
      </c>
      <c r="B32" s="11">
        <v>44025</v>
      </c>
      <c r="C32" s="47" t="s">
        <v>71</v>
      </c>
      <c r="D32" s="12">
        <v>1.55</v>
      </c>
      <c r="E32" s="13">
        <v>1.36</v>
      </c>
      <c r="F32" s="12">
        <v>3.38</v>
      </c>
      <c r="G32" s="12">
        <v>1.36</v>
      </c>
      <c r="H32" s="12">
        <v>2.98</v>
      </c>
      <c r="I32" s="12">
        <v>3.14</v>
      </c>
      <c r="J32" s="12">
        <v>3.25</v>
      </c>
      <c r="K32" s="12">
        <v>2.77</v>
      </c>
      <c r="L32" s="12">
        <v>3.3</v>
      </c>
      <c r="M32" s="12">
        <v>3.3</v>
      </c>
      <c r="N32" s="13">
        <v>158027140</v>
      </c>
      <c r="O32" s="12">
        <v>284189632</v>
      </c>
      <c r="P32" s="13">
        <v>30.4</v>
      </c>
      <c r="Q32" s="13">
        <v>26.32</v>
      </c>
      <c r="R32" s="13">
        <v>26977189</v>
      </c>
      <c r="S32" s="13" t="s">
        <v>74</v>
      </c>
      <c r="T32" t="s">
        <v>43</v>
      </c>
      <c r="U32">
        <v>8</v>
      </c>
      <c r="V32">
        <v>9</v>
      </c>
      <c r="W32">
        <v>2.81</v>
      </c>
      <c r="X32">
        <v>11</v>
      </c>
      <c r="Y32" s="15">
        <f>Table133[[#This Row],[Time until ideal entry + 390 (6:30)]]/(1440)</f>
        <v>0.27708333333333335</v>
      </c>
      <c r="Z32" s="18">
        <f t="shared" si="1"/>
        <v>1.1806451612903224</v>
      </c>
      <c r="AA32" s="18">
        <f>IF(Table133[[#This Row],[HOD AFTER PM HI]]&gt;=Table133[[#This Row],[PM Hi]],((Table133[[#This Row],[HOD AFTER PM HI]]-Table133[[#This Row],[Prior day close]])/Table133[[#This Row],[Prior day close]]),Table133[[#This Row],[Prior Close to PM Hi %]])</f>
        <v>1.1806451612903224</v>
      </c>
      <c r="AB32" s="18">
        <f>(Table133[[#This Row],[Price at hi of squeeze]]-Table133[[#This Row],[MKT Open Price]])/Table133[[#This Row],[MKT Open Price]]</f>
        <v>5.0955414012738752E-2</v>
      </c>
      <c r="AC32" s="18">
        <f>(Table133[[#This Row],[Price at hi of squeeze]]-Table133[[#This Row],[PM Hi]])/Table133[[#This Row],[PM Hi]]</f>
        <v>-2.3668639053254458E-2</v>
      </c>
      <c r="AD32" s="18">
        <f>(M32-K32)/K32</f>
        <v>0.19133574007220208</v>
      </c>
      <c r="AE32" s="20">
        <f>Table133[[#This Row],[PM VOL]]/1000000/Table133[[#This Row],[FLOAT(M)]]</f>
        <v>1.0249691869300912</v>
      </c>
      <c r="AF32" s="23">
        <f>(Table133[[#This Row],[Volume]]/1000000)/Table133[[#This Row],[FLOAT(M)]]</f>
        <v>6.004070668693009</v>
      </c>
      <c r="AG32" s="18">
        <f>(Table133[[#This Row],[Hi of Spike after open before drop]]-Table133[[#This Row],[MKT Open Price]])/Table133[[#This Row],[MKT Open Price]]</f>
        <v>3.5031847133757919E-2</v>
      </c>
      <c r="AH32" s="18">
        <f>(Table133[[#This Row],[PM Hi]]-Table133[[#This Row],[MKT Open Price]])/(Table133[[#This Row],[PM Hi]])</f>
        <v>7.1005917159763246E-2</v>
      </c>
      <c r="AI32" s="16">
        <f>IF(Table133[[#This Row],[PM LO]]&gt;Table133[[#This Row],[Prior day close]],(Table133[[#This Row],[PM Hi]]-Table133[[#This Row],[MKT Open Price]])/(Table133[[#This Row],[PM Hi]]-Table133[[#This Row],[Prior day close]]),(Table133[[#This Row],[PM Hi]]-Table133[[#This Row],[MKT Open Price]])/(Table133[[#This Row],[PM Hi]]-Table133[[#This Row],[PM LO]]))</f>
        <v>0.11881188118811872</v>
      </c>
      <c r="AJ32" s="16">
        <f>IF(Table133[[#This Row],[Prior day close]]&lt;Table133[[#This Row],[PM LO]],(I32-K32)/(I32-Table133[[#This Row],[Prior day close]]),(I32-K32)/(I32-Table133[[#This Row],[PM LO]]))</f>
        <v>0.20786516853932591</v>
      </c>
      <c r="AK32" s="16">
        <f>Table133[[#This Row],[Spike % on open before drop]]+AL32</f>
        <v>0.15286624203821655</v>
      </c>
      <c r="AL32" s="16">
        <f t="shared" si="0"/>
        <v>0.11783439490445863</v>
      </c>
      <c r="AM32" s="18">
        <f>IF($J32&gt;=$F32,($J32-$K32)/($J32),(IF($H32&lt;=$K32,($F32-$H32)/($F32),(Table133[[#This Row],[PM Hi]]-Table133[[#This Row],[Lowest lo from open to squeeze]])/(Table133[[#This Row],[PM Hi]]))))</f>
        <v>0.18047337278106507</v>
      </c>
      <c r="AN32" s="18">
        <f>IF(Table133[[#This Row],[Prior day close]]&lt;=Table133[[#This Row],[PM LO]],IF($J32&gt;=$F32,($J32-$K32)/($J32-Table133[[#This Row],[Prior day close]]),(IF($H32&lt;=$K32,($F32-$H32)/($F32-Table133[[#This Row],[Prior day close]]),(Table133[[#This Row],[PM Hi]]-Table133[[#This Row],[Lowest lo from open to squeeze]])/(Table133[[#This Row],[PM Hi]]-Table133[[#This Row],[Prior day close]])))),IF($J32&gt;=$F32,($J32-$K32)/($J32-Table133[[#This Row],[PM LO]]),(IF($H32&lt;=$K32,($F32-$H32)/($F32-Table133[[#This Row],[PM LO]]),(Table133[[#This Row],[PM Hi]]-Table133[[#This Row],[Lowest lo from open to squeeze]])/(Table133[[#This Row],[PM Hi]]-Table133[[#This Row],[PM LO]])))))</f>
        <v>0.30198019801980197</v>
      </c>
      <c r="AO32" s="18">
        <f>IF(J32&gt;=F32,(J32-K32)/(J32-D32),(IF(H32&lt;=K32,(F32-H32)/(F32-D32),(Table133[[#This Row],[PM Hi]]-Table133[[#This Row],[Lowest lo from open to squeeze]])/(Table133[[#This Row],[PM Hi]]-Table133[[#This Row],[Prior day close]]))))</f>
        <v>0.33333333333333331</v>
      </c>
      <c r="AP32" s="17">
        <f>390+Table133[[#This Row],[Time until ideal entry point (mins) from open]]</f>
        <v>399</v>
      </c>
      <c r="AQ32" s="51">
        <f>(Table133[[#This Row],[Time until ideal entry + 390 (6:30)]]+Table133[[#This Row],[Duration of frontside (mins)]])/1440</f>
        <v>0.28472222222222221</v>
      </c>
    </row>
    <row r="33" spans="1:43" x14ac:dyDescent="0.25">
      <c r="A33" s="24" t="s">
        <v>116</v>
      </c>
      <c r="B33" s="11">
        <v>44110</v>
      </c>
      <c r="C33" s="47" t="s">
        <v>71</v>
      </c>
      <c r="D33" s="12">
        <v>1.63</v>
      </c>
      <c r="E33" s="13">
        <v>1.63</v>
      </c>
      <c r="F33" s="12">
        <v>3.48</v>
      </c>
      <c r="G33" s="12">
        <v>1.63</v>
      </c>
      <c r="H33" s="12">
        <v>3.07</v>
      </c>
      <c r="I33" s="12">
        <v>3.32</v>
      </c>
      <c r="J33" s="12">
        <v>3.6</v>
      </c>
      <c r="K33" s="12">
        <v>2.9</v>
      </c>
      <c r="L33" s="12">
        <v>9.43</v>
      </c>
      <c r="M33" s="12">
        <v>9.43</v>
      </c>
      <c r="N33" s="13">
        <v>292404017</v>
      </c>
      <c r="O33" s="12">
        <v>19478885</v>
      </c>
      <c r="P33" s="37">
        <v>41.18</v>
      </c>
      <c r="Q33">
        <v>3.2</v>
      </c>
      <c r="R33" s="37">
        <v>19478885</v>
      </c>
      <c r="S33" s="37" t="s">
        <v>41</v>
      </c>
      <c r="T33" s="37" t="s">
        <v>43</v>
      </c>
      <c r="U33" s="38">
        <v>4</v>
      </c>
      <c r="V33">
        <v>5</v>
      </c>
      <c r="W33" s="39">
        <v>3.02</v>
      </c>
      <c r="X33">
        <v>87</v>
      </c>
      <c r="Y33" s="40">
        <f>Table133[[#This Row],[Time until ideal entry + 390 (6:30)]]/(1440)</f>
        <v>0.27430555555555558</v>
      </c>
      <c r="Z33" s="18">
        <f t="shared" si="1"/>
        <v>1.1349693251533743</v>
      </c>
      <c r="AA33" s="18">
        <f>IF(Table133[[#This Row],[HOD AFTER PM HI]]&gt;=Table133[[#This Row],[PM Hi]],((Table133[[#This Row],[HOD AFTER PM HI]]-Table133[[#This Row],[Prior day close]])/Table133[[#This Row],[Prior day close]]),Table133[[#This Row],[Prior Close to PM Hi %]])</f>
        <v>4.7852760736196318</v>
      </c>
      <c r="AB33" s="42">
        <f>(Table133[[#This Row],[Price at hi of squeeze]]-Table133[[#This Row],[MKT Open Price]])/Table133[[#This Row],[MKT Open Price]]</f>
        <v>1.8403614457831325</v>
      </c>
      <c r="AC33" s="18">
        <f>(Table133[[#This Row],[Price at hi of squeeze]]-Table133[[#This Row],[PM Hi]])/Table133[[#This Row],[PM Hi]]</f>
        <v>1.7097701149425286</v>
      </c>
      <c r="AD33" s="18">
        <f>(M33-K33)/K33</f>
        <v>2.2517241379310344</v>
      </c>
      <c r="AE33" s="20">
        <f>Table133[[#This Row],[PM VOL]]/1000000/Table133[[#This Row],[FLOAT(M)]]</f>
        <v>6.087151562499999</v>
      </c>
      <c r="AF33" s="23">
        <f>(Table133[[#This Row],[Volume]]/1000000)/Table133[[#This Row],[FLOAT(M)]]</f>
        <v>91.376255312499993</v>
      </c>
      <c r="AH33" s="18">
        <f>(Table133[[#This Row],[PM Hi]]-Table133[[#This Row],[MKT Open Price]])/(Table133[[#This Row],[PM Hi]])</f>
        <v>4.5977011494252915E-2</v>
      </c>
      <c r="AI33" s="16">
        <f>IF(Table133[[#This Row],[PM LO]]&gt;Table133[[#This Row],[Prior day close]],(Table133[[#This Row],[PM Hi]]-Table133[[#This Row],[MKT Open Price]])/(Table133[[#This Row],[PM Hi]]-Table133[[#This Row],[Prior day close]]),(Table133[[#This Row],[PM Hi]]-Table133[[#This Row],[MKT Open Price]])/(Table133[[#This Row],[PM Hi]]-Table133[[#This Row],[PM LO]]))</f>
        <v>8.6486486486486561E-2</v>
      </c>
      <c r="AJ33" s="18">
        <f>IF(Table133[[#This Row],[Prior day close]]&lt;Table133[[#This Row],[PM LO]],(I33-K33)/(I33-Table133[[#This Row],[Prior day close]]),(I33-K33)/(I33-Table133[[#This Row],[PM LO]]))</f>
        <v>0.24852071005917156</v>
      </c>
      <c r="AK33" s="18">
        <f>Table133[[#This Row],[Spike % on open before drop]]+AL33</f>
        <v>0.12650602409638553</v>
      </c>
      <c r="AL33" s="16">
        <f t="shared" si="0"/>
        <v>0.12650602409638553</v>
      </c>
      <c r="AM33" s="18">
        <f>IF($J33&gt;=$F33,($J33-$K33)/($J33),(IF($H33&lt;=$K33,($F33-$H33)/($F33),(Table133[[#This Row],[PM Hi]]-Table133[[#This Row],[Lowest lo from open to squeeze]])/(Table133[[#This Row],[PM Hi]]))))</f>
        <v>0.19444444444444448</v>
      </c>
      <c r="AN33" s="18">
        <f>IF(Table133[[#This Row],[Prior day close]]&lt;=Table133[[#This Row],[PM LO]],IF($J33&gt;=$F33,($J33-$K33)/($J33-Table133[[#This Row],[Prior day close]]),(IF($H33&lt;=$K33,($F33-$H33)/($F33-Table133[[#This Row],[Prior day close]]),(Table133[[#This Row],[PM Hi]]-Table133[[#This Row],[Lowest lo from open to squeeze]])/(Table133[[#This Row],[PM Hi]]-Table133[[#This Row],[Prior day close]])))),IF($J33&gt;=$F33,($J33-$K33)/($J33-Table133[[#This Row],[PM LO]]),(IF($H33&lt;=$K33,($F33-$H33)/($F33-Table133[[#This Row],[PM LO]]),(Table133[[#This Row],[PM Hi]]-Table133[[#This Row],[Lowest lo from open to squeeze]])/(Table133[[#This Row],[PM Hi]]-Table133[[#This Row],[PM LO]])))))</f>
        <v>0.35532994923857875</v>
      </c>
      <c r="AO33" s="18">
        <f>IF(J33&gt;=F33,(J33-K33)/(J33-D33),(IF(H33&lt;=K33,(F33-H33)/(F33-D33),(Table133[[#This Row],[PM Hi]]-Table133[[#This Row],[Lowest lo from open to squeeze]])/(Table133[[#This Row],[PM Hi]]-Table133[[#This Row],[Prior day close]]))))</f>
        <v>0.35532994923857875</v>
      </c>
      <c r="AP33" s="17">
        <f>390+Table133[[#This Row],[Time until ideal entry point (mins) from open]]</f>
        <v>395</v>
      </c>
      <c r="AQ33" s="51">
        <f>(Table133[[#This Row],[Time until ideal entry + 390 (6:30)]]+Table133[[#This Row],[Duration of frontside (mins)]])/1440</f>
        <v>0.3347222222222222</v>
      </c>
    </row>
    <row r="34" spans="1:43" s="36" customFormat="1" x14ac:dyDescent="0.25">
      <c r="A34" s="24" t="s">
        <v>173</v>
      </c>
      <c r="B34" s="47">
        <v>43935</v>
      </c>
      <c r="C34" s="47" t="s">
        <v>71</v>
      </c>
      <c r="D34" s="12">
        <v>1.67</v>
      </c>
      <c r="E34" s="13">
        <f>Table133[[#This Row],[Prior day close]]</f>
        <v>1.67</v>
      </c>
      <c r="F34" s="12">
        <v>3.3</v>
      </c>
      <c r="G34" s="12">
        <v>1.77</v>
      </c>
      <c r="H34" s="12">
        <v>2.8</v>
      </c>
      <c r="I34" s="12">
        <v>3.06</v>
      </c>
      <c r="J34" s="12">
        <v>3.06</v>
      </c>
      <c r="K34" s="12">
        <v>2.95</v>
      </c>
      <c r="L34" s="12">
        <v>3.64</v>
      </c>
      <c r="M34" s="12">
        <v>3.64</v>
      </c>
      <c r="N34" s="13">
        <v>47095480</v>
      </c>
      <c r="O34" s="12">
        <v>117503222</v>
      </c>
      <c r="P34" s="37">
        <v>161.54</v>
      </c>
      <c r="Q34" s="46">
        <v>96.73</v>
      </c>
      <c r="R34" s="37">
        <v>2763635</v>
      </c>
      <c r="S34" s="37" t="s">
        <v>41</v>
      </c>
      <c r="T34" s="37" t="s">
        <v>43</v>
      </c>
      <c r="U34" s="38">
        <v>1</v>
      </c>
      <c r="V34" s="46">
        <v>1</v>
      </c>
      <c r="W34" s="37">
        <v>3</v>
      </c>
      <c r="X34" s="46">
        <v>3</v>
      </c>
      <c r="Y34" s="41">
        <f>Table133[[#This Row],[Time until ideal entry + 390 (6:30)]]/(1440)</f>
        <v>0.27152777777777776</v>
      </c>
      <c r="Z34" s="18">
        <f t="shared" si="1"/>
        <v>0.9760479041916168</v>
      </c>
      <c r="AA34" s="18">
        <f>IF(Table133[[#This Row],[HOD AFTER PM HI]]&gt;=Table133[[#This Row],[PM Hi]],((Table133[[#This Row],[HOD AFTER PM HI]]-Table133[[#This Row],[Prior day close]])/Table133[[#This Row],[Prior day close]]),Table133[[#This Row],[Prior Close to PM Hi %]])</f>
        <v>1.1796407185628743</v>
      </c>
      <c r="AB34" s="42">
        <f>(Table133[[#This Row],[Price at hi of squeeze]]-Table133[[#This Row],[MKT Open Price]])/Table133[[#This Row],[MKT Open Price]]</f>
        <v>0.18954248366013074</v>
      </c>
      <c r="AC34" s="18">
        <f>(Table133[[#This Row],[Price at hi of squeeze]]-Table133[[#This Row],[PM Hi]])/Table133[[#This Row],[PM Hi]]</f>
        <v>0.10303030303030312</v>
      </c>
      <c r="AD34" s="18"/>
      <c r="AE34" s="20">
        <f>Table133[[#This Row],[PM VOL]]/1000000/Table133[[#This Row],[FLOAT(M)]]</f>
        <v>2.8570608911402871E-2</v>
      </c>
      <c r="AF34" s="23">
        <f>(Table133[[#This Row],[Volume]]/1000000)/Table133[[#This Row],[FLOAT(M)]]</f>
        <v>0.48687563320583066</v>
      </c>
      <c r="AG34" s="18"/>
      <c r="AH34" s="18">
        <f>(Table133[[#This Row],[PM Hi]]-Table133[[#This Row],[MKT Open Price]])/(Table133[[#This Row],[PM Hi]])</f>
        <v>7.2727272727272654E-2</v>
      </c>
      <c r="AI34" s="18">
        <f>IF(Table133[[#This Row],[PM LO]]&gt;Table133[[#This Row],[Prior day close]],(Table133[[#This Row],[PM Hi]]-Table133[[#This Row],[MKT Open Price]])/(Table133[[#This Row],[PM Hi]]-Table133[[#This Row],[Prior day close]]),(Table133[[#This Row],[PM Hi]]-Table133[[#This Row],[MKT Open Price]])/(Table133[[#This Row],[PM Hi]]-Table133[[#This Row],[PM LO]]))</f>
        <v>0.14723926380368085</v>
      </c>
      <c r="AJ34" s="48">
        <f>IF(Table133[[#This Row],[Prior day close]]&lt;Table133[[#This Row],[PM LO]],(I34-K34)/(I34-Table133[[#This Row],[Prior day close]]),(I34-K34)/(I34-Table133[[#This Row],[PM LO]]))</f>
        <v>7.9136690647481911E-2</v>
      </c>
      <c r="AK34" s="48">
        <f>Table133[[#This Row],[Spike % on open before drop]]+AL34</f>
        <v>3.5947712418300609E-2</v>
      </c>
      <c r="AL34" s="16">
        <f t="shared" ref="AL34:AL65" si="3">(I34-K34)/I34</f>
        <v>3.5947712418300609E-2</v>
      </c>
      <c r="AM34" s="18">
        <f>IF($J34&gt;=$F34,($J34-$K34)/($J34),(IF($H34&lt;=$K34,($F34-$H34)/($F34),(Table133[[#This Row],[PM Hi]]-Table133[[#This Row],[Lowest lo from open to squeeze]])/(Table133[[#This Row],[PM Hi]]))))</f>
        <v>0.15151515151515152</v>
      </c>
      <c r="AN34" s="48">
        <f>IF(Table133[[#This Row],[Prior day close]]&lt;=Table133[[#This Row],[PM LO]],IF($J34&gt;=$F34,($J34-$K34)/($J34-Table133[[#This Row],[Prior day close]]),(IF($H34&lt;=$K34,($F34-$H34)/($F34-Table133[[#This Row],[Prior day close]]),(Table133[[#This Row],[PM Hi]]-Table133[[#This Row],[Lowest lo from open to squeeze]])/(Table133[[#This Row],[PM Hi]]-Table133[[#This Row],[Prior day close]])))),IF($J34&gt;=$F34,($J34-$K34)/($J34-Table133[[#This Row],[PM LO]]),(IF($H34&lt;=$K34,($F34-$H34)/($F34-Table133[[#This Row],[PM LO]]),(Table133[[#This Row],[PM Hi]]-Table133[[#This Row],[Lowest lo from open to squeeze]])/(Table133[[#This Row],[PM Hi]]-Table133[[#This Row],[PM LO]])))))</f>
        <v>0.30674846625766872</v>
      </c>
      <c r="AO34" s="18">
        <f>IF(J34&gt;=F34,(J34-K34)/(J34-D34),(IF(H34&lt;=K34,(F34-H34)/(F34-D34),(Table133[[#This Row],[PM Hi]]-Table133[[#This Row],[Lowest lo from open to squeeze]])/(Table133[[#This Row],[PM Hi]]-Table133[[#This Row],[Prior day close]]))))</f>
        <v>0.30674846625766872</v>
      </c>
      <c r="AP34" s="17">
        <f>390+Table133[[#This Row],[Time until ideal entry point (mins) from open]]</f>
        <v>391</v>
      </c>
      <c r="AQ34" s="17">
        <f>Table133[[#This Row],[Time until ideal entry + 390 (6:30)]]+Table133[[#This Row],[Duration of frontside (mins)]]</f>
        <v>394</v>
      </c>
    </row>
    <row r="35" spans="1:43" x14ac:dyDescent="0.25">
      <c r="A35" s="10" t="s">
        <v>91</v>
      </c>
      <c r="B35" s="44">
        <v>44012</v>
      </c>
      <c r="C35" s="47" t="s">
        <v>71</v>
      </c>
      <c r="D35" s="12">
        <v>1.75</v>
      </c>
      <c r="E35" s="13">
        <v>1.7</v>
      </c>
      <c r="F35" s="12">
        <v>2.46</v>
      </c>
      <c r="G35" s="12">
        <v>1.4</v>
      </c>
      <c r="H35" s="12">
        <v>1.9</v>
      </c>
      <c r="I35" s="12">
        <v>2.0299999999999998</v>
      </c>
      <c r="J35" s="12">
        <v>2.0299999999999998</v>
      </c>
      <c r="K35" s="12">
        <v>1.85</v>
      </c>
      <c r="L35" s="12">
        <v>5.47</v>
      </c>
      <c r="M35" s="12">
        <v>3.06</v>
      </c>
      <c r="N35" s="13">
        <v>139686630</v>
      </c>
      <c r="O35" s="12">
        <v>673567099</v>
      </c>
      <c r="P35" s="13">
        <v>14</v>
      </c>
      <c r="Q35">
        <v>3.87</v>
      </c>
      <c r="R35" s="13">
        <v>2643951</v>
      </c>
      <c r="S35" s="13"/>
      <c r="T35" t="s">
        <v>43</v>
      </c>
      <c r="U35">
        <v>4</v>
      </c>
      <c r="V35">
        <v>5</v>
      </c>
      <c r="W35">
        <v>1.91</v>
      </c>
      <c r="X35">
        <v>56</v>
      </c>
      <c r="Y35" s="15">
        <f>Table133[[#This Row],[Time until ideal entry + 390 (6:30)]]/(1440)</f>
        <v>0.27430555555555558</v>
      </c>
      <c r="Z35" s="18">
        <f t="shared" si="1"/>
        <v>0.40571428571428569</v>
      </c>
      <c r="AA35" s="18">
        <f>IF(Table133[[#This Row],[HOD AFTER PM HI]]&gt;=Table133[[#This Row],[PM Hi]],((Table133[[#This Row],[HOD AFTER PM HI]]-Table133[[#This Row],[Prior day close]])/Table133[[#This Row],[Prior day close]]),Table133[[#This Row],[Prior Close to PM Hi %]])</f>
        <v>2.1257142857142854</v>
      </c>
      <c r="AB35" s="18">
        <f>(Table133[[#This Row],[Price at hi of squeeze]]-Table133[[#This Row],[MKT Open Price]])/Table133[[#This Row],[MKT Open Price]]</f>
        <v>0.50738916256157651</v>
      </c>
      <c r="AC35" s="18">
        <f>(Table133[[#This Row],[Price at hi of squeeze]]-Table133[[#This Row],[PM Hi]])/Table133[[#This Row],[PM Hi]]</f>
        <v>0.24390243902439029</v>
      </c>
      <c r="AD35" s="18">
        <f>(M35-K35)/K35</f>
        <v>0.65405405405405403</v>
      </c>
      <c r="AE35" s="20">
        <f>Table133[[#This Row],[PM VOL]]/1000000/Table133[[#This Row],[FLOAT(M)]]</f>
        <v>0.68319147286821702</v>
      </c>
      <c r="AF35" s="21">
        <f>(Table133[[#This Row],[Volume]]/1000000)/Table133[[#This Row],[FLOAT(M)]]</f>
        <v>36.094736434108526</v>
      </c>
      <c r="AG35" s="18">
        <f>(Table133[[#This Row],[Hi of Spike after open before drop]]-Table133[[#This Row],[MKT Open Price]])/Table133[[#This Row],[MKT Open Price]]</f>
        <v>0</v>
      </c>
      <c r="AH35" s="18">
        <f>(Table133[[#This Row],[PM Hi]]-Table133[[#This Row],[MKT Open Price]])/(Table133[[#This Row],[PM Hi]])</f>
        <v>0.17479674796747974</v>
      </c>
      <c r="AI35" s="16">
        <f>IF(Table133[[#This Row],[PM LO]]&gt;Table133[[#This Row],[Prior day close]],(Table133[[#This Row],[PM Hi]]-Table133[[#This Row],[MKT Open Price]])/(Table133[[#This Row],[PM Hi]]-Table133[[#This Row],[Prior day close]]),(Table133[[#This Row],[PM Hi]]-Table133[[#This Row],[MKT Open Price]])/(Table133[[#This Row],[PM Hi]]-Table133[[#This Row],[PM LO]]))</f>
        <v>0.4056603773584907</v>
      </c>
      <c r="AJ35" s="16">
        <f>IF(Table133[[#This Row],[Prior day close]]&lt;Table133[[#This Row],[PM LO]],(I35-K35)/(I35-Table133[[#This Row],[Prior day close]]),(I35-K35)/(I35-Table133[[#This Row],[PM LO]]))</f>
        <v>0.28571428571428531</v>
      </c>
      <c r="AK35" s="16">
        <f>Table133[[#This Row],[Spike % on open before drop]]+AL35</f>
        <v>8.866995073891612E-2</v>
      </c>
      <c r="AL35" s="16">
        <f t="shared" si="3"/>
        <v>8.866995073891612E-2</v>
      </c>
      <c r="AM35" s="18">
        <f>IF($J35&gt;=$F35,($J35-$K35)/($J35),(IF($H35&lt;=$K35,($F35-$H35)/($F35),(Table133[[#This Row],[PM Hi]]-Table133[[#This Row],[Lowest lo from open to squeeze]])/(Table133[[#This Row],[PM Hi]]))))</f>
        <v>0.24796747967479671</v>
      </c>
      <c r="AN35" s="18">
        <f>IF(Table133[[#This Row],[Prior day close]]&lt;=Table133[[#This Row],[PM LO]],IF($J35&gt;=$F35,($J35-$K35)/($J35-Table133[[#This Row],[Prior day close]]),(IF($H35&lt;=$K35,($F35-$H35)/($F35-Table133[[#This Row],[Prior day close]]),(Table133[[#This Row],[PM Hi]]-Table133[[#This Row],[Lowest lo from open to squeeze]])/(Table133[[#This Row],[PM Hi]]-Table133[[#This Row],[Prior day close]])))),IF($J35&gt;=$F35,($J35-$K35)/($J35-Table133[[#This Row],[PM LO]]),(IF($H35&lt;=$K35,($F35-$H35)/($F35-Table133[[#This Row],[PM LO]]),(Table133[[#This Row],[PM Hi]]-Table133[[#This Row],[Lowest lo from open to squeeze]])/(Table133[[#This Row],[PM Hi]]-Table133[[#This Row],[PM LO]])))))</f>
        <v>0.57547169811320742</v>
      </c>
      <c r="AO35" s="18">
        <f>IF(J35&gt;=F35,(J35-K35)/(J35-D35),(IF(H35&lt;=K35,(F35-H35)/(F35-D35),(Table133[[#This Row],[PM Hi]]-Table133[[#This Row],[Lowest lo from open to squeeze]])/(Table133[[#This Row],[PM Hi]]-Table133[[#This Row],[Prior day close]]))))</f>
        <v>0.85915492957746464</v>
      </c>
      <c r="AP35" s="17">
        <f>390+Table133[[#This Row],[Time until ideal entry point (mins) from open]]</f>
        <v>395</v>
      </c>
      <c r="AQ35" s="51">
        <f>(Table133[[#This Row],[Time until ideal entry + 390 (6:30)]]+Table133[[#This Row],[Duration of frontside (mins)]])/1440</f>
        <v>0.31319444444444444</v>
      </c>
    </row>
    <row r="36" spans="1:43" s="26" customFormat="1" x14ac:dyDescent="0.25">
      <c r="A36" s="24" t="s">
        <v>67</v>
      </c>
      <c r="B36" s="11">
        <v>44117</v>
      </c>
      <c r="C36" s="47" t="s">
        <v>71</v>
      </c>
      <c r="D36" s="12">
        <v>1.79</v>
      </c>
      <c r="E36" s="13">
        <v>1.81</v>
      </c>
      <c r="F36" s="12">
        <v>3.67</v>
      </c>
      <c r="G36" s="12">
        <v>1.81</v>
      </c>
      <c r="H36" s="12">
        <v>2.83</v>
      </c>
      <c r="I36" s="12">
        <v>3</v>
      </c>
      <c r="J36" s="12">
        <v>3.08</v>
      </c>
      <c r="K36" s="12">
        <v>2.86</v>
      </c>
      <c r="L36" s="12">
        <v>3.99</v>
      </c>
      <c r="M36" s="12">
        <v>3.99</v>
      </c>
      <c r="N36" s="13">
        <v>192813070</v>
      </c>
      <c r="O36" s="12">
        <v>563014164</v>
      </c>
      <c r="P36" s="37">
        <v>11.64</v>
      </c>
      <c r="Q36">
        <v>3.75</v>
      </c>
      <c r="R36" s="37">
        <v>16207970</v>
      </c>
      <c r="S36" s="37" t="s">
        <v>43</v>
      </c>
      <c r="T36" s="37" t="s">
        <v>43</v>
      </c>
      <c r="U36" s="38">
        <v>1</v>
      </c>
      <c r="V36">
        <v>2</v>
      </c>
      <c r="W36" s="39">
        <v>3</v>
      </c>
      <c r="X36">
        <v>151</v>
      </c>
      <c r="Y36" s="40">
        <f>Table133[[#This Row],[Time until ideal entry + 390 (6:30)]]/(1440)</f>
        <v>0.2722222222222222</v>
      </c>
      <c r="Z36" s="18">
        <f t="shared" si="1"/>
        <v>1.0502793296089385</v>
      </c>
      <c r="AA36" s="18">
        <f>IF(Table133[[#This Row],[HOD AFTER PM HI]]&gt;=Table133[[#This Row],[PM Hi]],((Table133[[#This Row],[HOD AFTER PM HI]]-Table133[[#This Row],[Prior day close]])/Table133[[#This Row],[Prior day close]]),Table133[[#This Row],[Prior Close to PM Hi %]])</f>
        <v>1.229050279329609</v>
      </c>
      <c r="AB36" s="42">
        <f>(Table133[[#This Row],[Price at hi of squeeze]]-Table133[[#This Row],[MKT Open Price]])/Table133[[#This Row],[MKT Open Price]]</f>
        <v>0.33000000000000007</v>
      </c>
      <c r="AC36" s="18">
        <f>(Table133[[#This Row],[Price at hi of squeeze]]-Table133[[#This Row],[PM Hi]])/Table133[[#This Row],[PM Hi]]</f>
        <v>8.7193460490463295E-2</v>
      </c>
      <c r="AD36" s="18">
        <f>(M36-K36)/K36</f>
        <v>0.39510489510489522</v>
      </c>
      <c r="AE36" s="20">
        <f>Table133[[#This Row],[PM VOL]]/1000000/Table133[[#This Row],[FLOAT(M)]]</f>
        <v>4.3221253333333332</v>
      </c>
      <c r="AF36" s="23">
        <f>(Table133[[#This Row],[Volume]]/1000000)/Table133[[#This Row],[FLOAT(M)]]</f>
        <v>51.416818666666671</v>
      </c>
      <c r="AG36" s="18"/>
      <c r="AH36" s="18">
        <f>(Table133[[#This Row],[PM Hi]]-Table133[[#This Row],[MKT Open Price]])/(Table133[[#This Row],[PM Hi]])</f>
        <v>0.18256130790190733</v>
      </c>
      <c r="AI36" s="16">
        <f>IF(Table133[[#This Row],[PM LO]]&gt;Table133[[#This Row],[Prior day close]],(Table133[[#This Row],[PM Hi]]-Table133[[#This Row],[MKT Open Price]])/(Table133[[#This Row],[PM Hi]]-Table133[[#This Row],[Prior day close]]),(Table133[[#This Row],[PM Hi]]-Table133[[#This Row],[MKT Open Price]])/(Table133[[#This Row],[PM Hi]]-Table133[[#This Row],[PM LO]]))</f>
        <v>0.35638297872340424</v>
      </c>
      <c r="AJ36" s="18">
        <f>IF(Table133[[#This Row],[Prior day close]]&lt;Table133[[#This Row],[PM LO]],(I36-K36)/(I36-Table133[[#This Row],[Prior day close]]),(I36-K36)/(I36-Table133[[#This Row],[PM LO]]))</f>
        <v>0.11570247933884308</v>
      </c>
      <c r="AK36" s="18">
        <f>Table133[[#This Row],[Spike % on open before drop]]+AL36</f>
        <v>4.666666666666671E-2</v>
      </c>
      <c r="AL36" s="16">
        <f t="shared" si="3"/>
        <v>4.666666666666671E-2</v>
      </c>
      <c r="AM36" s="18">
        <f>IF($J36&gt;=$F36,($J36-$K36)/($J36),(IF($H36&lt;=$K36,($F36-$H36)/($F36),(Table133[[#This Row],[PM Hi]]-Table133[[#This Row],[Lowest lo from open to squeeze]])/(Table133[[#This Row],[PM Hi]]))))</f>
        <v>0.22888283378746591</v>
      </c>
      <c r="AN36" s="18">
        <f>IF(Table133[[#This Row],[Prior day close]]&lt;=Table133[[#This Row],[PM LO]],IF($J36&gt;=$F36,($J36-$K36)/($J36-Table133[[#This Row],[Prior day close]]),(IF($H36&lt;=$K36,($F36-$H36)/($F36-Table133[[#This Row],[Prior day close]]),(Table133[[#This Row],[PM Hi]]-Table133[[#This Row],[Lowest lo from open to squeeze]])/(Table133[[#This Row],[PM Hi]]-Table133[[#This Row],[Prior day close]])))),IF($J36&gt;=$F36,($J36-$K36)/($J36-Table133[[#This Row],[PM LO]]),(IF($H36&lt;=$K36,($F36-$H36)/($F36-Table133[[#This Row],[PM LO]]),(Table133[[#This Row],[PM Hi]]-Table133[[#This Row],[Lowest lo from open to squeeze]])/(Table133[[#This Row],[PM Hi]]-Table133[[#This Row],[PM LO]])))))</f>
        <v>0.4468085106382978</v>
      </c>
      <c r="AO36" s="18">
        <f>IF(J36&gt;=F36,(J36-K36)/(J36-D36),(IF(H36&lt;=K36,(F36-H36)/(F36-D36),(Table133[[#This Row],[PM Hi]]-Table133[[#This Row],[Lowest lo from open to squeeze]])/(Table133[[#This Row],[PM Hi]]-Table133[[#This Row],[Prior day close]]))))</f>
        <v>0.4468085106382978</v>
      </c>
      <c r="AP36" s="17">
        <f>390+Table133[[#This Row],[Time until ideal entry point (mins) from open]]</f>
        <v>392</v>
      </c>
      <c r="AQ36" s="51">
        <f>(Table133[[#This Row],[Time until ideal entry + 390 (6:30)]]+Table133[[#This Row],[Duration of frontside (mins)]])/1440</f>
        <v>0.37708333333333333</v>
      </c>
    </row>
    <row r="37" spans="1:43" s="36" customFormat="1" x14ac:dyDescent="0.25">
      <c r="A37" s="25" t="s">
        <v>145</v>
      </c>
      <c r="B37" s="11">
        <v>44207</v>
      </c>
      <c r="C37" s="11" t="s">
        <v>71</v>
      </c>
      <c r="D37" s="17">
        <v>1.81</v>
      </c>
      <c r="E37">
        <v>1.81</v>
      </c>
      <c r="F37" s="12">
        <v>2.76</v>
      </c>
      <c r="G37">
        <v>1.81</v>
      </c>
      <c r="H37" s="12">
        <v>2.09</v>
      </c>
      <c r="I37" s="12">
        <v>2.13</v>
      </c>
      <c r="J37" s="12">
        <v>2.13</v>
      </c>
      <c r="K37" s="12">
        <v>2.1</v>
      </c>
      <c r="L37" s="12">
        <v>2.54</v>
      </c>
      <c r="M37" s="12">
        <v>2.54</v>
      </c>
      <c r="N37" s="12">
        <v>28376611</v>
      </c>
      <c r="O37" s="12">
        <v>75481785</v>
      </c>
      <c r="P37" s="12">
        <v>46.41</v>
      </c>
      <c r="Q37" s="46">
        <v>9.23</v>
      </c>
      <c r="R37" s="37">
        <v>7525982</v>
      </c>
      <c r="S37" s="18" t="s">
        <v>41</v>
      </c>
      <c r="T37" s="13" t="s">
        <v>43</v>
      </c>
      <c r="U37" s="38">
        <v>1</v>
      </c>
      <c r="V37" s="46">
        <v>4</v>
      </c>
      <c r="W37" s="39">
        <v>2.17</v>
      </c>
      <c r="X37" s="46">
        <v>19</v>
      </c>
      <c r="Y37" s="19"/>
      <c r="Z37" s="18">
        <f t="shared" si="1"/>
        <v>0.52486187845303856</v>
      </c>
      <c r="AA37" s="13"/>
      <c r="AB37" s="13"/>
      <c r="AC37" s="13"/>
      <c r="AD37" s="13"/>
      <c r="AE37" s="18"/>
      <c r="AF37" s="18"/>
      <c r="AG37" s="18"/>
      <c r="AH37" s="18"/>
      <c r="AI37" s="17"/>
      <c r="AJ37" s="17"/>
      <c r="AK37" s="17"/>
      <c r="AL37" s="16">
        <f t="shared" si="3"/>
        <v>1.408450704225343E-2</v>
      </c>
      <c r="AM37"/>
      <c r="AN37"/>
      <c r="AO37"/>
      <c r="AP37"/>
      <c r="AQ37"/>
    </row>
    <row r="38" spans="1:43" x14ac:dyDescent="0.25">
      <c r="A38" s="24" t="s">
        <v>247</v>
      </c>
      <c r="B38" s="47">
        <v>44203</v>
      </c>
      <c r="C38" s="47" t="s">
        <v>71</v>
      </c>
      <c r="D38" s="12">
        <v>1.88</v>
      </c>
      <c r="E38" s="13">
        <v>1.88</v>
      </c>
      <c r="F38" s="12">
        <v>2.86</v>
      </c>
      <c r="G38" s="12">
        <v>1.89</v>
      </c>
      <c r="H38" s="12">
        <v>2.17</v>
      </c>
      <c r="I38" s="12">
        <v>2.31</v>
      </c>
      <c r="J38" s="12">
        <v>2.4500000000000002</v>
      </c>
      <c r="K38" s="12">
        <v>2.16</v>
      </c>
      <c r="L38" s="12">
        <v>6.65</v>
      </c>
      <c r="M38" s="12">
        <v>4.96</v>
      </c>
      <c r="N38" s="13">
        <v>284000000</v>
      </c>
      <c r="O38" s="12">
        <v>1800000000</v>
      </c>
      <c r="P38" s="37">
        <v>110</v>
      </c>
      <c r="Q38" s="46">
        <v>22.96</v>
      </c>
      <c r="R38" s="37">
        <v>7933941</v>
      </c>
      <c r="S38" s="37" t="s">
        <v>41</v>
      </c>
      <c r="T38" s="37" t="s">
        <v>43</v>
      </c>
      <c r="U38" s="38">
        <v>7</v>
      </c>
      <c r="V38" s="46">
        <v>7</v>
      </c>
      <c r="W38" s="37">
        <v>2.2000000000000002</v>
      </c>
      <c r="X38" s="46">
        <v>171</v>
      </c>
      <c r="Y38" s="41">
        <f>Table133[[#This Row],[Time until ideal entry + 390 (6:30)]]/(1440)</f>
        <v>0.27569444444444446</v>
      </c>
      <c r="Z38" s="18">
        <f t="shared" si="1"/>
        <v>0.52127659574468088</v>
      </c>
      <c r="AA38" s="18">
        <f>IF(Table133[[#This Row],[HOD AFTER PM HI]]&gt;=Table133[[#This Row],[PM Hi]],((Table133[[#This Row],[HOD AFTER PM HI]]-Table133[[#This Row],[Prior day close]])/Table133[[#This Row],[Prior day close]]),Table133[[#This Row],[Prior Close to PM Hi %]])</f>
        <v>2.5372340425531918</v>
      </c>
      <c r="AB38" s="42">
        <f>(Table133[[#This Row],[Price at hi of squeeze]]-Table133[[#This Row],[MKT Open Price]])/Table133[[#This Row],[MKT Open Price]]</f>
        <v>1.1471861471861471</v>
      </c>
      <c r="AC38" s="18">
        <f>(Table133[[#This Row],[Price at hi of squeeze]]-Table133[[#This Row],[PM Hi]])/Table133[[#This Row],[PM Hi]]</f>
        <v>0.73426573426573438</v>
      </c>
      <c r="AD38" s="18"/>
      <c r="AE38" s="20">
        <f>Table133[[#This Row],[PM VOL]]/1000000/Table133[[#This Row],[FLOAT(M)]]</f>
        <v>0.34555492160278745</v>
      </c>
      <c r="AF38" s="23">
        <f>(Table133[[#This Row],[Volume]]/1000000)/Table133[[#This Row],[FLOAT(M)]]</f>
        <v>12.369337979094077</v>
      </c>
      <c r="AH38" s="18">
        <f>(Table133[[#This Row],[PM Hi]]-Table133[[#This Row],[MKT Open Price]])/(Table133[[#This Row],[PM Hi]])</f>
        <v>0.19230769230769226</v>
      </c>
      <c r="AI38" s="18">
        <f>IF(Table133[[#This Row],[PM LO]]&gt;Table133[[#This Row],[Prior day close]],(Table133[[#This Row],[PM Hi]]-Table133[[#This Row],[MKT Open Price]])/(Table133[[#This Row],[PM Hi]]-Table133[[#This Row],[Prior day close]]),(Table133[[#This Row],[PM Hi]]-Table133[[#This Row],[MKT Open Price]])/(Table133[[#This Row],[PM Hi]]-Table133[[#This Row],[PM LO]]))</f>
        <v>0.56122448979591821</v>
      </c>
      <c r="AJ38" s="48">
        <f>IF(Table133[[#This Row],[Prior day close]]&lt;Table133[[#This Row],[PM LO]],(I38-K38)/(I38-Table133[[#This Row],[Prior day close]]),(I38-K38)/(I38-Table133[[#This Row],[PM LO]]))</f>
        <v>0.34883720930232526</v>
      </c>
      <c r="AK38" s="48">
        <f>Table133[[#This Row],[Spike % on open before drop]]+AL38</f>
        <v>6.4935064935064901E-2</v>
      </c>
      <c r="AL38" s="16">
        <f t="shared" si="3"/>
        <v>6.4935064935064901E-2</v>
      </c>
      <c r="AM38" s="18">
        <f>IF($J38&gt;=$F38,($J38-$K38)/($J38),(IF($H38&lt;=$K38,($F38-$H38)/($F38),(Table133[[#This Row],[PM Hi]]-Table133[[#This Row],[Lowest lo from open to squeeze]])/(Table133[[#This Row],[PM Hi]]))))</f>
        <v>0.24475524475524468</v>
      </c>
      <c r="AN38" s="48">
        <f>IF(Table133[[#This Row],[Prior day close]]&lt;=Table133[[#This Row],[PM LO]],IF($J38&gt;=$F38,($J38-$K38)/($J38-Table133[[#This Row],[Prior day close]]),(IF($H38&lt;=$K38,($F38-$H38)/($F38-Table133[[#This Row],[Prior day close]]),(Table133[[#This Row],[PM Hi]]-Table133[[#This Row],[Lowest lo from open to squeeze]])/(Table133[[#This Row],[PM Hi]]-Table133[[#This Row],[Prior day close]])))),IF($J38&gt;=$F38,($J38-$K38)/($J38-Table133[[#This Row],[PM LO]]),(IF($H38&lt;=$K38,($F38-$H38)/($F38-Table133[[#This Row],[PM LO]]),(Table133[[#This Row],[PM Hi]]-Table133[[#This Row],[Lowest lo from open to squeeze]])/(Table133[[#This Row],[PM Hi]]-Table133[[#This Row],[PM LO]])))))</f>
        <v>0.71428571428571408</v>
      </c>
      <c r="AO38" s="18">
        <f>IF(J38&gt;=F38,(J38-K38)/(J38-D38),(IF(H38&lt;=K38,(F38-H38)/(F38-D38),(Table133[[#This Row],[PM Hi]]-Table133[[#This Row],[Lowest lo from open to squeeze]])/(Table133[[#This Row],[PM Hi]]-Table133[[#This Row],[Prior day close]]))))</f>
        <v>0.71428571428571408</v>
      </c>
      <c r="AP38" s="17">
        <f>390+Table133[[#This Row],[Time until ideal entry point (mins) from open]]</f>
        <v>397</v>
      </c>
      <c r="AQ38" s="17">
        <f>Table133[[#This Row],[Time until ideal entry + 390 (6:30)]]+Table133[[#This Row],[Duration of frontside (mins)]]</f>
        <v>568</v>
      </c>
    </row>
    <row r="39" spans="1:43" x14ac:dyDescent="0.25">
      <c r="A39" s="10" t="s">
        <v>64</v>
      </c>
      <c r="B39" s="11">
        <v>44032</v>
      </c>
      <c r="C39" s="47" t="s">
        <v>71</v>
      </c>
      <c r="D39" s="12">
        <v>2.04</v>
      </c>
      <c r="E39" s="13">
        <v>3.7</v>
      </c>
      <c r="F39" s="12">
        <v>5.39</v>
      </c>
      <c r="G39" s="12">
        <v>2.14</v>
      </c>
      <c r="H39" s="12">
        <v>4.9000000000000004</v>
      </c>
      <c r="I39" s="12">
        <v>4.8899999999999997</v>
      </c>
      <c r="J39" s="12">
        <v>5</v>
      </c>
      <c r="K39" s="12">
        <v>4.03</v>
      </c>
      <c r="L39" s="12">
        <v>5.24</v>
      </c>
      <c r="M39" s="12">
        <v>5.24</v>
      </c>
      <c r="N39" s="13">
        <v>64184852</v>
      </c>
      <c r="O39" s="12">
        <v>190308086</v>
      </c>
      <c r="P39" s="13">
        <v>12.71</v>
      </c>
      <c r="Q39">
        <v>5.13</v>
      </c>
      <c r="R39" s="13">
        <v>12827663</v>
      </c>
      <c r="S39" s="13" t="s">
        <v>43</v>
      </c>
      <c r="T39" t="s">
        <v>43</v>
      </c>
      <c r="U39">
        <v>24</v>
      </c>
      <c r="V39">
        <v>25</v>
      </c>
      <c r="W39">
        <v>4.0599999999999996</v>
      </c>
      <c r="X39">
        <v>19</v>
      </c>
      <c r="Y39" s="15">
        <f>Table133[[#This Row],[Time until ideal entry + 390 (6:30)]]/(1440)</f>
        <v>0.28819444444444442</v>
      </c>
      <c r="Z39" s="18">
        <f t="shared" ref="Z39:Z70" si="4">(F39-D39)/D39</f>
        <v>1.6421568627450978</v>
      </c>
      <c r="AA39" s="18">
        <f>IF(Table133[[#This Row],[HOD AFTER PM HI]]&gt;=Table133[[#This Row],[PM Hi]],((Table133[[#This Row],[HOD AFTER PM HI]]-Table133[[#This Row],[Prior day close]])/Table133[[#This Row],[Prior day close]]),Table133[[#This Row],[Prior Close to PM Hi %]])</f>
        <v>1.6421568627450978</v>
      </c>
      <c r="AB39" s="18">
        <f>(Table133[[#This Row],[Price at hi of squeeze]]-Table133[[#This Row],[MKT Open Price]])/Table133[[#This Row],[MKT Open Price]]</f>
        <v>7.1574642126789476E-2</v>
      </c>
      <c r="AC39" s="18">
        <f>(Table133[[#This Row],[Price at hi of squeeze]]-Table133[[#This Row],[PM Hi]])/Table133[[#This Row],[PM Hi]]</f>
        <v>-2.782931354359916E-2</v>
      </c>
      <c r="AD39" s="18">
        <f>(M39-K39)/K39</f>
        <v>0.30024813895781632</v>
      </c>
      <c r="AE39" s="20">
        <f>Table133[[#This Row],[PM VOL]]/1000000/Table133[[#This Row],[FLOAT(M)]]</f>
        <v>2.5005191033138399</v>
      </c>
      <c r="AF39" s="21">
        <f>(Table133[[#This Row],[Volume]]/1000000)/Table133[[#This Row],[FLOAT(M)]]</f>
        <v>12.511667056530216</v>
      </c>
      <c r="AG39" s="18">
        <f>(Table133[[#This Row],[Hi of Spike after open before drop]]-Table133[[#This Row],[MKT Open Price]])/Table133[[#This Row],[MKT Open Price]]</f>
        <v>2.2494887525562439E-2</v>
      </c>
      <c r="AH39" s="18">
        <f>(Table133[[#This Row],[PM Hi]]-Table133[[#This Row],[MKT Open Price]])/(Table133[[#This Row],[PM Hi]])</f>
        <v>9.27643784786642E-2</v>
      </c>
      <c r="AI39" s="16">
        <f>IF(Table133[[#This Row],[PM LO]]&gt;Table133[[#This Row],[Prior day close]],(Table133[[#This Row],[PM Hi]]-Table133[[#This Row],[MKT Open Price]])/(Table133[[#This Row],[PM Hi]]-Table133[[#This Row],[Prior day close]]),(Table133[[#This Row],[PM Hi]]-Table133[[#This Row],[MKT Open Price]])/(Table133[[#This Row],[PM Hi]]-Table133[[#This Row],[PM LO]]))</f>
        <v>0.1492537313432836</v>
      </c>
      <c r="AJ39" s="16">
        <f>IF(Table133[[#This Row],[Prior day close]]&lt;Table133[[#This Row],[PM LO]],(I39-K39)/(I39-Table133[[#This Row],[Prior day close]]),(I39-K39)/(I39-Table133[[#This Row],[PM LO]]))</f>
        <v>0.30175438596491211</v>
      </c>
      <c r="AK39" s="16">
        <f>Table133[[#This Row],[Spike % on open before drop]]+AL39</f>
        <v>0.19836400817995906</v>
      </c>
      <c r="AL39" s="16">
        <f t="shared" si="3"/>
        <v>0.17586912065439661</v>
      </c>
      <c r="AM39" s="18">
        <f>IF($J39&gt;=$F39,($J39-$K39)/($J39),(IF($H39&lt;=$K39,($F39-$H39)/($F39),(Table133[[#This Row],[PM Hi]]-Table133[[#This Row],[Lowest lo from open to squeeze]])/(Table133[[#This Row],[PM Hi]]))))</f>
        <v>0.25231910946196651</v>
      </c>
      <c r="AN39" s="18">
        <f>IF(Table133[[#This Row],[Prior day close]]&lt;=Table133[[#This Row],[PM LO]],IF($J39&gt;=$F39,($J39-$K39)/($J39-Table133[[#This Row],[Prior day close]]),(IF($H39&lt;=$K39,($F39-$H39)/($F39-Table133[[#This Row],[Prior day close]]),(Table133[[#This Row],[PM Hi]]-Table133[[#This Row],[Lowest lo from open to squeeze]])/(Table133[[#This Row],[PM Hi]]-Table133[[#This Row],[Prior day close]])))),IF($J39&gt;=$F39,($J39-$K39)/($J39-Table133[[#This Row],[PM LO]]),(IF($H39&lt;=$K39,($F39-$H39)/($F39-Table133[[#This Row],[PM LO]]),(Table133[[#This Row],[PM Hi]]-Table133[[#This Row],[Lowest lo from open to squeeze]])/(Table133[[#This Row],[PM Hi]]-Table133[[#This Row],[PM LO]])))))</f>
        <v>0.40597014925373121</v>
      </c>
      <c r="AO39" s="18">
        <f>IF(J39&gt;=F39,(J39-K39)/(J39-D39),(IF(H39&lt;=K39,(F39-H39)/(F39-D39),(Table133[[#This Row],[PM Hi]]-Table133[[#This Row],[Lowest lo from open to squeeze]])/(Table133[[#This Row],[PM Hi]]-Table133[[#This Row],[Prior day close]]))))</f>
        <v>0.40597014925373121</v>
      </c>
      <c r="AP39" s="17">
        <f>390+Table133[[#This Row],[Time until ideal entry point (mins) from open]]</f>
        <v>415</v>
      </c>
      <c r="AQ39" s="51">
        <f>(Table133[[#This Row],[Time until ideal entry + 390 (6:30)]]+Table133[[#This Row],[Duration of frontside (mins)]])/1440</f>
        <v>0.30138888888888887</v>
      </c>
    </row>
    <row r="40" spans="1:43" s="36" customFormat="1" x14ac:dyDescent="0.25">
      <c r="A40" s="24" t="s">
        <v>64</v>
      </c>
      <c r="B40" s="11">
        <v>44158</v>
      </c>
      <c r="C40" s="47" t="s">
        <v>71</v>
      </c>
      <c r="D40" s="12">
        <v>2.08</v>
      </c>
      <c r="E40" s="13">
        <v>2.13</v>
      </c>
      <c r="F40" s="12">
        <v>3.14</v>
      </c>
      <c r="G40" s="12">
        <v>2.13</v>
      </c>
      <c r="H40" s="12">
        <v>2.94</v>
      </c>
      <c r="I40" s="12">
        <v>3.05</v>
      </c>
      <c r="J40" s="12">
        <v>3.23</v>
      </c>
      <c r="K40" s="12">
        <v>2.75</v>
      </c>
      <c r="L40" s="12">
        <v>9.02</v>
      </c>
      <c r="M40" s="12">
        <v>4.17</v>
      </c>
      <c r="N40" s="13">
        <v>300228380</v>
      </c>
      <c r="O40" s="12">
        <v>2590970919</v>
      </c>
      <c r="P40" s="37">
        <v>30</v>
      </c>
      <c r="Q40">
        <v>8.8800000000000008</v>
      </c>
      <c r="R40" s="37">
        <v>12828489</v>
      </c>
      <c r="S40" s="37" t="s">
        <v>43</v>
      </c>
      <c r="T40" s="37" t="s">
        <v>43</v>
      </c>
      <c r="U40" s="38">
        <v>10</v>
      </c>
      <c r="V40">
        <v>10</v>
      </c>
      <c r="W40" s="39"/>
      <c r="X40"/>
      <c r="Y40" s="40">
        <f>Table133[[#This Row],[Time until ideal entry + 390 (6:30)]]/(1440)</f>
        <v>0.27777777777777779</v>
      </c>
      <c r="Z40" s="18">
        <f t="shared" si="4"/>
        <v>0.50961538461538458</v>
      </c>
      <c r="AA40" s="18">
        <f>IF(Table133[[#This Row],[HOD AFTER PM HI]]&gt;=Table133[[#This Row],[PM Hi]],((Table133[[#This Row],[HOD AFTER PM HI]]-Table133[[#This Row],[Prior day close]])/Table133[[#This Row],[Prior day close]]),Table133[[#This Row],[Prior Close to PM Hi %]])</f>
        <v>3.3365384615384612</v>
      </c>
      <c r="AB40" s="42">
        <f>(Table133[[#This Row],[Price at hi of squeeze]]-Table133[[#This Row],[MKT Open Price]])/Table133[[#This Row],[MKT Open Price]]</f>
        <v>0.3672131147540984</v>
      </c>
      <c r="AC40" s="18">
        <f>(Table133[[#This Row],[Price at hi of squeeze]]-Table133[[#This Row],[PM Hi]])/Table133[[#This Row],[PM Hi]]</f>
        <v>0.3280254777070063</v>
      </c>
      <c r="AD40" s="18">
        <f>(M40-K40)/K40</f>
        <v>0.51636363636363636</v>
      </c>
      <c r="AE40" s="20">
        <f>Table133[[#This Row],[PM VOL]]/1000000/Table133[[#This Row],[FLOAT(M)]]</f>
        <v>1.4446496621621621</v>
      </c>
      <c r="AF40" s="23">
        <f>(Table133[[#This Row],[Volume]]/1000000)/Table133[[#This Row],[FLOAT(M)]]</f>
        <v>33.809502252252251</v>
      </c>
      <c r="AG40" s="18"/>
      <c r="AH40" s="18">
        <f>(Table133[[#This Row],[PM Hi]]-Table133[[#This Row],[MKT Open Price]])/(Table133[[#This Row],[PM Hi]])</f>
        <v>2.8662420382165699E-2</v>
      </c>
      <c r="AI40" s="16">
        <f>IF(Table133[[#This Row],[PM LO]]&gt;Table133[[#This Row],[Prior day close]],(Table133[[#This Row],[PM Hi]]-Table133[[#This Row],[MKT Open Price]])/(Table133[[#This Row],[PM Hi]]-Table133[[#This Row],[Prior day close]]),(Table133[[#This Row],[PM Hi]]-Table133[[#This Row],[MKT Open Price]])/(Table133[[#This Row],[PM Hi]]-Table133[[#This Row],[PM LO]]))</f>
        <v>8.4905660377358777E-2</v>
      </c>
      <c r="AJ40" s="18">
        <f>IF(Table133[[#This Row],[Prior day close]]&lt;Table133[[#This Row],[PM LO]],(I40-K40)/(I40-Table133[[#This Row],[Prior day close]]),(I40-K40)/(I40-Table133[[#This Row],[PM LO]]))</f>
        <v>0.30927835051546382</v>
      </c>
      <c r="AK40" s="18">
        <f>Table133[[#This Row],[Spike % on open before drop]]+AL40</f>
        <v>9.8360655737704861E-2</v>
      </c>
      <c r="AL40" s="16">
        <f t="shared" si="3"/>
        <v>9.8360655737704861E-2</v>
      </c>
      <c r="AM40" s="18">
        <f>IF($J40&gt;=$F40,($J40-$K40)/($J40),(IF($H40&lt;=$K40,($F40-$H40)/($F40),(Table133[[#This Row],[PM Hi]]-Table133[[#This Row],[Lowest lo from open to squeeze]])/(Table133[[#This Row],[PM Hi]]))))</f>
        <v>0.14860681114551083</v>
      </c>
      <c r="AN40" s="18">
        <f>IF(Table133[[#This Row],[Prior day close]]&lt;=Table133[[#This Row],[PM LO]],IF($J40&gt;=$F40,($J40-$K40)/($J40-Table133[[#This Row],[Prior day close]]),(IF($H40&lt;=$K40,($F40-$H40)/($F40-Table133[[#This Row],[Prior day close]]),(Table133[[#This Row],[PM Hi]]-Table133[[#This Row],[Lowest lo from open to squeeze]])/(Table133[[#This Row],[PM Hi]]-Table133[[#This Row],[Prior day close]])))),IF($J40&gt;=$F40,($J40-$K40)/($J40-Table133[[#This Row],[PM LO]]),(IF($H40&lt;=$K40,($F40-$H40)/($F40-Table133[[#This Row],[PM LO]]),(Table133[[#This Row],[PM Hi]]-Table133[[#This Row],[Lowest lo from open to squeeze]])/(Table133[[#This Row],[PM Hi]]-Table133[[#This Row],[PM LO]])))))</f>
        <v>0.41739130434782612</v>
      </c>
      <c r="AO40" s="18">
        <f>IF(J40&gt;=F40,(J40-K40)/(J40-D40),(IF(H40&lt;=K40,(F40-H40)/(F40-D40),(Table133[[#This Row],[PM Hi]]-Table133[[#This Row],[Lowest lo from open to squeeze]])/(Table133[[#This Row],[PM Hi]]-Table133[[#This Row],[Prior day close]]))))</f>
        <v>0.41739130434782612</v>
      </c>
      <c r="AP40" s="17">
        <f>390+Table133[[#This Row],[Time until ideal entry point (mins) from open]]</f>
        <v>400</v>
      </c>
      <c r="AQ40" s="51">
        <f>(Table133[[#This Row],[Time until ideal entry + 390 (6:30)]]+Table133[[#This Row],[Duration of frontside (mins)]])/1440</f>
        <v>0.27777777777777779</v>
      </c>
    </row>
    <row r="41" spans="1:43" x14ac:dyDescent="0.25">
      <c r="A41" s="24" t="s">
        <v>124</v>
      </c>
      <c r="B41" s="11">
        <v>44123</v>
      </c>
      <c r="C41" s="47" t="s">
        <v>71</v>
      </c>
      <c r="D41" s="12">
        <v>2.14</v>
      </c>
      <c r="E41" s="13">
        <v>2.0499999999999998</v>
      </c>
      <c r="F41" s="12">
        <v>4.09</v>
      </c>
      <c r="G41" s="12">
        <v>1.75</v>
      </c>
      <c r="H41" s="12">
        <v>2.9</v>
      </c>
      <c r="I41" s="12">
        <v>3.3</v>
      </c>
      <c r="J41" s="12">
        <v>3.44</v>
      </c>
      <c r="K41" s="12">
        <v>2.75</v>
      </c>
      <c r="L41" s="12">
        <v>13.4</v>
      </c>
      <c r="M41" s="12">
        <v>13.4</v>
      </c>
      <c r="N41" s="13">
        <v>235290470</v>
      </c>
      <c r="O41" s="12">
        <v>1672915</v>
      </c>
      <c r="P41" s="37">
        <v>80.400000000000006</v>
      </c>
      <c r="Q41">
        <v>1.0900000000000001</v>
      </c>
      <c r="R41" s="37">
        <v>6828373</v>
      </c>
      <c r="S41" s="37" t="s">
        <v>41</v>
      </c>
      <c r="T41" s="37" t="s">
        <v>41</v>
      </c>
      <c r="U41" s="38">
        <v>6</v>
      </c>
      <c r="V41">
        <v>7</v>
      </c>
      <c r="W41" s="39">
        <v>3</v>
      </c>
      <c r="X41">
        <v>107</v>
      </c>
      <c r="Y41" s="40">
        <f>Table133[[#This Row],[Time until ideal entry + 390 (6:30)]]/(1440)</f>
        <v>0.27569444444444446</v>
      </c>
      <c r="Z41" s="18">
        <f t="shared" si="4"/>
        <v>0.91121495327102786</v>
      </c>
      <c r="AA41" s="18">
        <f>IF(Table133[[#This Row],[HOD AFTER PM HI]]&gt;=Table133[[#This Row],[PM Hi]],((Table133[[#This Row],[HOD AFTER PM HI]]-Table133[[#This Row],[Prior day close]])/Table133[[#This Row],[Prior day close]]),Table133[[#This Row],[Prior Close to PM Hi %]])</f>
        <v>5.2616822429906538</v>
      </c>
      <c r="AB41" s="42">
        <f>(Table133[[#This Row],[Price at hi of squeeze]]-Table133[[#This Row],[MKT Open Price]])/Table133[[#This Row],[MKT Open Price]]</f>
        <v>3.060606060606061</v>
      </c>
      <c r="AC41" s="18">
        <f>(Table133[[#This Row],[Price at hi of squeeze]]-Table133[[#This Row],[PM Hi]])/Table133[[#This Row],[PM Hi]]</f>
        <v>2.2762836185819073</v>
      </c>
      <c r="AD41" s="18">
        <f>(M41-K41)/K41</f>
        <v>3.872727272727273</v>
      </c>
      <c r="AE41" s="20">
        <f>Table133[[#This Row],[PM VOL]]/1000000/Table133[[#This Row],[FLOAT(M)]]</f>
        <v>6.2645623853211001</v>
      </c>
      <c r="AF41" s="23">
        <f>(Table133[[#This Row],[Volume]]/1000000)/Table133[[#This Row],[FLOAT(M)]]</f>
        <v>215.86281651376146</v>
      </c>
      <c r="AH41" s="18">
        <f>(Table133[[#This Row],[PM Hi]]-Table133[[#This Row],[MKT Open Price]])/(Table133[[#This Row],[PM Hi]])</f>
        <v>0.19315403422982885</v>
      </c>
      <c r="AI41" s="16">
        <f>IF(Table133[[#This Row],[PM LO]]&gt;Table133[[#This Row],[Prior day close]],(Table133[[#This Row],[PM Hi]]-Table133[[#This Row],[MKT Open Price]])/(Table133[[#This Row],[PM Hi]]-Table133[[#This Row],[Prior day close]]),(Table133[[#This Row],[PM Hi]]-Table133[[#This Row],[MKT Open Price]])/(Table133[[#This Row],[PM Hi]]-Table133[[#This Row],[PM LO]]))</f>
        <v>0.33760683760683763</v>
      </c>
      <c r="AJ41" s="18">
        <f>IF(Table133[[#This Row],[Prior day close]]&lt;Table133[[#This Row],[PM LO]],(I41-K41)/(I41-Table133[[#This Row],[Prior day close]]),(I41-K41)/(I41-Table133[[#This Row],[PM LO]]))</f>
        <v>0.35483870967741926</v>
      </c>
      <c r="AK41" s="18">
        <f>Table133[[#This Row],[Spike % on open before drop]]+AL41</f>
        <v>0.16666666666666663</v>
      </c>
      <c r="AL41" s="16">
        <f t="shared" si="3"/>
        <v>0.16666666666666663</v>
      </c>
      <c r="AM41" s="18">
        <f>IF($J41&gt;=$F41,($J41-$K41)/($J41),(IF($H41&lt;=$K41,($F41-$H41)/($F41),(Table133[[#This Row],[PM Hi]]-Table133[[#This Row],[Lowest lo from open to squeeze]])/(Table133[[#This Row],[PM Hi]]))))</f>
        <v>0.32762836185819066</v>
      </c>
      <c r="AN41" s="18">
        <f>IF(Table133[[#This Row],[Prior day close]]&lt;=Table133[[#This Row],[PM LO]],IF($J41&gt;=$F41,($J41-$K41)/($J41-Table133[[#This Row],[Prior day close]]),(IF($H41&lt;=$K41,($F41-$H41)/($F41-Table133[[#This Row],[Prior day close]]),(Table133[[#This Row],[PM Hi]]-Table133[[#This Row],[Lowest lo from open to squeeze]])/(Table133[[#This Row],[PM Hi]]-Table133[[#This Row],[Prior day close]])))),IF($J41&gt;=$F41,($J41-$K41)/($J41-Table133[[#This Row],[PM LO]]),(IF($H41&lt;=$K41,($F41-$H41)/($F41-Table133[[#This Row],[PM LO]]),(Table133[[#This Row],[PM Hi]]-Table133[[#This Row],[Lowest lo from open to squeeze]])/(Table133[[#This Row],[PM Hi]]-Table133[[#This Row],[PM LO]])))))</f>
        <v>0.57264957264957261</v>
      </c>
      <c r="AO41" s="18">
        <f>IF(J41&gt;=F41,(J41-K41)/(J41-D41),(IF(H41&lt;=K41,(F41-H41)/(F41-D41),(Table133[[#This Row],[PM Hi]]-Table133[[#This Row],[Lowest lo from open to squeeze]])/(Table133[[#This Row],[PM Hi]]-Table133[[#This Row],[Prior day close]]))))</f>
        <v>0.68717948717948718</v>
      </c>
      <c r="AP41" s="17">
        <f>390+Table133[[#This Row],[Time until ideal entry point (mins) from open]]</f>
        <v>397</v>
      </c>
      <c r="AQ41" s="51">
        <f>(Table133[[#This Row],[Time until ideal entry + 390 (6:30)]]+Table133[[#This Row],[Duration of frontside (mins)]])/1440</f>
        <v>0.35</v>
      </c>
    </row>
    <row r="42" spans="1:43" s="26" customFormat="1" x14ac:dyDescent="0.25">
      <c r="A42" s="24" t="s">
        <v>170</v>
      </c>
      <c r="B42" s="47">
        <v>43899</v>
      </c>
      <c r="C42" s="47" t="s">
        <v>71</v>
      </c>
      <c r="D42" s="12">
        <v>2.15</v>
      </c>
      <c r="E42" s="13">
        <f>Table133[[#This Row],[Prior day close]]</f>
        <v>2.15</v>
      </c>
      <c r="F42" s="12">
        <v>4.0199999999999996</v>
      </c>
      <c r="G42" s="12">
        <v>2.2000000000000002</v>
      </c>
      <c r="H42" s="12">
        <v>3.29</v>
      </c>
      <c r="I42" s="12">
        <v>3.25</v>
      </c>
      <c r="J42" s="12">
        <v>3.25</v>
      </c>
      <c r="K42" s="12">
        <v>3.05</v>
      </c>
      <c r="L42" s="12">
        <v>7.11</v>
      </c>
      <c r="M42" s="12">
        <v>4</v>
      </c>
      <c r="N42" s="13">
        <v>87974652</v>
      </c>
      <c r="O42" s="12">
        <v>560838406</v>
      </c>
      <c r="P42" s="37"/>
      <c r="Q42" s="46"/>
      <c r="R42" s="37">
        <v>3298265</v>
      </c>
      <c r="S42" s="37" t="s">
        <v>41</v>
      </c>
      <c r="T42" s="37" t="s">
        <v>43</v>
      </c>
      <c r="U42" s="38">
        <v>4</v>
      </c>
      <c r="V42" s="46">
        <v>4</v>
      </c>
      <c r="W42" s="37">
        <v>3.1</v>
      </c>
      <c r="X42" s="46">
        <v>23</v>
      </c>
      <c r="Y42" s="41">
        <f>Table133[[#This Row],[Time until ideal entry + 390 (6:30)]]/(1440)</f>
        <v>0.27361111111111114</v>
      </c>
      <c r="Z42" s="18">
        <f t="shared" si="4"/>
        <v>0.86976744186046495</v>
      </c>
      <c r="AA42" s="18">
        <f>IF(Table133[[#This Row],[HOD AFTER PM HI]]&gt;=Table133[[#This Row],[PM Hi]],((Table133[[#This Row],[HOD AFTER PM HI]]-Table133[[#This Row],[Prior day close]])/Table133[[#This Row],[Prior day close]]),Table133[[#This Row],[Prior Close to PM Hi %]])</f>
        <v>2.3069767441860471</v>
      </c>
      <c r="AB42" s="42">
        <f>(Table133[[#This Row],[Price at hi of squeeze]]-Table133[[#This Row],[MKT Open Price]])/Table133[[#This Row],[MKT Open Price]]</f>
        <v>0.23076923076923078</v>
      </c>
      <c r="AC42" s="18">
        <f>(Table133[[#This Row],[Price at hi of squeeze]]-Table133[[#This Row],[PM Hi]])/Table133[[#This Row],[PM Hi]]</f>
        <v>-4.9751243781093468E-3</v>
      </c>
      <c r="AD42" s="18"/>
      <c r="AE42" s="20" t="e">
        <f>Table133[[#This Row],[PM VOL]]/1000000/Table133[[#This Row],[FLOAT(M)]]</f>
        <v>#DIV/0!</v>
      </c>
      <c r="AF42" s="23" t="e">
        <f>(Table133[[#This Row],[Volume]]/1000000)/Table133[[#This Row],[FLOAT(M)]]</f>
        <v>#DIV/0!</v>
      </c>
      <c r="AG42" s="18"/>
      <c r="AH42" s="18">
        <f>(Table133[[#This Row],[PM Hi]]-Table133[[#This Row],[MKT Open Price]])/(Table133[[#This Row],[PM Hi]])</f>
        <v>0.19154228855721384</v>
      </c>
      <c r="AI42" s="18">
        <f>IF(Table133[[#This Row],[PM LO]]&gt;Table133[[#This Row],[Prior day close]],(Table133[[#This Row],[PM Hi]]-Table133[[#This Row],[MKT Open Price]])/(Table133[[#This Row],[PM Hi]]-Table133[[#This Row],[Prior day close]]),(Table133[[#This Row],[PM Hi]]-Table133[[#This Row],[MKT Open Price]])/(Table133[[#This Row],[PM Hi]]-Table133[[#This Row],[PM LO]]))</f>
        <v>0.41176470588235281</v>
      </c>
      <c r="AJ42" s="48">
        <f>IF(Table133[[#This Row],[Prior day close]]&lt;Table133[[#This Row],[PM LO]],(I42-K42)/(I42-Table133[[#This Row],[Prior day close]]),(I42-K42)/(I42-Table133[[#This Row],[PM LO]]))</f>
        <v>0.18181818181818196</v>
      </c>
      <c r="AK42" s="48">
        <f>Table133[[#This Row],[Spike % on open before drop]]+AL42</f>
        <v>6.153846153846159E-2</v>
      </c>
      <c r="AL42" s="16">
        <f t="shared" si="3"/>
        <v>6.153846153846159E-2</v>
      </c>
      <c r="AM42" s="18">
        <f>IF($J42&gt;=$F42,($J42-$K42)/($J42),(IF($H42&lt;=$K42,($F42-$H42)/($F42),(Table133[[#This Row],[PM Hi]]-Table133[[#This Row],[Lowest lo from open to squeeze]])/(Table133[[#This Row],[PM Hi]]))))</f>
        <v>0.24129353233830841</v>
      </c>
      <c r="AN42" s="48">
        <f>IF(Table133[[#This Row],[Prior day close]]&lt;=Table133[[#This Row],[PM LO]],IF($J42&gt;=$F42,($J42-$K42)/($J42-Table133[[#This Row],[Prior day close]]),(IF($H42&lt;=$K42,($F42-$H42)/($F42-Table133[[#This Row],[Prior day close]]),(Table133[[#This Row],[PM Hi]]-Table133[[#This Row],[Lowest lo from open to squeeze]])/(Table133[[#This Row],[PM Hi]]-Table133[[#This Row],[Prior day close]])))),IF($J42&gt;=$F42,($J42-$K42)/($J42-Table133[[#This Row],[PM LO]]),(IF($H42&lt;=$K42,($F42-$H42)/($F42-Table133[[#This Row],[PM LO]]),(Table133[[#This Row],[PM Hi]]-Table133[[#This Row],[Lowest lo from open to squeeze]])/(Table133[[#This Row],[PM Hi]]-Table133[[#This Row],[PM LO]])))))</f>
        <v>0.51871657754010692</v>
      </c>
      <c r="AO42" s="18">
        <f>IF(J42&gt;=F42,(J42-K42)/(J42-D42),(IF(H42&lt;=K42,(F42-H42)/(F42-D42),(Table133[[#This Row],[PM Hi]]-Table133[[#This Row],[Lowest lo from open to squeeze]])/(Table133[[#This Row],[PM Hi]]-Table133[[#This Row],[Prior day close]]))))</f>
        <v>0.51871657754010692</v>
      </c>
      <c r="AP42" s="17">
        <f>390+Table133[[#This Row],[Time until ideal entry point (mins) from open]]</f>
        <v>394</v>
      </c>
      <c r="AQ42" s="17">
        <f>Table133[[#This Row],[Time until ideal entry + 390 (6:30)]]+Table133[[#This Row],[Duration of frontside (mins)]]</f>
        <v>417</v>
      </c>
    </row>
    <row r="43" spans="1:43" x14ac:dyDescent="0.25">
      <c r="A43" s="24" t="s">
        <v>139</v>
      </c>
      <c r="B43" s="11">
        <v>44200</v>
      </c>
      <c r="C43" s="47" t="s">
        <v>71</v>
      </c>
      <c r="D43" s="12">
        <v>2.16</v>
      </c>
      <c r="E43" s="13">
        <v>2.1</v>
      </c>
      <c r="F43" s="12">
        <v>3.88</v>
      </c>
      <c r="G43" s="12">
        <v>2.06</v>
      </c>
      <c r="H43" s="12">
        <v>2.66</v>
      </c>
      <c r="I43" s="12">
        <v>2.9</v>
      </c>
      <c r="J43" s="12">
        <v>2.9</v>
      </c>
      <c r="K43" s="12">
        <v>2.87</v>
      </c>
      <c r="L43" s="12">
        <v>3.85</v>
      </c>
      <c r="M43" s="12">
        <v>3.74</v>
      </c>
      <c r="N43" s="13">
        <v>37742608</v>
      </c>
      <c r="O43" s="12">
        <v>90204833</v>
      </c>
      <c r="P43" s="37">
        <v>20.7</v>
      </c>
      <c r="Q43">
        <v>1.93</v>
      </c>
      <c r="R43" s="37">
        <v>3195364</v>
      </c>
      <c r="S43" s="37" t="s">
        <v>41</v>
      </c>
      <c r="T43" s="37" t="s">
        <v>43</v>
      </c>
      <c r="U43" s="38">
        <v>1</v>
      </c>
      <c r="V43">
        <v>3</v>
      </c>
      <c r="W43" s="39">
        <v>3.06</v>
      </c>
      <c r="X43">
        <v>10</v>
      </c>
      <c r="Y43" s="40">
        <f>Table133[[#This Row],[Time until ideal entry + 390 (6:30)]]/(1440)</f>
        <v>0.27291666666666664</v>
      </c>
      <c r="Z43" s="18">
        <f t="shared" si="4"/>
        <v>0.79629629629629617</v>
      </c>
      <c r="AA43" s="18">
        <f>IF(Table133[[#This Row],[HOD AFTER PM HI]]&gt;=Table133[[#This Row],[PM Hi]],((Table133[[#This Row],[HOD AFTER PM HI]]-Table133[[#This Row],[Prior day close]])/Table133[[#This Row],[Prior day close]]),Table133[[#This Row],[Prior Close to PM Hi %]])</f>
        <v>0.79629629629629617</v>
      </c>
      <c r="AB43" s="42">
        <f>(Table133[[#This Row],[Price at hi of squeeze]]-Table133[[#This Row],[MKT Open Price]])/Table133[[#This Row],[MKT Open Price]]</f>
        <v>0.28965517241379324</v>
      </c>
      <c r="AC43" s="18">
        <f>(Table133[[#This Row],[Price at hi of squeeze]]-Table133[[#This Row],[PM Hi]])/Table133[[#This Row],[PM Hi]]</f>
        <v>-3.6082474226804044E-2</v>
      </c>
      <c r="AD43" s="18"/>
      <c r="AE43" s="20">
        <f>Table133[[#This Row],[PM VOL]]/1000000/Table133[[#This Row],[FLOAT(M)]]</f>
        <v>1.6556290155440416</v>
      </c>
      <c r="AF43" s="23">
        <f>(Table133[[#This Row],[Volume]]/1000000)/Table133[[#This Row],[FLOAT(M)]]</f>
        <v>19.555755440414508</v>
      </c>
      <c r="AH43" s="18">
        <f>(Table133[[#This Row],[PM Hi]]-Table133[[#This Row],[MKT Open Price]])/(Table133[[#This Row],[PM Hi]])</f>
        <v>0.25257731958762886</v>
      </c>
      <c r="AI43" s="16">
        <f>IF(Table133[[#This Row],[PM LO]]&gt;Table133[[#This Row],[Prior day close]],(Table133[[#This Row],[PM Hi]]-Table133[[#This Row],[MKT Open Price]])/(Table133[[#This Row],[PM Hi]]-Table133[[#This Row],[Prior day close]]),(Table133[[#This Row],[PM Hi]]-Table133[[#This Row],[MKT Open Price]])/(Table133[[#This Row],[PM Hi]]-Table133[[#This Row],[PM LO]]))</f>
        <v>0.53846153846153855</v>
      </c>
      <c r="AJ43" s="18">
        <f>IF(Table133[[#This Row],[Prior day close]]&lt;Table133[[#This Row],[PM LO]],(I43-K43)/(I43-Table133[[#This Row],[Prior day close]]),(I43-K43)/(I43-Table133[[#This Row],[PM LO]]))</f>
        <v>3.571428571428549E-2</v>
      </c>
      <c r="AK43" s="18">
        <f>Table133[[#This Row],[Spike % on open before drop]]+AL43</f>
        <v>1.0344827586206829E-2</v>
      </c>
      <c r="AL43" s="16">
        <f t="shared" si="3"/>
        <v>1.0344827586206829E-2</v>
      </c>
      <c r="AM43" s="16"/>
      <c r="AN43" s="18">
        <f>IF(Table133[[#This Row],[Prior day close]]&lt;=Table133[[#This Row],[PM LO]],IF($J43&gt;=$F43,($J43-$K43)/($J43-Table133[[#This Row],[Prior day close]]),(IF($H43&lt;=$K43,($F43-$H43)/($F43-Table133[[#This Row],[Prior day close]]),(Table133[[#This Row],[PM Hi]]-Table133[[#This Row],[Lowest lo from open to squeeze]])/(Table133[[#This Row],[PM Hi]]-Table133[[#This Row],[Prior day close]])))),IF($J43&gt;=$F43,($J43-$K43)/($J43-Table133[[#This Row],[PM LO]]),(IF($H43&lt;=$K43,($F43-$H43)/($F43-Table133[[#This Row],[PM LO]]),(Table133[[#This Row],[PM Hi]]-Table133[[#This Row],[Lowest lo from open to squeeze]])/(Table133[[#This Row],[PM Hi]]-Table133[[#This Row],[PM LO]])))))</f>
        <v>0.67032967032967028</v>
      </c>
      <c r="AO43" s="18"/>
      <c r="AP43" s="17">
        <f>390+Table133[[#This Row],[Time until ideal entry point (mins) from open]]</f>
        <v>393</v>
      </c>
      <c r="AQ43" s="51">
        <f>(Table133[[#This Row],[Time until ideal entry + 390 (6:30)]]+Table133[[#This Row],[Duration of frontside (mins)]])/1440</f>
        <v>0.27986111111111112</v>
      </c>
    </row>
    <row r="44" spans="1:43" x14ac:dyDescent="0.25">
      <c r="A44" s="24" t="s">
        <v>131</v>
      </c>
      <c r="B44" s="11">
        <v>44145</v>
      </c>
      <c r="C44" s="47" t="s">
        <v>71</v>
      </c>
      <c r="D44" s="12">
        <v>2.2000000000000002</v>
      </c>
      <c r="E44" s="13">
        <v>2.21</v>
      </c>
      <c r="F44" s="12">
        <v>3.68</v>
      </c>
      <c r="G44" s="12">
        <v>2.21</v>
      </c>
      <c r="H44" s="12">
        <v>2.81</v>
      </c>
      <c r="I44" s="12">
        <v>3.01</v>
      </c>
      <c r="J44" s="12">
        <v>3.15</v>
      </c>
      <c r="K44" s="12">
        <v>2.72</v>
      </c>
      <c r="L44" s="12">
        <v>3.9</v>
      </c>
      <c r="M44" s="12">
        <v>3.88</v>
      </c>
      <c r="N44" s="13">
        <v>131163994</v>
      </c>
      <c r="O44" s="12">
        <v>44792722</v>
      </c>
      <c r="P44" s="37">
        <v>16.739999999999998</v>
      </c>
      <c r="Q44">
        <v>6.67</v>
      </c>
      <c r="R44" s="37">
        <v>9040302</v>
      </c>
      <c r="S44" s="37" t="s">
        <v>43</v>
      </c>
      <c r="T44" s="37" t="s">
        <v>43</v>
      </c>
      <c r="U44" s="38">
        <v>9</v>
      </c>
      <c r="V44">
        <v>10</v>
      </c>
      <c r="W44" s="39">
        <v>2.76</v>
      </c>
      <c r="X44">
        <v>131</v>
      </c>
      <c r="Y44" s="40">
        <f>Table133[[#This Row],[Time until ideal entry + 390 (6:30)]]/(1440)</f>
        <v>0.27777777777777779</v>
      </c>
      <c r="Z44" s="18">
        <f t="shared" si="4"/>
        <v>0.67272727272727262</v>
      </c>
      <c r="AA44" s="18">
        <f>IF(Table133[[#This Row],[HOD AFTER PM HI]]&gt;=Table133[[#This Row],[PM Hi]],((Table133[[#This Row],[HOD AFTER PM HI]]-Table133[[#This Row],[Prior day close]])/Table133[[#This Row],[Prior day close]]),Table133[[#This Row],[Prior Close to PM Hi %]])</f>
        <v>0.7727272727272726</v>
      </c>
      <c r="AB44" s="42">
        <f>(Table133[[#This Row],[Price at hi of squeeze]]-Table133[[#This Row],[MKT Open Price]])/Table133[[#This Row],[MKT Open Price]]</f>
        <v>0.2890365448504984</v>
      </c>
      <c r="AC44" s="18">
        <f>(Table133[[#This Row],[Price at hi of squeeze]]-Table133[[#This Row],[PM Hi]])/Table133[[#This Row],[PM Hi]]</f>
        <v>5.4347826086956444E-2</v>
      </c>
      <c r="AD44" s="18">
        <f>(M44-K44)/K44</f>
        <v>0.42647058823529399</v>
      </c>
      <c r="AE44" s="20">
        <f>Table133[[#This Row],[PM VOL]]/1000000/Table133[[#This Row],[FLOAT(M)]]</f>
        <v>1.3553676161919042</v>
      </c>
      <c r="AF44" s="23">
        <f>(Table133[[#This Row],[Volume]]/1000000)/Table133[[#This Row],[FLOAT(M)]]</f>
        <v>19.66476671664168</v>
      </c>
      <c r="AH44" s="18">
        <f>(Table133[[#This Row],[PM Hi]]-Table133[[#This Row],[MKT Open Price]])/(Table133[[#This Row],[PM Hi]])</f>
        <v>0.18206521739130443</v>
      </c>
      <c r="AI44" s="16">
        <f>IF(Table133[[#This Row],[PM LO]]&gt;Table133[[#This Row],[Prior day close]],(Table133[[#This Row],[PM Hi]]-Table133[[#This Row],[MKT Open Price]])/(Table133[[#This Row],[PM Hi]]-Table133[[#This Row],[Prior day close]]),(Table133[[#This Row],[PM Hi]]-Table133[[#This Row],[MKT Open Price]])/(Table133[[#This Row],[PM Hi]]-Table133[[#This Row],[PM LO]]))</f>
        <v>0.45270270270270296</v>
      </c>
      <c r="AJ44" s="18">
        <f>IF(Table133[[#This Row],[Prior day close]]&lt;Table133[[#This Row],[PM LO]],(I44-K44)/(I44-Table133[[#This Row],[Prior day close]]),(I44-K44)/(I44-Table133[[#This Row],[PM LO]]))</f>
        <v>0.35802469135802434</v>
      </c>
      <c r="AK44" s="18">
        <f>Table133[[#This Row],[Spike % on open before drop]]+AL44</f>
        <v>9.6345514950165981E-2</v>
      </c>
      <c r="AL44" s="16">
        <f t="shared" si="3"/>
        <v>9.6345514950165981E-2</v>
      </c>
      <c r="AM44" s="18">
        <f>IF($J44&gt;=$F44,($J44-$K44)/($J44),(IF($H44&lt;=$K44,($F44-$H44)/($F44),(Table133[[#This Row],[PM Hi]]-Table133[[#This Row],[Lowest lo from open to squeeze]])/(Table133[[#This Row],[PM Hi]]))))</f>
        <v>0.2608695652173913</v>
      </c>
      <c r="AN44" s="18">
        <f>IF(Table133[[#This Row],[Prior day close]]&lt;=Table133[[#This Row],[PM LO]],IF($J44&gt;=$F44,($J44-$K44)/($J44-Table133[[#This Row],[Prior day close]]),(IF($H44&lt;=$K44,($F44-$H44)/($F44-Table133[[#This Row],[Prior day close]]),(Table133[[#This Row],[PM Hi]]-Table133[[#This Row],[Lowest lo from open to squeeze]])/(Table133[[#This Row],[PM Hi]]-Table133[[#This Row],[Prior day close]])))),IF($J44&gt;=$F44,($J44-$K44)/($J44-Table133[[#This Row],[PM LO]]),(IF($H44&lt;=$K44,($F44-$H44)/($F44-Table133[[#This Row],[PM LO]]),(Table133[[#This Row],[PM Hi]]-Table133[[#This Row],[Lowest lo from open to squeeze]])/(Table133[[#This Row],[PM Hi]]-Table133[[#This Row],[PM LO]])))))</f>
        <v>0.64864864864864868</v>
      </c>
      <c r="AO44" s="18">
        <f>IF(J44&gt;=F44,(J44-K44)/(J44-D44),(IF(H44&lt;=K44,(F44-H44)/(F44-D44),(Table133[[#This Row],[PM Hi]]-Table133[[#This Row],[Lowest lo from open to squeeze]])/(Table133[[#This Row],[PM Hi]]-Table133[[#This Row],[Prior day close]]))))</f>
        <v>0.64864864864864868</v>
      </c>
      <c r="AP44" s="17">
        <f>390+Table133[[#This Row],[Time until ideal entry point (mins) from open]]</f>
        <v>400</v>
      </c>
      <c r="AQ44" s="51">
        <f>(Table133[[#This Row],[Time until ideal entry + 390 (6:30)]]+Table133[[#This Row],[Duration of frontside (mins)]])/1440</f>
        <v>0.36875000000000002</v>
      </c>
    </row>
    <row r="45" spans="1:43" x14ac:dyDescent="0.25">
      <c r="A45" s="25" t="s">
        <v>66</v>
      </c>
      <c r="B45" s="11">
        <v>43934</v>
      </c>
      <c r="C45" s="47" t="s">
        <v>71</v>
      </c>
      <c r="D45" s="12">
        <v>2.25</v>
      </c>
      <c r="E45" s="13">
        <v>2.64</v>
      </c>
      <c r="F45" s="12">
        <v>9.9499999999999993</v>
      </c>
      <c r="G45" s="12">
        <v>2.64</v>
      </c>
      <c r="H45" s="12">
        <v>5.27</v>
      </c>
      <c r="I45" s="12">
        <v>6.45</v>
      </c>
      <c r="J45" s="12">
        <v>7.2</v>
      </c>
      <c r="K45" s="12">
        <v>5.45</v>
      </c>
      <c r="L45" s="12">
        <v>14.88</v>
      </c>
      <c r="M45" s="12">
        <v>14.35</v>
      </c>
      <c r="N45" s="13">
        <v>86483807</v>
      </c>
      <c r="O45" s="12">
        <v>1221549846</v>
      </c>
      <c r="P45" s="13">
        <v>16.809999999999999</v>
      </c>
      <c r="Q45" s="13">
        <v>5.24</v>
      </c>
      <c r="R45" s="13">
        <v>3239842</v>
      </c>
      <c r="S45" s="13" t="s">
        <v>43</v>
      </c>
      <c r="T45" t="s">
        <v>43</v>
      </c>
      <c r="U45">
        <v>28</v>
      </c>
      <c r="V45">
        <v>29</v>
      </c>
      <c r="W45">
        <v>5.52</v>
      </c>
      <c r="X45">
        <v>199</v>
      </c>
      <c r="Y45" s="15">
        <f>Table133[[#This Row],[Time until ideal entry + 390 (6:30)]]/(1440)</f>
        <v>0.29097222222222224</v>
      </c>
      <c r="Z45" s="18">
        <f t="shared" si="4"/>
        <v>3.4222222222222221</v>
      </c>
      <c r="AA45" s="18">
        <f>IF(Table133[[#This Row],[HOD AFTER PM HI]]&gt;=Table133[[#This Row],[PM Hi]],((Table133[[#This Row],[HOD AFTER PM HI]]-Table133[[#This Row],[Prior day close]])/Table133[[#This Row],[Prior day close]]),Table133[[#This Row],[Prior Close to PM Hi %]])</f>
        <v>5.6133333333333333</v>
      </c>
      <c r="AB45" s="18">
        <f>(Table133[[#This Row],[Price at hi of squeeze]]-Table133[[#This Row],[MKT Open Price]])/Table133[[#This Row],[MKT Open Price]]</f>
        <v>1.2248062015503876</v>
      </c>
      <c r="AC45" s="18">
        <f>(Table133[[#This Row],[Price at hi of squeeze]]-Table133[[#This Row],[PM Hi]])/Table133[[#This Row],[PM Hi]]</f>
        <v>0.44221105527638199</v>
      </c>
      <c r="AD45" s="18">
        <f>(M45-K45)/K45</f>
        <v>1.6330275229357796</v>
      </c>
      <c r="AE45" s="20">
        <f>Table133[[#This Row],[PM VOL]]/1000000/Table133[[#This Row],[FLOAT(M)]]</f>
        <v>0.61829045801526716</v>
      </c>
      <c r="AF45" s="21">
        <f>(Table133[[#This Row],[Volume]]/1000000)/Table133[[#This Row],[FLOAT(M)]]</f>
        <v>16.504543320610686</v>
      </c>
      <c r="AG45" s="18">
        <f>(Table133[[#This Row],[Hi of Spike after open before drop]]-Table133[[#This Row],[MKT Open Price]])/Table133[[#This Row],[MKT Open Price]]</f>
        <v>0.11627906976744186</v>
      </c>
      <c r="AH45" s="18">
        <f>(Table133[[#This Row],[PM Hi]]-Table133[[#This Row],[MKT Open Price]])/(Table133[[#This Row],[PM Hi]])</f>
        <v>0.35175879396984916</v>
      </c>
      <c r="AI45" s="16">
        <f>IF(Table133[[#This Row],[PM LO]]&gt;Table133[[#This Row],[Prior day close]],(Table133[[#This Row],[PM Hi]]-Table133[[#This Row],[MKT Open Price]])/(Table133[[#This Row],[PM Hi]]-Table133[[#This Row],[Prior day close]]),(Table133[[#This Row],[PM Hi]]-Table133[[#This Row],[MKT Open Price]])/(Table133[[#This Row],[PM Hi]]-Table133[[#This Row],[PM LO]]))</f>
        <v>0.45454545454545447</v>
      </c>
      <c r="AJ45" s="16">
        <f>IF(Table133[[#This Row],[Prior day close]]&lt;Table133[[#This Row],[PM LO]],(I45-K45)/(I45-Table133[[#This Row],[Prior day close]]),(I45-K45)/(I45-Table133[[#This Row],[PM LO]]))</f>
        <v>0.23809523809523808</v>
      </c>
      <c r="AK45" s="16">
        <f>Table133[[#This Row],[Spike % on open before drop]]+AL45</f>
        <v>0.27131782945736432</v>
      </c>
      <c r="AL45" s="16">
        <f t="shared" si="3"/>
        <v>0.15503875968992248</v>
      </c>
      <c r="AM45" s="18">
        <f>IF($J45&gt;=$F45,($J45-$K45)/($J45-$D45),(IF($H45&lt;=$K45,($F45-$H45)/($F45-$D45),(Table133[[#This Row],[PM Hi]]-Table133[[#This Row],[Lowest lo from open to squeeze]])/(Table133[[#This Row],[PM Hi]]-Table133[[#This Row],[Prior day close]]))))</f>
        <v>0.60779220779220777</v>
      </c>
      <c r="AN45" s="18">
        <f>IF(Table133[[#This Row],[Prior day close]]&lt;=Table133[[#This Row],[PM LO]],IF($J45&gt;=$F45,($J45-$K45)/($J45-Table133[[#This Row],[Prior day close]]),(IF($H45&lt;=$K45,($F45-$H45)/($F45-Table133[[#This Row],[Prior day close]]),(Table133[[#This Row],[PM Hi]]-Table133[[#This Row],[Lowest lo from open to squeeze]])/(Table133[[#This Row],[PM Hi]]-Table133[[#This Row],[Prior day close]])))),IF($J45&gt;=$F45,($J45-$K45)/($J45-Table133[[#This Row],[PM LO]]),(IF($H45&lt;=$K45,($F45-$H45)/($F45-Table133[[#This Row],[PM LO]]),(Table133[[#This Row],[PM Hi]]-Table133[[#This Row],[Lowest lo from open to squeeze]])/(Table133[[#This Row],[PM Hi]]-Table133[[#This Row],[PM LO]])))))</f>
        <v>0.60779220779220777</v>
      </c>
      <c r="AO45" s="18">
        <f>4.7/7.68</f>
        <v>0.61197916666666674</v>
      </c>
      <c r="AP45" s="17">
        <f>390+Table133[[#This Row],[Time until ideal entry point (mins) from open]]</f>
        <v>419</v>
      </c>
      <c r="AQ45" s="51">
        <f>(Table133[[#This Row],[Time until ideal entry + 390 (6:30)]]+Table133[[#This Row],[Duration of frontside (mins)]])/1440</f>
        <v>0.42916666666666664</v>
      </c>
    </row>
    <row r="46" spans="1:43" x14ac:dyDescent="0.25">
      <c r="A46" s="10" t="s">
        <v>99</v>
      </c>
      <c r="B46" s="11">
        <v>44027</v>
      </c>
      <c r="C46" s="47" t="s">
        <v>71</v>
      </c>
      <c r="D46" s="12">
        <v>2.29</v>
      </c>
      <c r="E46" s="13">
        <v>2.23</v>
      </c>
      <c r="F46" s="12">
        <v>3.25</v>
      </c>
      <c r="G46" s="12">
        <v>2.23</v>
      </c>
      <c r="H46" s="12">
        <v>2.7</v>
      </c>
      <c r="I46" s="12">
        <v>2.77</v>
      </c>
      <c r="J46" s="12">
        <v>2.81</v>
      </c>
      <c r="K46" s="12">
        <v>2.64</v>
      </c>
      <c r="L46" s="12">
        <v>10.3</v>
      </c>
      <c r="M46" s="12">
        <v>10.3</v>
      </c>
      <c r="N46" s="13">
        <v>370000000</v>
      </c>
      <c r="O46" s="12">
        <v>2097612000</v>
      </c>
      <c r="P46" s="13">
        <v>30.28</v>
      </c>
      <c r="Q46" s="13">
        <v>6.08</v>
      </c>
      <c r="R46" s="13">
        <v>4253067</v>
      </c>
      <c r="S46" s="13"/>
      <c r="T46" t="s">
        <v>43</v>
      </c>
      <c r="U46">
        <v>2</v>
      </c>
      <c r="V46">
        <v>3</v>
      </c>
      <c r="W46">
        <v>2.7</v>
      </c>
      <c r="X46">
        <v>302</v>
      </c>
      <c r="Y46" s="15">
        <f>Table133[[#This Row],[Time until ideal entry + 390 (6:30)]]/(1440)</f>
        <v>0.27291666666666664</v>
      </c>
      <c r="Z46" s="18">
        <f t="shared" si="4"/>
        <v>0.41921397379912662</v>
      </c>
      <c r="AA46" s="18">
        <f>IF(Table133[[#This Row],[HOD AFTER PM HI]]&gt;=Table133[[#This Row],[PM Hi]],((Table133[[#This Row],[HOD AFTER PM HI]]-Table133[[#This Row],[Prior day close]])/Table133[[#This Row],[Prior day close]]),Table133[[#This Row],[Prior Close to PM Hi %]])</f>
        <v>3.4978165938864634</v>
      </c>
      <c r="AB46" s="18">
        <f>(Table133[[#This Row],[Price at hi of squeeze]]-Table133[[#This Row],[MKT Open Price]])/Table133[[#This Row],[MKT Open Price]]</f>
        <v>2.7184115523465708</v>
      </c>
      <c r="AC46" s="18">
        <f>(Table133[[#This Row],[Price at hi of squeeze]]-Table133[[#This Row],[PM Hi]])/Table133[[#This Row],[PM Hi]]</f>
        <v>2.1692307692307695</v>
      </c>
      <c r="AD46" s="18">
        <f>(M46-K46)/K46</f>
        <v>2.9015151515151514</v>
      </c>
      <c r="AE46" s="20">
        <f>Table133[[#This Row],[PM VOL]]/1000000/Table133[[#This Row],[FLOAT(M)]]</f>
        <v>0.69951759868421048</v>
      </c>
      <c r="AF46" s="23">
        <f>(Table133[[#This Row],[Volume]]/1000000)/Table133[[#This Row],[FLOAT(M)]]</f>
        <v>60.855263157894733</v>
      </c>
      <c r="AG46" s="18">
        <f>(Table133[[#This Row],[Hi of Spike after open before drop]]-Table133[[#This Row],[MKT Open Price]])/Table133[[#This Row],[MKT Open Price]]</f>
        <v>1.4440433212996403E-2</v>
      </c>
      <c r="AH46" s="18">
        <f>(Table133[[#This Row],[PM Hi]]-Table133[[#This Row],[MKT Open Price]])/(Table133[[#This Row],[PM Hi]])</f>
        <v>0.14769230769230768</v>
      </c>
      <c r="AI46" s="16">
        <f>IF(Table133[[#This Row],[PM LO]]&gt;Table133[[#This Row],[Prior day close]],(Table133[[#This Row],[PM Hi]]-Table133[[#This Row],[MKT Open Price]])/(Table133[[#This Row],[PM Hi]]-Table133[[#This Row],[Prior day close]]),(Table133[[#This Row],[PM Hi]]-Table133[[#This Row],[MKT Open Price]])/(Table133[[#This Row],[PM Hi]]-Table133[[#This Row],[PM LO]]))</f>
        <v>0.47058823529411764</v>
      </c>
      <c r="AJ46" s="16">
        <f>IF(Table133[[#This Row],[Prior day close]]&lt;Table133[[#This Row],[PM LO]],(I46-K46)/(I46-Table133[[#This Row],[Prior day close]]),(I46-K46)/(I46-Table133[[#This Row],[PM LO]]))</f>
        <v>0.24074074074074053</v>
      </c>
      <c r="AK46" s="16">
        <f>Table133[[#This Row],[Spike % on open before drop]]+AL46</f>
        <v>6.1371841155234627E-2</v>
      </c>
      <c r="AL46" s="16">
        <f t="shared" si="3"/>
        <v>4.6931407942238226E-2</v>
      </c>
      <c r="AM46" s="18">
        <f>IF($J46&gt;=$F46,($J46-$K46)/($J46),(IF($H46&lt;=$K46,($F46-$H46)/($F46),(Table133[[#This Row],[PM Hi]]-Table133[[#This Row],[Lowest lo from open to squeeze]])/(Table133[[#This Row],[PM Hi]]))))</f>
        <v>0.18769230769230766</v>
      </c>
      <c r="AN46" s="18">
        <f>IF(Table133[[#This Row],[Prior day close]]&lt;=Table133[[#This Row],[PM LO]],IF($J46&gt;=$F46,($J46-$K46)/($J46-Table133[[#This Row],[Prior day close]]),(IF($H46&lt;=$K46,($F46-$H46)/($F46-Table133[[#This Row],[Prior day close]]),(Table133[[#This Row],[PM Hi]]-Table133[[#This Row],[Lowest lo from open to squeeze]])/(Table133[[#This Row],[PM Hi]]-Table133[[#This Row],[Prior day close]])))),IF($J46&gt;=$F46,($J46-$K46)/($J46-Table133[[#This Row],[PM LO]]),(IF($H46&lt;=$K46,($F46-$H46)/($F46-Table133[[#This Row],[PM LO]]),(Table133[[#This Row],[PM Hi]]-Table133[[#This Row],[Lowest lo from open to squeeze]])/(Table133[[#This Row],[PM Hi]]-Table133[[#This Row],[PM LO]])))))</f>
        <v>0.59803921568627438</v>
      </c>
      <c r="AO46" s="18">
        <f>IF(J46&gt;=F46,(J46-K46)/(J46-D46),(IF(H46&lt;=K46,(F46-H46)/(F46-D46),(Table133[[#This Row],[PM Hi]]-Table133[[#This Row],[Lowest lo from open to squeeze]])/(Table133[[#This Row],[PM Hi]]-Table133[[#This Row],[Prior day close]]))))</f>
        <v>0.63541666666666652</v>
      </c>
      <c r="AP46" s="17">
        <f>390+Table133[[#This Row],[Time until ideal entry point (mins) from open]]</f>
        <v>393</v>
      </c>
      <c r="AQ46" s="51">
        <f>(Table133[[#This Row],[Time until ideal entry + 390 (6:30)]]+Table133[[#This Row],[Duration of frontside (mins)]])/1440</f>
        <v>0.4826388888888889</v>
      </c>
    </row>
    <row r="47" spans="1:43" x14ac:dyDescent="0.25">
      <c r="A47" s="10" t="s">
        <v>67</v>
      </c>
      <c r="B47" s="11">
        <v>43952</v>
      </c>
      <c r="C47" s="47" t="s">
        <v>71</v>
      </c>
      <c r="D47" s="12">
        <v>2.33</v>
      </c>
      <c r="E47" s="13">
        <v>2.5099999999999998</v>
      </c>
      <c r="F47" s="12">
        <v>4.5</v>
      </c>
      <c r="G47" s="12">
        <v>2.4</v>
      </c>
      <c r="H47" s="12">
        <v>3.34</v>
      </c>
      <c r="I47" s="12">
        <v>4.18</v>
      </c>
      <c r="J47" s="12">
        <v>4.32</v>
      </c>
      <c r="K47" s="12">
        <v>3.81</v>
      </c>
      <c r="L47" s="12">
        <v>5.15</v>
      </c>
      <c r="M47" s="12">
        <v>5.15</v>
      </c>
      <c r="N47" s="13">
        <v>63890721</v>
      </c>
      <c r="O47" s="12">
        <v>225002039</v>
      </c>
      <c r="P47" s="13">
        <v>9.6</v>
      </c>
      <c r="Q47" s="13">
        <v>2.33</v>
      </c>
      <c r="R47" s="13">
        <v>5021483</v>
      </c>
      <c r="S47" s="13" t="s">
        <v>43</v>
      </c>
      <c r="T47" t="s">
        <v>43</v>
      </c>
      <c r="U47">
        <v>2</v>
      </c>
      <c r="V47">
        <v>3</v>
      </c>
      <c r="W47">
        <v>3.98</v>
      </c>
      <c r="X47">
        <v>30</v>
      </c>
      <c r="Y47" s="15">
        <f>Table133[[#This Row],[Time until ideal entry + 390 (6:30)]]/(1440)</f>
        <v>0.27291666666666664</v>
      </c>
      <c r="Z47" s="18">
        <f t="shared" si="4"/>
        <v>0.93133047210300424</v>
      </c>
      <c r="AA47" s="18">
        <f>IF(Table133[[#This Row],[HOD AFTER PM HI]]&gt;=Table133[[#This Row],[PM Hi]],((Table133[[#This Row],[HOD AFTER PM HI]]-Table133[[#This Row],[Prior day close]])/Table133[[#This Row],[Prior day close]]),Table133[[#This Row],[Prior Close to PM Hi %]])</f>
        <v>1.2103004291845494</v>
      </c>
      <c r="AB47" s="18">
        <f>(Table133[[#This Row],[Price at hi of squeeze]]-Table133[[#This Row],[MKT Open Price]])/Table133[[#This Row],[MKT Open Price]]</f>
        <v>0.23205741626794274</v>
      </c>
      <c r="AC47" s="18">
        <f>(Table133[[#This Row],[Price at hi of squeeze]]-Table133[[#This Row],[PM Hi]])/Table133[[#This Row],[PM Hi]]</f>
        <v>0.14444444444444451</v>
      </c>
      <c r="AD47" s="18">
        <f>(M47-K47)/K47</f>
        <v>0.3517060367454069</v>
      </c>
      <c r="AE47" s="20">
        <f>Table133[[#This Row],[PM VOL]]/1000000/Table133[[#This Row],[FLOAT(M)]]</f>
        <v>2.1551429184549353</v>
      </c>
      <c r="AF47" s="21">
        <f>(Table133[[#This Row],[Volume]]/1000000)/Table133[[#This Row],[FLOAT(M)]]</f>
        <v>27.420910300429185</v>
      </c>
      <c r="AG47" s="18">
        <f>(Table133[[#This Row],[Hi of Spike after open before drop]]-Table133[[#This Row],[MKT Open Price]])/Table133[[#This Row],[MKT Open Price]]</f>
        <v>3.3492822966507317E-2</v>
      </c>
      <c r="AH47" s="18">
        <f>(Table133[[#This Row],[PM Hi]]-Table133[[#This Row],[MKT Open Price]])/(Table133[[#This Row],[PM Hi]])</f>
        <v>7.111111111111118E-2</v>
      </c>
      <c r="AI47" s="16">
        <f>IF(Table133[[#This Row],[PM LO]]&gt;Table133[[#This Row],[Prior day close]],(Table133[[#This Row],[PM Hi]]-Table133[[#This Row],[MKT Open Price]])/(Table133[[#This Row],[PM Hi]]-Table133[[#This Row],[Prior day close]]),(Table133[[#This Row],[PM Hi]]-Table133[[#This Row],[MKT Open Price]])/(Table133[[#This Row],[PM Hi]]-Table133[[#This Row],[PM LO]]))</f>
        <v>0.14746543778801857</v>
      </c>
      <c r="AJ47" s="16">
        <f>IF(Table133[[#This Row],[Prior day close]]&lt;Table133[[#This Row],[PM LO]],(I47-K47)/(I47-Table133[[#This Row],[Prior day close]]),(I47-K47)/(I47-Table133[[#This Row],[PM LO]]))</f>
        <v>0.19999999999999984</v>
      </c>
      <c r="AK47" s="16">
        <f>Table133[[#This Row],[Spike % on open before drop]]+AL47</f>
        <v>0.12200956937799048</v>
      </c>
      <c r="AL47" s="16">
        <f t="shared" si="3"/>
        <v>8.8516746411483174E-2</v>
      </c>
      <c r="AM47" s="18">
        <f>IF($J47&gt;=$F47,($J47-$K47)/($J47-$D47),(IF($H47&lt;=$K47,($F47-$H47)/($F47-$D47),(Table133[[#This Row],[PM Hi]]-Table133[[#This Row],[Lowest lo from open to squeeze]])/(Table133[[#This Row],[PM Hi]]-Table133[[#This Row],[Prior day close]]))))</f>
        <v>0.53456221198156695</v>
      </c>
      <c r="AN47" s="18">
        <f>IF(Table133[[#This Row],[Prior day close]]&lt;=Table133[[#This Row],[PM LO]],IF($J47&gt;=$F47,($J47-$K47)/($J47-Table133[[#This Row],[Prior day close]]),(IF($H47&lt;=$K47,($F47-$H47)/($F47-Table133[[#This Row],[Prior day close]]),(Table133[[#This Row],[PM Hi]]-Table133[[#This Row],[Lowest lo from open to squeeze]])/(Table133[[#This Row],[PM Hi]]-Table133[[#This Row],[Prior day close]])))),IF($J47&gt;=$F47,($J47-$K47)/($J47-Table133[[#This Row],[PM LO]]),(IF($H47&lt;=$K47,($F47-$H47)/($F47-Table133[[#This Row],[PM LO]]),(Table133[[#This Row],[PM Hi]]-Table133[[#This Row],[Lowest lo from open to squeeze]])/(Table133[[#This Row],[PM Hi]]-Table133[[#This Row],[PM LO]])))))</f>
        <v>0.53456221198156695</v>
      </c>
      <c r="AO47" s="18">
        <f>0.87/2.17</f>
        <v>0.4009216589861751</v>
      </c>
      <c r="AP47" s="17">
        <f>390+Table133[[#This Row],[Time until ideal entry point (mins) from open]]</f>
        <v>393</v>
      </c>
      <c r="AQ47" s="51">
        <f>(Table133[[#This Row],[Time until ideal entry + 390 (6:30)]]+Table133[[#This Row],[Duration of frontside (mins)]])/1440</f>
        <v>0.29375000000000001</v>
      </c>
    </row>
    <row r="48" spans="1:43" x14ac:dyDescent="0.25">
      <c r="A48" s="24" t="s">
        <v>183</v>
      </c>
      <c r="B48" s="47">
        <v>43962</v>
      </c>
      <c r="C48" s="47" t="s">
        <v>71</v>
      </c>
      <c r="D48" s="12">
        <v>2.37</v>
      </c>
      <c r="E48" s="13">
        <f>Table133[[#This Row],[Prior day close]]</f>
        <v>2.37</v>
      </c>
      <c r="F48" s="12">
        <v>5.81</v>
      </c>
      <c r="G48" s="12">
        <v>2.46</v>
      </c>
      <c r="H48" s="12">
        <v>4.6100000000000003</v>
      </c>
      <c r="I48" s="12">
        <v>5.26</v>
      </c>
      <c r="J48" s="12">
        <v>5.27</v>
      </c>
      <c r="K48" s="12">
        <v>4.6500000000000004</v>
      </c>
      <c r="L48" s="12">
        <v>5.24</v>
      </c>
      <c r="M48" s="12">
        <v>5.24</v>
      </c>
      <c r="N48" s="13">
        <v>50320399</v>
      </c>
      <c r="O48" s="12">
        <v>50320399</v>
      </c>
      <c r="P48" s="37">
        <v>8.1</v>
      </c>
      <c r="Q48" s="46"/>
      <c r="R48" s="37">
        <v>4509602</v>
      </c>
      <c r="S48" s="37" t="s">
        <v>41</v>
      </c>
      <c r="T48" s="37" t="s">
        <v>43</v>
      </c>
      <c r="U48" s="38">
        <v>3</v>
      </c>
      <c r="V48" s="46">
        <v>3</v>
      </c>
      <c r="W48" s="37">
        <v>4.72</v>
      </c>
      <c r="X48" s="46">
        <v>3</v>
      </c>
      <c r="Y48" s="41">
        <f>Table133[[#This Row],[Time until ideal entry + 390 (6:30)]]/(1440)</f>
        <v>0.27291666666666664</v>
      </c>
      <c r="Z48" s="18">
        <f t="shared" si="4"/>
        <v>1.451476793248945</v>
      </c>
      <c r="AA48" s="18">
        <f>IF(Table133[[#This Row],[HOD AFTER PM HI]]&gt;=Table133[[#This Row],[PM Hi]],((Table133[[#This Row],[HOD AFTER PM HI]]-Table133[[#This Row],[Prior day close]])/Table133[[#This Row],[Prior day close]]),Table133[[#This Row],[Prior Close to PM Hi %]])</f>
        <v>1.451476793248945</v>
      </c>
      <c r="AB48" s="42">
        <f>(Table133[[#This Row],[Price at hi of squeeze]]-Table133[[#This Row],[MKT Open Price]])/Table133[[#This Row],[MKT Open Price]]</f>
        <v>-3.8022813688212121E-3</v>
      </c>
      <c r="AC48" s="18">
        <f>(Table133[[#This Row],[Price at hi of squeeze]]-Table133[[#This Row],[PM Hi]])/Table133[[#This Row],[PM Hi]]</f>
        <v>-9.8106712564543799E-2</v>
      </c>
      <c r="AD48" s="18"/>
      <c r="AE48" s="20" t="e">
        <f>Table133[[#This Row],[PM VOL]]/1000000/Table133[[#This Row],[FLOAT(M)]]</f>
        <v>#DIV/0!</v>
      </c>
      <c r="AF48" s="23" t="e">
        <f>(Table133[[#This Row],[Volume]]/1000000)/Table133[[#This Row],[FLOAT(M)]]</f>
        <v>#DIV/0!</v>
      </c>
      <c r="AH48" s="18">
        <f>(Table133[[#This Row],[PM Hi]]-Table133[[#This Row],[MKT Open Price]])/(Table133[[#This Row],[PM Hi]])</f>
        <v>9.4664371772805483E-2</v>
      </c>
      <c r="AI48" s="18">
        <f>IF(Table133[[#This Row],[PM LO]]&gt;Table133[[#This Row],[Prior day close]],(Table133[[#This Row],[PM Hi]]-Table133[[#This Row],[MKT Open Price]])/(Table133[[#This Row],[PM Hi]]-Table133[[#This Row],[Prior day close]]),(Table133[[#This Row],[PM Hi]]-Table133[[#This Row],[MKT Open Price]])/(Table133[[#This Row],[PM Hi]]-Table133[[#This Row],[PM LO]]))</f>
        <v>0.15988372093023254</v>
      </c>
      <c r="AJ48" s="48">
        <f>IF(Table133[[#This Row],[Prior day close]]&lt;Table133[[#This Row],[PM LO]],(I48-K48)/(I48-Table133[[#This Row],[Prior day close]]),(I48-K48)/(I48-Table133[[#This Row],[PM LO]]))</f>
        <v>0.21107266435986141</v>
      </c>
      <c r="AK48" s="48">
        <f>Table133[[#This Row],[Spike % on open before drop]]+AL48</f>
        <v>0.11596958174904932</v>
      </c>
      <c r="AL48" s="16">
        <f t="shared" si="3"/>
        <v>0.11596958174904932</v>
      </c>
      <c r="AM48" s="18">
        <f>IF($J48&gt;=$F48,($J48-$K48)/($J48),(IF($H48&lt;=$K48,($F48-$H48)/($F48),(Table133[[#This Row],[PM Hi]]-Table133[[#This Row],[Lowest lo from open to squeeze]])/(Table133[[#This Row],[PM Hi]]))))</f>
        <v>0.20654044750430281</v>
      </c>
      <c r="AN48" s="48">
        <f>IF(Table133[[#This Row],[Prior day close]]&lt;=Table133[[#This Row],[PM LO]],IF($J48&gt;=$F48,($J48-$K48)/($J48-Table133[[#This Row],[Prior day close]]),(IF($H48&lt;=$K48,($F48-$H48)/($F48-Table133[[#This Row],[Prior day close]]),(Table133[[#This Row],[PM Hi]]-Table133[[#This Row],[Lowest lo from open to squeeze]])/(Table133[[#This Row],[PM Hi]]-Table133[[#This Row],[Prior day close]])))),IF($J48&gt;=$F48,($J48-$K48)/($J48-Table133[[#This Row],[PM LO]]),(IF($H48&lt;=$K48,($F48-$H48)/($F48-Table133[[#This Row],[PM LO]]),(Table133[[#This Row],[PM Hi]]-Table133[[#This Row],[Lowest lo from open to squeeze]])/(Table133[[#This Row],[PM Hi]]-Table133[[#This Row],[PM LO]])))))</f>
        <v>0.34883720930232542</v>
      </c>
      <c r="AO48" s="18">
        <f>IF(J48&gt;=F48,(J48-K48)/(J48-D48),(IF(H48&lt;=K48,(F48-H48)/(F48-D48),(Table133[[#This Row],[PM Hi]]-Table133[[#This Row],[Lowest lo from open to squeeze]])/(Table133[[#This Row],[PM Hi]]-Table133[[#This Row],[Prior day close]]))))</f>
        <v>0.34883720930232542</v>
      </c>
      <c r="AP48" s="17">
        <f>390+Table133[[#This Row],[Time until ideal entry point (mins) from open]]</f>
        <v>393</v>
      </c>
      <c r="AQ48" s="17">
        <f>Table133[[#This Row],[Time until ideal entry + 390 (6:30)]]+Table133[[#This Row],[Duration of frontside (mins)]]</f>
        <v>396</v>
      </c>
    </row>
    <row r="49" spans="1:43" x14ac:dyDescent="0.25">
      <c r="A49" s="24" t="s">
        <v>134</v>
      </c>
      <c r="B49" s="11">
        <v>44153</v>
      </c>
      <c r="C49" s="47" t="s">
        <v>71</v>
      </c>
      <c r="D49" s="12">
        <v>2.37</v>
      </c>
      <c r="E49" s="13">
        <v>2.38</v>
      </c>
      <c r="F49" s="12">
        <v>3.45</v>
      </c>
      <c r="G49" s="12">
        <v>2.38</v>
      </c>
      <c r="H49" s="12">
        <v>3.33</v>
      </c>
      <c r="I49" s="12">
        <v>3.45</v>
      </c>
      <c r="J49" s="12">
        <v>3.48</v>
      </c>
      <c r="K49" s="12">
        <v>3.21</v>
      </c>
      <c r="L49" s="12">
        <v>4.99</v>
      </c>
      <c r="M49" s="12">
        <v>4.99</v>
      </c>
      <c r="N49" s="13">
        <v>156520328</v>
      </c>
      <c r="O49" s="12">
        <v>712167492</v>
      </c>
      <c r="P49" s="37">
        <v>417.86</v>
      </c>
      <c r="Q49">
        <v>154.43</v>
      </c>
      <c r="R49" s="37">
        <v>5425259</v>
      </c>
      <c r="S49" s="37" t="s">
        <v>41</v>
      </c>
      <c r="T49" s="37" t="s">
        <v>41</v>
      </c>
      <c r="U49" s="38">
        <v>3</v>
      </c>
      <c r="V49">
        <v>2</v>
      </c>
      <c r="W49" s="39">
        <v>3.28</v>
      </c>
      <c r="X49">
        <v>14</v>
      </c>
      <c r="Y49" s="40">
        <f>Table133[[#This Row],[Time until ideal entry + 390 (6:30)]]/(1440)</f>
        <v>0.2722222222222222</v>
      </c>
      <c r="Z49" s="18">
        <f t="shared" si="4"/>
        <v>0.45569620253164556</v>
      </c>
      <c r="AA49" s="18">
        <f>IF(Table133[[#This Row],[HOD AFTER PM HI]]&gt;=Table133[[#This Row],[PM Hi]],((Table133[[#This Row],[HOD AFTER PM HI]]-Table133[[#This Row],[Prior day close]])/Table133[[#This Row],[Prior day close]]),Table133[[#This Row],[Prior Close to PM Hi %]])</f>
        <v>1.1054852320675106</v>
      </c>
      <c r="AB49" s="42">
        <f>(Table133[[#This Row],[Price at hi of squeeze]]-Table133[[#This Row],[MKT Open Price]])/Table133[[#This Row],[MKT Open Price]]</f>
        <v>0.44637681159420289</v>
      </c>
      <c r="AC49" s="18">
        <f>(Table133[[#This Row],[Price at hi of squeeze]]-Table133[[#This Row],[PM Hi]])/Table133[[#This Row],[PM Hi]]</f>
        <v>0.44637681159420289</v>
      </c>
      <c r="AD49" s="18">
        <f>(M49-K49)/K49</f>
        <v>0.55451713395638635</v>
      </c>
      <c r="AE49" s="20">
        <f>Table133[[#This Row],[PM VOL]]/1000000/Table133[[#This Row],[FLOAT(M)]]</f>
        <v>3.513086187916855E-2</v>
      </c>
      <c r="AF49" s="23">
        <f>(Table133[[#This Row],[Volume]]/1000000)/Table133[[#This Row],[FLOAT(M)]]</f>
        <v>1.0135357637764684</v>
      </c>
      <c r="AH49" s="18">
        <f>(Table133[[#This Row],[PM Hi]]-Table133[[#This Row],[MKT Open Price]])/(Table133[[#This Row],[PM Hi]])</f>
        <v>0</v>
      </c>
      <c r="AI49" s="16">
        <f>IF(Table133[[#This Row],[PM LO]]&gt;Table133[[#This Row],[Prior day close]],(Table133[[#This Row],[PM Hi]]-Table133[[#This Row],[MKT Open Price]])/(Table133[[#This Row],[PM Hi]]-Table133[[#This Row],[Prior day close]]),(Table133[[#This Row],[PM Hi]]-Table133[[#This Row],[MKT Open Price]])/(Table133[[#This Row],[PM Hi]]-Table133[[#This Row],[PM LO]]))</f>
        <v>0</v>
      </c>
      <c r="AJ49" s="18">
        <f>IF(Table133[[#This Row],[Prior day close]]&lt;Table133[[#This Row],[PM LO]],(I49-K49)/(I49-Table133[[#This Row],[Prior day close]]),(I49-K49)/(I49-Table133[[#This Row],[PM LO]]))</f>
        <v>0.2222222222222224</v>
      </c>
      <c r="AK49" s="18">
        <f>Table133[[#This Row],[Spike % on open before drop]]+AL49</f>
        <v>6.9565217391304404E-2</v>
      </c>
      <c r="AL49" s="16">
        <f t="shared" si="3"/>
        <v>6.9565217391304404E-2</v>
      </c>
      <c r="AM49" s="18">
        <f>IF($J49&gt;=$F49,($J49-$K49)/($J49),(IF($H49&lt;=$K49,($F49-$H49)/($F49),(Table133[[#This Row],[PM Hi]]-Table133[[#This Row],[Lowest lo from open to squeeze]])/(Table133[[#This Row],[PM Hi]]))))</f>
        <v>7.7586206896551727E-2</v>
      </c>
      <c r="AN49" s="18">
        <f>IF(Table133[[#This Row],[Prior day close]]&lt;=Table133[[#This Row],[PM LO]],IF($J49&gt;=$F49,($J49-$K49)/($J49-Table133[[#This Row],[Prior day close]]),(IF($H49&lt;=$K49,($F49-$H49)/($F49-Table133[[#This Row],[Prior day close]]),(Table133[[#This Row],[PM Hi]]-Table133[[#This Row],[Lowest lo from open to squeeze]])/(Table133[[#This Row],[PM Hi]]-Table133[[#This Row],[Prior day close]])))),IF($J49&gt;=$F49,($J49-$K49)/($J49-Table133[[#This Row],[PM LO]]),(IF($H49&lt;=$K49,($F49-$H49)/($F49-Table133[[#This Row],[PM LO]]),(Table133[[#This Row],[PM Hi]]-Table133[[#This Row],[Lowest lo from open to squeeze]])/(Table133[[#This Row],[PM Hi]]-Table133[[#This Row],[PM LO]])))))</f>
        <v>0.24324324324324328</v>
      </c>
      <c r="AO49" s="18">
        <f>IF(J49&gt;=F49,(J49-K49)/(J49-D49),(IF(H49&lt;=K49,(F49-H49)/(F49-D49),(Table133[[#This Row],[PM Hi]]-Table133[[#This Row],[Lowest lo from open to squeeze]])/(Table133[[#This Row],[PM Hi]]-Table133[[#This Row],[Prior day close]]))))</f>
        <v>0.24324324324324328</v>
      </c>
      <c r="AP49" s="17">
        <f>390+Table133[[#This Row],[Time until ideal entry point (mins) from open]]</f>
        <v>392</v>
      </c>
      <c r="AQ49" s="51">
        <f>(Table133[[#This Row],[Time until ideal entry + 390 (6:30)]]+Table133[[#This Row],[Duration of frontside (mins)]])/1440</f>
        <v>0.28194444444444444</v>
      </c>
    </row>
    <row r="50" spans="1:43" x14ac:dyDescent="0.25">
      <c r="A50" s="10" t="s">
        <v>86</v>
      </c>
      <c r="B50" s="44">
        <v>44004</v>
      </c>
      <c r="C50" s="47" t="s">
        <v>71</v>
      </c>
      <c r="D50" s="12">
        <v>2.39</v>
      </c>
      <c r="E50" s="13">
        <v>2.4900000000000002</v>
      </c>
      <c r="F50" s="12">
        <v>2.96</v>
      </c>
      <c r="G50" s="12">
        <v>2.39</v>
      </c>
      <c r="H50" s="12">
        <v>2.66</v>
      </c>
      <c r="I50" s="12">
        <v>2.81</v>
      </c>
      <c r="J50" s="12">
        <v>2.87</v>
      </c>
      <c r="K50" s="12">
        <v>2.6</v>
      </c>
      <c r="L50" s="12">
        <v>3.98</v>
      </c>
      <c r="M50" s="12">
        <v>3.98</v>
      </c>
      <c r="N50" s="13">
        <v>341002784</v>
      </c>
      <c r="O50" s="12">
        <v>1120194145</v>
      </c>
      <c r="P50" s="13">
        <v>345.01</v>
      </c>
      <c r="Q50">
        <v>128.32</v>
      </c>
      <c r="R50" s="13">
        <v>9079049</v>
      </c>
      <c r="S50" s="13"/>
      <c r="T50" t="s">
        <v>41</v>
      </c>
      <c r="U50">
        <v>2</v>
      </c>
      <c r="V50">
        <v>3</v>
      </c>
      <c r="W50">
        <v>2.73</v>
      </c>
      <c r="X50">
        <v>34</v>
      </c>
      <c r="Y50" s="15">
        <f>Table133[[#This Row],[Time until ideal entry + 390 (6:30)]]/(1440)</f>
        <v>0.27291666666666664</v>
      </c>
      <c r="Z50" s="18">
        <f t="shared" si="4"/>
        <v>0.23849372384937231</v>
      </c>
      <c r="AA50" s="18">
        <f>IF(Table133[[#This Row],[HOD AFTER PM HI]]&gt;=Table133[[#This Row],[PM Hi]],((Table133[[#This Row],[HOD AFTER PM HI]]-Table133[[#This Row],[Prior day close]])/Table133[[#This Row],[Prior day close]]),Table133[[#This Row],[Prior Close to PM Hi %]])</f>
        <v>0.66527196652719656</v>
      </c>
      <c r="AB50" s="18">
        <f>(Table133[[#This Row],[Price at hi of squeeze]]-Table133[[#This Row],[MKT Open Price]])/Table133[[#This Row],[MKT Open Price]]</f>
        <v>0.41637010676156583</v>
      </c>
      <c r="AC50" s="18">
        <f>(Table133[[#This Row],[Price at hi of squeeze]]-Table133[[#This Row],[PM Hi]])/Table133[[#This Row],[PM Hi]]</f>
        <v>0.34459459459459463</v>
      </c>
      <c r="AD50" s="18">
        <f>(M50-K50)/K50</f>
        <v>0.53076923076923066</v>
      </c>
      <c r="AE50" s="20">
        <f>Table133[[#This Row],[PM VOL]]/1000000/Table133[[#This Row],[FLOAT(M)]]</f>
        <v>7.0753187344139656E-2</v>
      </c>
      <c r="AF50" s="21">
        <f>(Table133[[#This Row],[Volume]]/1000000)/Table133[[#This Row],[FLOAT(M)]]</f>
        <v>2.6574406483790525</v>
      </c>
      <c r="AG50" s="18">
        <f>(Table133[[#This Row],[Hi of Spike after open before drop]]-Table133[[#This Row],[MKT Open Price]])/Table133[[#This Row],[MKT Open Price]]</f>
        <v>2.1352313167259804E-2</v>
      </c>
      <c r="AH50" s="18">
        <f>(Table133[[#This Row],[PM Hi]]-Table133[[#This Row],[MKT Open Price]])/(Table133[[#This Row],[PM Hi]])</f>
        <v>5.0675675675675644E-2</v>
      </c>
      <c r="AI50" s="16">
        <f>IF(Table133[[#This Row],[PM LO]]&gt;Table133[[#This Row],[Prior day close]],(Table133[[#This Row],[PM Hi]]-Table133[[#This Row],[MKT Open Price]])/(Table133[[#This Row],[PM Hi]]-Table133[[#This Row],[Prior day close]]),(Table133[[#This Row],[PM Hi]]-Table133[[#This Row],[MKT Open Price]])/(Table133[[#This Row],[PM Hi]]-Table133[[#This Row],[PM LO]]))</f>
        <v>0.26315789473684204</v>
      </c>
      <c r="AJ50" s="16">
        <f>IF(Table133[[#This Row],[Prior day close]]&lt;Table133[[#This Row],[PM LO]],(I50-K50)/(I50-Table133[[#This Row],[Prior day close]]),(I50-K50)/(I50-Table133[[#This Row],[PM LO]]))</f>
        <v>0.5</v>
      </c>
      <c r="AK50" s="16">
        <f>Table133[[#This Row],[Spike % on open before drop]]+AL50</f>
        <v>9.6085409252669035E-2</v>
      </c>
      <c r="AL50" s="16">
        <f t="shared" si="3"/>
        <v>7.4733096085409234E-2</v>
      </c>
      <c r="AM50" s="18">
        <f>IF($J50&gt;=$F50,($J50-$K50)/($J50),(IF($H50&lt;=$K50,($F50-$H50)/($F50),(Table133[[#This Row],[PM Hi]]-Table133[[#This Row],[Lowest lo from open to squeeze]])/(Table133[[#This Row],[PM Hi]]))))</f>
        <v>0.12162162162162159</v>
      </c>
      <c r="AN50" s="18">
        <f>IF(Table133[[#This Row],[Prior day close]]&lt;=Table133[[#This Row],[PM LO]],IF($J50&gt;=$F50,($J50-$K50)/($J50-Table133[[#This Row],[Prior day close]]),(IF($H50&lt;=$K50,($F50-$H50)/($F50-Table133[[#This Row],[Prior day close]]),(Table133[[#This Row],[PM Hi]]-Table133[[#This Row],[Lowest lo from open to squeeze]])/(Table133[[#This Row],[PM Hi]]-Table133[[#This Row],[Prior day close]])))),IF($J50&gt;=$F50,($J50-$K50)/($J50-Table133[[#This Row],[PM LO]]),(IF($H50&lt;=$K50,($F50-$H50)/($F50-Table133[[#This Row],[PM LO]]),(Table133[[#This Row],[PM Hi]]-Table133[[#This Row],[Lowest lo from open to squeeze]])/(Table133[[#This Row],[PM Hi]]-Table133[[#This Row],[PM LO]])))))</f>
        <v>0.63157894736842102</v>
      </c>
      <c r="AO50" s="18">
        <f>IF(J50&gt;=F50,(J50-K50)/(J50-D50),(IF(H50&lt;=K50,(F50-H50)/(F50-D50),(Table133[[#This Row],[PM Hi]]-Table133[[#This Row],[Lowest lo from open to squeeze]])/(Table133[[#This Row],[PM Hi]]-Table133[[#This Row],[Prior day close]]))))</f>
        <v>0.63157894736842102</v>
      </c>
      <c r="AP50" s="17">
        <f>390+Table133[[#This Row],[Time until ideal entry point (mins) from open]]</f>
        <v>393</v>
      </c>
      <c r="AQ50" s="51">
        <f>(Table133[[#This Row],[Time until ideal entry + 390 (6:30)]]+Table133[[#This Row],[Duration of frontside (mins)]])/1440</f>
        <v>0.29652777777777778</v>
      </c>
    </row>
    <row r="51" spans="1:43" x14ac:dyDescent="0.25">
      <c r="A51" s="24" t="s">
        <v>45</v>
      </c>
      <c r="B51" s="47">
        <v>44210</v>
      </c>
      <c r="C51" s="47" t="s">
        <v>71</v>
      </c>
      <c r="D51" s="12">
        <v>2.41</v>
      </c>
      <c r="E51" s="13">
        <v>2.41</v>
      </c>
      <c r="F51" s="12">
        <v>3.3</v>
      </c>
      <c r="G51" s="12">
        <v>2.4</v>
      </c>
      <c r="H51" s="12">
        <v>2.88</v>
      </c>
      <c r="I51" s="12">
        <v>3.03</v>
      </c>
      <c r="J51" s="12">
        <v>3.03</v>
      </c>
      <c r="K51" s="12">
        <v>2.89</v>
      </c>
      <c r="L51" s="12">
        <v>3.3</v>
      </c>
      <c r="M51" s="12">
        <v>3.3</v>
      </c>
      <c r="N51" s="13">
        <v>22715134</v>
      </c>
      <c r="O51" s="12">
        <v>58377894</v>
      </c>
      <c r="P51" s="37">
        <v>35.24</v>
      </c>
      <c r="Q51" s="46">
        <v>20.190000000000001</v>
      </c>
      <c r="R51" s="37">
        <v>5248204</v>
      </c>
      <c r="S51" s="37" t="s">
        <v>41</v>
      </c>
      <c r="T51" s="37" t="s">
        <v>43</v>
      </c>
      <c r="U51" s="38">
        <v>1</v>
      </c>
      <c r="V51" s="46">
        <v>1</v>
      </c>
      <c r="W51" s="37">
        <v>2.92</v>
      </c>
      <c r="X51" s="46">
        <v>4</v>
      </c>
      <c r="Y51" s="41">
        <f>Table133[[#This Row],[Time until ideal entry + 390 (6:30)]]/(1440)</f>
        <v>0.27152777777777776</v>
      </c>
      <c r="Z51" s="18">
        <f t="shared" si="4"/>
        <v>0.36929460580912848</v>
      </c>
      <c r="AA51" s="18">
        <f>IF(Table133[[#This Row],[HOD AFTER PM HI]]&gt;=Table133[[#This Row],[PM Hi]],((Table133[[#This Row],[HOD AFTER PM HI]]-Table133[[#This Row],[Prior day close]])/Table133[[#This Row],[Prior day close]]),Table133[[#This Row],[Prior Close to PM Hi %]])</f>
        <v>0.36929460580912848</v>
      </c>
      <c r="AB51" s="42">
        <f>(Table133[[#This Row],[Price at hi of squeeze]]-Table133[[#This Row],[MKT Open Price]])/Table133[[#This Row],[MKT Open Price]]</f>
        <v>8.9108910891089119E-2</v>
      </c>
      <c r="AC51" s="18">
        <f>(Table133[[#This Row],[Price at hi of squeeze]]-Table133[[#This Row],[PM Hi]])/Table133[[#This Row],[PM Hi]]</f>
        <v>0</v>
      </c>
      <c r="AD51" s="18"/>
      <c r="AE51" s="20">
        <f>Table133[[#This Row],[PM VOL]]/1000000/Table133[[#This Row],[FLOAT(M)]]</f>
        <v>0.25994076275383854</v>
      </c>
      <c r="AF51" s="23">
        <f>(Table133[[#This Row],[Volume]]/1000000)/Table133[[#This Row],[FLOAT(M)]]</f>
        <v>1.125068548786528</v>
      </c>
      <c r="AH51" s="18">
        <f>(Table133[[#This Row],[PM Hi]]-Table133[[#This Row],[MKT Open Price]])/(Table133[[#This Row],[PM Hi]])</f>
        <v>8.1818181818181832E-2</v>
      </c>
      <c r="AI51" s="18">
        <f>IF(Table133[[#This Row],[PM LO]]&gt;Table133[[#This Row],[Prior day close]],(Table133[[#This Row],[PM Hi]]-Table133[[#This Row],[MKT Open Price]])/(Table133[[#This Row],[PM Hi]]-Table133[[#This Row],[Prior day close]]),(Table133[[#This Row],[PM Hi]]-Table133[[#This Row],[MKT Open Price]])/(Table133[[#This Row],[PM Hi]]-Table133[[#This Row],[PM LO]]))</f>
        <v>0.30000000000000004</v>
      </c>
      <c r="AJ51" s="48">
        <f>IF(Table133[[#This Row],[Prior day close]]&lt;Table133[[#This Row],[PM LO]],(I51-K51)/(I51-Table133[[#This Row],[Prior day close]]),(I51-K51)/(I51-Table133[[#This Row],[PM LO]]))</f>
        <v>0.22222222222222177</v>
      </c>
      <c r="AK51" s="48">
        <f>Table133[[#This Row],[Spike % on open before drop]]+AL51</f>
        <v>4.6204620462046105E-2</v>
      </c>
      <c r="AL51" s="16">
        <f t="shared" si="3"/>
        <v>4.6204620462046105E-2</v>
      </c>
      <c r="AM51" s="18">
        <f>IF($J51&gt;=$F51,($J51-$K51)/($J51),(IF($H51&lt;=$K51,($F51-$H51)/($F51),(Table133[[#This Row],[PM Hi]]-Table133[[#This Row],[Lowest lo from open to squeeze]])/(Table133[[#This Row],[PM Hi]]))))</f>
        <v>0.12727272727272726</v>
      </c>
      <c r="AN51" s="48">
        <f>IF(Table133[[#This Row],[Prior day close]]&lt;=Table133[[#This Row],[PM LO]],IF($J51&gt;=$F51,($J51-$K51)/($J51-Table133[[#This Row],[Prior day close]]),(IF($H51&lt;=$K51,($F51-$H51)/($F51-Table133[[#This Row],[Prior day close]]),(Table133[[#This Row],[PM Hi]]-Table133[[#This Row],[Lowest lo from open to squeeze]])/(Table133[[#This Row],[PM Hi]]-Table133[[#This Row],[Prior day close]])))),IF($J51&gt;=$F51,($J51-$K51)/($J51-Table133[[#This Row],[PM LO]]),(IF($H51&lt;=$K51,($F51-$H51)/($F51-Table133[[#This Row],[PM LO]]),(Table133[[#This Row],[PM Hi]]-Table133[[#This Row],[Lowest lo from open to squeeze]])/(Table133[[#This Row],[PM Hi]]-Table133[[#This Row],[PM LO]])))))</f>
        <v>0.46666666666666662</v>
      </c>
      <c r="AO51" s="18">
        <f>IF(J51&gt;=F51,(J51-K51)/(J51-D51),(IF(H51&lt;=K51,(F51-H51)/(F51-D51),(Table133[[#This Row],[PM Hi]]-Table133[[#This Row],[Lowest lo from open to squeeze]])/(Table133[[#This Row],[PM Hi]]-Table133[[#This Row],[Prior day close]]))))</f>
        <v>0.47191011235955066</v>
      </c>
      <c r="AP51" s="17">
        <f>390+Table133[[#This Row],[Time until ideal entry point (mins) from open]]</f>
        <v>391</v>
      </c>
      <c r="AQ51" s="17">
        <f>Table133[[#This Row],[Time until ideal entry + 390 (6:30)]]+Table133[[#This Row],[Duration of frontside (mins)]]</f>
        <v>395</v>
      </c>
    </row>
    <row r="52" spans="1:43" x14ac:dyDescent="0.25">
      <c r="A52" s="24" t="s">
        <v>121</v>
      </c>
      <c r="B52" s="45">
        <v>44168</v>
      </c>
      <c r="C52" s="47" t="s">
        <v>71</v>
      </c>
      <c r="D52" s="12">
        <v>2.42</v>
      </c>
      <c r="E52" s="13">
        <v>2.4</v>
      </c>
      <c r="F52" s="12">
        <v>5.2</v>
      </c>
      <c r="G52" s="12">
        <v>2.4</v>
      </c>
      <c r="H52" s="12">
        <v>4.12</v>
      </c>
      <c r="I52" s="12">
        <v>4.3899999999999997</v>
      </c>
      <c r="J52" s="12">
        <v>4.78</v>
      </c>
      <c r="K52" s="12">
        <v>3.83</v>
      </c>
      <c r="L52" s="12">
        <v>5.91</v>
      </c>
      <c r="M52" s="12">
        <v>5.13</v>
      </c>
      <c r="N52" s="13">
        <v>198937626</v>
      </c>
      <c r="O52" s="12">
        <v>924065272</v>
      </c>
      <c r="P52" s="37">
        <v>107.52</v>
      </c>
      <c r="Q52">
        <v>22.74</v>
      </c>
      <c r="R52" s="37">
        <v>23403663</v>
      </c>
      <c r="S52" s="37" t="s">
        <v>41</v>
      </c>
      <c r="T52" s="37" t="s">
        <v>43</v>
      </c>
      <c r="U52" s="38">
        <v>14</v>
      </c>
      <c r="V52">
        <v>14</v>
      </c>
      <c r="W52" s="39">
        <v>3.9</v>
      </c>
      <c r="X52"/>
      <c r="Y52" s="40">
        <f>Table133[[#This Row],[Time until ideal entry + 390 (6:30)]]/(1440)</f>
        <v>0.28055555555555556</v>
      </c>
      <c r="Z52" s="18">
        <f t="shared" si="4"/>
        <v>1.1487603305785126</v>
      </c>
      <c r="AA52" s="18">
        <f>IF(Table133[[#This Row],[HOD AFTER PM HI]]&gt;=Table133[[#This Row],[PM Hi]],((Table133[[#This Row],[HOD AFTER PM HI]]-Table133[[#This Row],[Prior day close]])/Table133[[#This Row],[Prior day close]]),Table133[[#This Row],[Prior Close to PM Hi %]])</f>
        <v>1.4421487603305787</v>
      </c>
      <c r="AB52" s="42">
        <f>(Table133[[#This Row],[Price at hi of squeeze]]-Table133[[#This Row],[MKT Open Price]])/Table133[[#This Row],[MKT Open Price]]</f>
        <v>0.16856492027334857</v>
      </c>
      <c r="AC52" s="18">
        <f>(Table133[[#This Row],[Price at hi of squeeze]]-Table133[[#This Row],[PM Hi]])/Table133[[#This Row],[PM Hi]]</f>
        <v>-1.3461538461538516E-2</v>
      </c>
      <c r="AD52" s="18">
        <f>(M52-K52)/K52</f>
        <v>0.3394255874673629</v>
      </c>
      <c r="AE52" s="20">
        <f>Table133[[#This Row],[PM VOL]]/1000000/Table133[[#This Row],[FLOAT(M)]]</f>
        <v>1.0291848284960423</v>
      </c>
      <c r="AF52" s="23">
        <f>(Table133[[#This Row],[Volume]]/1000000)/Table133[[#This Row],[FLOAT(M)]]</f>
        <v>8.7483564643799472</v>
      </c>
      <c r="AH52" s="18">
        <f>(Table133[[#This Row],[PM Hi]]-Table133[[#This Row],[MKT Open Price]])/(Table133[[#This Row],[PM Hi]])</f>
        <v>0.15576923076923085</v>
      </c>
      <c r="AI52" s="16">
        <f>IF(Table133[[#This Row],[PM LO]]&gt;Table133[[#This Row],[Prior day close]],(Table133[[#This Row],[PM Hi]]-Table133[[#This Row],[MKT Open Price]])/(Table133[[#This Row],[PM Hi]]-Table133[[#This Row],[Prior day close]]),(Table133[[#This Row],[PM Hi]]-Table133[[#This Row],[MKT Open Price]])/(Table133[[#This Row],[PM Hi]]-Table133[[#This Row],[PM LO]]))</f>
        <v>0.28928571428571442</v>
      </c>
      <c r="AJ52" s="18">
        <f>IF(Table133[[#This Row],[Prior day close]]&lt;Table133[[#This Row],[PM LO]],(I52-K52)/(I52-Table133[[#This Row],[Prior day close]]),(I52-K52)/(I52-Table133[[#This Row],[PM LO]]))</f>
        <v>0.28140703517587923</v>
      </c>
      <c r="AK52" s="18">
        <f>Table133[[#This Row],[Spike % on open before drop]]+AL52</f>
        <v>0.12756264236902043</v>
      </c>
      <c r="AL52" s="16">
        <f t="shared" si="3"/>
        <v>0.12756264236902043</v>
      </c>
      <c r="AM52" s="18">
        <f>IF($J52&gt;=$F52,($J52-$K52)/($J52),(IF($H52&lt;=$K52,($F52-$H52)/($F52),(Table133[[#This Row],[PM Hi]]-Table133[[#This Row],[Lowest lo from open to squeeze]])/(Table133[[#This Row],[PM Hi]]))))</f>
        <v>0.26346153846153847</v>
      </c>
      <c r="AN52" s="18">
        <f>IF(Table133[[#This Row],[Prior day close]]&lt;=Table133[[#This Row],[PM LO]],IF($J52&gt;=$F52,($J52-$K52)/($J52-Table133[[#This Row],[Prior day close]]),(IF($H52&lt;=$K52,($F52-$H52)/($F52-Table133[[#This Row],[Prior day close]]),(Table133[[#This Row],[PM Hi]]-Table133[[#This Row],[Lowest lo from open to squeeze]])/(Table133[[#This Row],[PM Hi]]-Table133[[#This Row],[Prior day close]])))),IF($J52&gt;=$F52,($J52-$K52)/($J52-Table133[[#This Row],[PM LO]]),(IF($H52&lt;=$K52,($F52-$H52)/($F52-Table133[[#This Row],[PM LO]]),(Table133[[#This Row],[PM Hi]]-Table133[[#This Row],[Lowest lo from open to squeeze]])/(Table133[[#This Row],[PM Hi]]-Table133[[#This Row],[PM LO]])))))</f>
        <v>0.48928571428571427</v>
      </c>
      <c r="AO52" s="18">
        <f>IF(J52&gt;=F52,(J52-K52)/(J52-D52),(IF(H52&lt;=K52,(F52-H52)/(F52-D52),(Table133[[#This Row],[PM Hi]]-Table133[[#This Row],[Lowest lo from open to squeeze]])/(Table133[[#This Row],[PM Hi]]-Table133[[#This Row],[Prior day close]]))))</f>
        <v>0.49280575539568344</v>
      </c>
      <c r="AP52" s="17">
        <f>390+Table133[[#This Row],[Time until ideal entry point (mins) from open]]</f>
        <v>404</v>
      </c>
      <c r="AQ52" s="51">
        <f>(Table133[[#This Row],[Time until ideal entry + 390 (6:30)]]+Table133[[#This Row],[Duration of frontside (mins)]])/1440</f>
        <v>0.28055555555555556</v>
      </c>
    </row>
    <row r="53" spans="1:43" x14ac:dyDescent="0.25">
      <c r="A53" s="24" t="s">
        <v>170</v>
      </c>
      <c r="B53" s="47">
        <v>43965</v>
      </c>
      <c r="C53" s="47" t="s">
        <v>71</v>
      </c>
      <c r="D53" s="12">
        <v>2.4300000000000002</v>
      </c>
      <c r="E53" s="13">
        <f>Table133[[#This Row],[Prior day close]]</f>
        <v>2.4300000000000002</v>
      </c>
      <c r="F53" s="12">
        <v>3.47</v>
      </c>
      <c r="G53" s="12">
        <v>2.58</v>
      </c>
      <c r="H53" s="12">
        <v>3.01</v>
      </c>
      <c r="I53" s="12">
        <v>3.25</v>
      </c>
      <c r="J53" s="12">
        <v>3.25</v>
      </c>
      <c r="K53" s="12">
        <v>3.05</v>
      </c>
      <c r="L53" s="12">
        <v>3.47</v>
      </c>
      <c r="M53" s="12">
        <v>3.47</v>
      </c>
      <c r="N53" s="13">
        <v>36754783</v>
      </c>
      <c r="O53" s="12">
        <v>106221322</v>
      </c>
      <c r="P53" s="37"/>
      <c r="Q53" s="46"/>
      <c r="R53" s="37">
        <v>4144865</v>
      </c>
      <c r="S53" s="37" t="s">
        <v>43</v>
      </c>
      <c r="T53" s="37" t="s">
        <v>43</v>
      </c>
      <c r="U53" s="38">
        <v>2</v>
      </c>
      <c r="V53" s="46">
        <v>2</v>
      </c>
      <c r="W53" s="37">
        <v>3.1</v>
      </c>
      <c r="X53" s="46">
        <v>9</v>
      </c>
      <c r="Y53" s="41">
        <f>Table133[[#This Row],[Time until ideal entry + 390 (6:30)]]/(1440)</f>
        <v>0.2722222222222222</v>
      </c>
      <c r="Z53" s="18">
        <f t="shared" si="4"/>
        <v>0.4279835390946502</v>
      </c>
      <c r="AA53" s="18">
        <f>IF(Table133[[#This Row],[HOD AFTER PM HI]]&gt;=Table133[[#This Row],[PM Hi]],((Table133[[#This Row],[HOD AFTER PM HI]]-Table133[[#This Row],[Prior day close]])/Table133[[#This Row],[Prior day close]]),Table133[[#This Row],[Prior Close to PM Hi %]])</f>
        <v>0.4279835390946502</v>
      </c>
      <c r="AB53" s="42">
        <f>(Table133[[#This Row],[Price at hi of squeeze]]-Table133[[#This Row],[MKT Open Price]])/Table133[[#This Row],[MKT Open Price]]</f>
        <v>6.7692307692307746E-2</v>
      </c>
      <c r="AC53" s="18">
        <f>(Table133[[#This Row],[Price at hi of squeeze]]-Table133[[#This Row],[PM Hi]])/Table133[[#This Row],[PM Hi]]</f>
        <v>0</v>
      </c>
      <c r="AD53" s="18"/>
      <c r="AE53" s="20" t="e">
        <f>Table133[[#This Row],[PM VOL]]/1000000/Table133[[#This Row],[FLOAT(M)]]</f>
        <v>#DIV/0!</v>
      </c>
      <c r="AF53" s="23" t="e">
        <f>(Table133[[#This Row],[Volume]]/1000000)/Table133[[#This Row],[FLOAT(M)]]</f>
        <v>#DIV/0!</v>
      </c>
      <c r="AH53" s="18">
        <f>(Table133[[#This Row],[PM Hi]]-Table133[[#This Row],[MKT Open Price]])/(Table133[[#This Row],[PM Hi]])</f>
        <v>6.3400576368876138E-2</v>
      </c>
      <c r="AI53" s="18">
        <f>IF(Table133[[#This Row],[PM LO]]&gt;Table133[[#This Row],[Prior day close]],(Table133[[#This Row],[PM Hi]]-Table133[[#This Row],[MKT Open Price]])/(Table133[[#This Row],[PM Hi]]-Table133[[#This Row],[Prior day close]]),(Table133[[#This Row],[PM Hi]]-Table133[[#This Row],[MKT Open Price]])/(Table133[[#This Row],[PM Hi]]-Table133[[#This Row],[PM LO]]))</f>
        <v>0.21153846153846173</v>
      </c>
      <c r="AJ53" s="48">
        <f>IF(Table133[[#This Row],[Prior day close]]&lt;Table133[[#This Row],[PM LO]],(I53-K53)/(I53-Table133[[#This Row],[Prior day close]]),(I53-K53)/(I53-Table133[[#This Row],[PM LO]]))</f>
        <v>0.24390243902439052</v>
      </c>
      <c r="AK53" s="48">
        <f>Table133[[#This Row],[Spike % on open before drop]]+AL53</f>
        <v>6.153846153846159E-2</v>
      </c>
      <c r="AL53" s="16">
        <f t="shared" si="3"/>
        <v>6.153846153846159E-2</v>
      </c>
      <c r="AM53" s="18">
        <f>IF($J53&gt;=$F53,($J53-$K53)/($J53),(IF($H53&lt;=$K53,($F53-$H53)/($F53),(Table133[[#This Row],[PM Hi]]-Table133[[#This Row],[Lowest lo from open to squeeze]])/(Table133[[#This Row],[PM Hi]]))))</f>
        <v>0.13256484149855918</v>
      </c>
      <c r="AN53" s="48">
        <f>IF(Table133[[#This Row],[Prior day close]]&lt;=Table133[[#This Row],[PM LO]],IF($J53&gt;=$F53,($J53-$K53)/($J53-Table133[[#This Row],[Prior day close]]),(IF($H53&lt;=$K53,($F53-$H53)/($F53-Table133[[#This Row],[Prior day close]]),(Table133[[#This Row],[PM Hi]]-Table133[[#This Row],[Lowest lo from open to squeeze]])/(Table133[[#This Row],[PM Hi]]-Table133[[#This Row],[Prior day close]])))),IF($J53&gt;=$F53,($J53-$K53)/($J53-Table133[[#This Row],[PM LO]]),(IF($H53&lt;=$K53,($F53-$H53)/($F53-Table133[[#This Row],[PM LO]]),(Table133[[#This Row],[PM Hi]]-Table133[[#This Row],[Lowest lo from open to squeeze]])/(Table133[[#This Row],[PM Hi]]-Table133[[#This Row],[PM LO]])))))</f>
        <v>0.44230769230769268</v>
      </c>
      <c r="AO53" s="18">
        <f>IF(J53&gt;=F53,(J53-K53)/(J53-D53),(IF(H53&lt;=K53,(F53-H53)/(F53-D53),(Table133[[#This Row],[PM Hi]]-Table133[[#This Row],[Lowest lo from open to squeeze]])/(Table133[[#This Row],[PM Hi]]-Table133[[#This Row],[Prior day close]]))))</f>
        <v>0.44230769230769268</v>
      </c>
      <c r="AP53" s="17">
        <f>390+Table133[[#This Row],[Time until ideal entry point (mins) from open]]</f>
        <v>392</v>
      </c>
      <c r="AQ53" s="17">
        <f>Table133[[#This Row],[Time until ideal entry + 390 (6:30)]]+Table133[[#This Row],[Duration of frontside (mins)]]</f>
        <v>401</v>
      </c>
    </row>
    <row r="54" spans="1:43" x14ac:dyDescent="0.25">
      <c r="A54" s="24" t="s">
        <v>121</v>
      </c>
      <c r="B54" s="11">
        <v>44116</v>
      </c>
      <c r="C54" s="47" t="s">
        <v>71</v>
      </c>
      <c r="D54" s="12">
        <v>2.48</v>
      </c>
      <c r="E54" s="13">
        <v>2.65</v>
      </c>
      <c r="F54" s="12">
        <v>4.88</v>
      </c>
      <c r="G54" s="12">
        <v>2.65</v>
      </c>
      <c r="H54" s="12">
        <v>3.82</v>
      </c>
      <c r="I54" s="12">
        <v>3.93</v>
      </c>
      <c r="J54" s="12">
        <v>3.96</v>
      </c>
      <c r="K54" s="12">
        <v>3.73</v>
      </c>
      <c r="L54" s="12">
        <v>4.75</v>
      </c>
      <c r="M54" s="12">
        <v>4.75</v>
      </c>
      <c r="N54" s="13">
        <v>111050287</v>
      </c>
      <c r="O54" s="12">
        <v>352029409</v>
      </c>
      <c r="P54" s="37">
        <v>104.99</v>
      </c>
      <c r="Q54">
        <v>22.61</v>
      </c>
      <c r="R54" s="37">
        <v>9684755</v>
      </c>
      <c r="S54" s="37" t="s">
        <v>41</v>
      </c>
      <c r="T54" s="37" t="s">
        <v>43</v>
      </c>
      <c r="U54" s="38">
        <v>2</v>
      </c>
      <c r="V54">
        <v>3</v>
      </c>
      <c r="W54" s="39">
        <v>3.82</v>
      </c>
      <c r="X54">
        <v>38</v>
      </c>
      <c r="Y54" s="40">
        <f>Table133[[#This Row],[Time until ideal entry + 390 (6:30)]]/(1440)</f>
        <v>0.27291666666666664</v>
      </c>
      <c r="Z54" s="18">
        <f t="shared" si="4"/>
        <v>0.96774193548387089</v>
      </c>
      <c r="AA54" s="18">
        <f>IF(Table133[[#This Row],[HOD AFTER PM HI]]&gt;=Table133[[#This Row],[PM Hi]],((Table133[[#This Row],[HOD AFTER PM HI]]-Table133[[#This Row],[Prior day close]])/Table133[[#This Row],[Prior day close]]),Table133[[#This Row],[Prior Close to PM Hi %]])</f>
        <v>0.96774193548387089</v>
      </c>
      <c r="AB54" s="42">
        <f>(Table133[[#This Row],[Price at hi of squeeze]]-Table133[[#This Row],[MKT Open Price]])/Table133[[#This Row],[MKT Open Price]]</f>
        <v>0.2086513994910941</v>
      </c>
      <c r="AC54" s="18">
        <f>(Table133[[#This Row],[Price at hi of squeeze]]-Table133[[#This Row],[PM Hi]])/Table133[[#This Row],[PM Hi]]</f>
        <v>-2.663934426229506E-2</v>
      </c>
      <c r="AD54" s="18">
        <f t="shared" ref="AD54:AD65" si="5">(M54-K54)/K54</f>
        <v>0.27345844504021449</v>
      </c>
      <c r="AE54" s="20">
        <f>Table133[[#This Row],[PM VOL]]/1000000/Table133[[#This Row],[FLOAT(M)]]</f>
        <v>0.42833945157010167</v>
      </c>
      <c r="AF54" s="23">
        <f>(Table133[[#This Row],[Volume]]/1000000)/Table133[[#This Row],[FLOAT(M)]]</f>
        <v>4.9115562582927907</v>
      </c>
      <c r="AH54" s="18">
        <f>(Table133[[#This Row],[PM Hi]]-Table133[[#This Row],[MKT Open Price]])/(Table133[[#This Row],[PM Hi]])</f>
        <v>0.19467213114754092</v>
      </c>
      <c r="AI54" s="16">
        <f>IF(Table133[[#This Row],[PM LO]]&gt;Table133[[#This Row],[Prior day close]],(Table133[[#This Row],[PM Hi]]-Table133[[#This Row],[MKT Open Price]])/(Table133[[#This Row],[PM Hi]]-Table133[[#This Row],[Prior day close]]),(Table133[[#This Row],[PM Hi]]-Table133[[#This Row],[MKT Open Price]])/(Table133[[#This Row],[PM Hi]]-Table133[[#This Row],[PM LO]]))</f>
        <v>0.39583333333333326</v>
      </c>
      <c r="AJ54" s="18">
        <f>IF(Table133[[#This Row],[Prior day close]]&lt;Table133[[#This Row],[PM LO]],(I54-K54)/(I54-Table133[[#This Row],[Prior day close]]),(I54-K54)/(I54-Table133[[#This Row],[PM LO]]))</f>
        <v>0.13793103448275873</v>
      </c>
      <c r="AK54" s="18">
        <f>Table133[[#This Row],[Spike % on open before drop]]+AL54</f>
        <v>5.0890585241730325E-2</v>
      </c>
      <c r="AL54" s="16">
        <f t="shared" si="3"/>
        <v>5.0890585241730325E-2</v>
      </c>
      <c r="AM54" s="18">
        <f>IF($J54&gt;=$F54,($J54-$K54)/($J54),(IF($H54&lt;=$K54,($F54-$H54)/($F54),(Table133[[#This Row],[PM Hi]]-Table133[[#This Row],[Lowest lo from open to squeeze]])/(Table133[[#This Row],[PM Hi]]))))</f>
        <v>0.23565573770491802</v>
      </c>
      <c r="AN54" s="18">
        <f>IF(Table133[[#This Row],[Prior day close]]&lt;=Table133[[#This Row],[PM LO]],IF($J54&gt;=$F54,($J54-$K54)/($J54-Table133[[#This Row],[Prior day close]]),(IF($H54&lt;=$K54,($F54-$H54)/($F54-Table133[[#This Row],[Prior day close]]),(Table133[[#This Row],[PM Hi]]-Table133[[#This Row],[Lowest lo from open to squeeze]])/(Table133[[#This Row],[PM Hi]]-Table133[[#This Row],[Prior day close]])))),IF($J54&gt;=$F54,($J54-$K54)/($J54-Table133[[#This Row],[PM LO]]),(IF($H54&lt;=$K54,($F54-$H54)/($F54-Table133[[#This Row],[PM LO]]),(Table133[[#This Row],[PM Hi]]-Table133[[#This Row],[Lowest lo from open to squeeze]])/(Table133[[#This Row],[PM Hi]]-Table133[[#This Row],[PM LO]])))))</f>
        <v>0.47916666666666663</v>
      </c>
      <c r="AO54" s="18">
        <f>IF(J54&gt;=F54,(J54-K54)/(J54-D54),(IF(H54&lt;=K54,(F54-H54)/(F54-D54),(Table133[[#This Row],[PM Hi]]-Table133[[#This Row],[Lowest lo from open to squeeze]])/(Table133[[#This Row],[PM Hi]]-Table133[[#This Row],[Prior day close]]))))</f>
        <v>0.47916666666666663</v>
      </c>
      <c r="AP54" s="17">
        <f>390+Table133[[#This Row],[Time until ideal entry point (mins) from open]]</f>
        <v>393</v>
      </c>
      <c r="AQ54" s="51">
        <f>(Table133[[#This Row],[Time until ideal entry + 390 (6:30)]]+Table133[[#This Row],[Duration of frontside (mins)]])/1440</f>
        <v>0.29930555555555555</v>
      </c>
    </row>
    <row r="55" spans="1:43" x14ac:dyDescent="0.25">
      <c r="A55" s="24" t="s">
        <v>102</v>
      </c>
      <c r="B55" s="11">
        <v>44034</v>
      </c>
      <c r="C55" s="47" t="s">
        <v>71</v>
      </c>
      <c r="D55" s="12">
        <v>2.5</v>
      </c>
      <c r="E55" s="13">
        <v>2.38</v>
      </c>
      <c r="F55" s="12">
        <v>4.2</v>
      </c>
      <c r="G55" s="12"/>
      <c r="H55" s="12">
        <v>3.75</v>
      </c>
      <c r="I55" s="12">
        <v>3.8</v>
      </c>
      <c r="J55" s="12">
        <v>4.0999999999999996</v>
      </c>
      <c r="K55" s="12">
        <v>3.44</v>
      </c>
      <c r="L55" s="12">
        <v>4.8</v>
      </c>
      <c r="M55" s="12">
        <v>4.8</v>
      </c>
      <c r="N55" s="13">
        <v>82729817</v>
      </c>
      <c r="O55" s="12">
        <v>268871905</v>
      </c>
      <c r="P55" s="37">
        <v>16</v>
      </c>
      <c r="Q55"/>
      <c r="R55" s="37"/>
      <c r="S55" s="37"/>
      <c r="T55" s="37"/>
      <c r="U55" s="38"/>
      <c r="V55"/>
      <c r="W55" s="39"/>
      <c r="X55"/>
      <c r="Y55" s="40">
        <f>Table133[[#This Row],[Time until ideal entry + 390 (6:30)]]/(1440)</f>
        <v>0.27083333333333331</v>
      </c>
      <c r="Z55" s="18">
        <f t="shared" si="4"/>
        <v>0.68</v>
      </c>
      <c r="AA55" s="18">
        <f>IF(Table133[[#This Row],[HOD AFTER PM HI]]&gt;=Table133[[#This Row],[PM Hi]],((Table133[[#This Row],[HOD AFTER PM HI]]-Table133[[#This Row],[Prior day close]])/Table133[[#This Row],[Prior day close]]),Table133[[#This Row],[Prior Close to PM Hi %]])</f>
        <v>0.91999999999999993</v>
      </c>
      <c r="AB55" s="18">
        <f>(Table133[[#This Row],[Price at hi of squeeze]]-Table133[[#This Row],[MKT Open Price]])/Table133[[#This Row],[MKT Open Price]]</f>
        <v>0.26315789473684209</v>
      </c>
      <c r="AC55" s="18">
        <f>(Table133[[#This Row],[Price at hi of squeeze]]-Table133[[#This Row],[PM Hi]])/Table133[[#This Row],[PM Hi]]</f>
        <v>0.14285714285714277</v>
      </c>
      <c r="AD55" s="18">
        <f t="shared" si="5"/>
        <v>0.39534883720930231</v>
      </c>
      <c r="AE55" s="20" t="e">
        <f>Table133[[#This Row],[PM VOL]]/1000000/Table133[[#This Row],[FLOAT(M)]]</f>
        <v>#DIV/0!</v>
      </c>
      <c r="AF55" s="23" t="e">
        <f>(Table133[[#This Row],[Volume]]/1000000)/Table133[[#This Row],[FLOAT(M)]]</f>
        <v>#DIV/0!</v>
      </c>
      <c r="AH55" s="18">
        <f>(Table133[[#This Row],[PM Hi]]-Table133[[#This Row],[MKT Open Price]])/(Table133[[#This Row],[PM Hi]])</f>
        <v>9.5238095238095316E-2</v>
      </c>
      <c r="AI55" s="16">
        <f>IF(Table133[[#This Row],[PM LO]]&gt;Table133[[#This Row],[Prior day close]],(Table133[[#This Row],[PM Hi]]-Table133[[#This Row],[MKT Open Price]])/(Table133[[#This Row],[PM Hi]]-Table133[[#This Row],[Prior day close]]),(Table133[[#This Row],[PM Hi]]-Table133[[#This Row],[MKT Open Price]])/(Table133[[#This Row],[PM Hi]]-Table133[[#This Row],[PM LO]]))</f>
        <v>9.5238095238095316E-2</v>
      </c>
      <c r="AJ55" s="18">
        <f>IF(Table133[[#This Row],[Prior day close]]&lt;Table133[[#This Row],[PM LO]],(I55-K55)/(I55-Table133[[#This Row],[Prior day close]]),(I55-K55)/(I55-Table133[[#This Row],[PM LO]]))</f>
        <v>9.4736842105263133E-2</v>
      </c>
      <c r="AK55" s="18">
        <f>Table133[[#This Row],[Spike % on open before drop]]+AL55</f>
        <v>9.4736842105263133E-2</v>
      </c>
      <c r="AL55" s="16">
        <f t="shared" si="3"/>
        <v>9.4736842105263133E-2</v>
      </c>
      <c r="AM55" s="16"/>
      <c r="AN55" s="18">
        <f>IF(Table133[[#This Row],[Prior day close]]&lt;=Table133[[#This Row],[PM LO]],IF($J55&gt;=$F55,($J55-$K55)/($J55-Table133[[#This Row],[Prior day close]]),(IF($H55&lt;=$K55,($F55-$H55)/($F55-Table133[[#This Row],[Prior day close]]),(Table133[[#This Row],[PM Hi]]-Table133[[#This Row],[Lowest lo from open to squeeze]])/(Table133[[#This Row],[PM Hi]]-Table133[[#This Row],[Prior day close]])))),IF($J55&gt;=$F55,($J55-$K55)/($J55-Table133[[#This Row],[PM LO]]),(IF($H55&lt;=$K55,($F55-$H55)/($F55-Table133[[#This Row],[PM LO]]),(Table133[[#This Row],[PM Hi]]-Table133[[#This Row],[Lowest lo from open to squeeze]])/(Table133[[#This Row],[PM Hi]]-Table133[[#This Row],[PM LO]])))))</f>
        <v>0.180952380952381</v>
      </c>
      <c r="AO55" s="18"/>
      <c r="AP55" s="17">
        <f>390+Table133[[#This Row],[Time until ideal entry point (mins) from open]]</f>
        <v>390</v>
      </c>
      <c r="AQ55" s="51">
        <f>(Table133[[#This Row],[Time until ideal entry + 390 (6:30)]]+Table133[[#This Row],[Duration of frontside (mins)]])/1440</f>
        <v>0.27083333333333331</v>
      </c>
    </row>
    <row r="56" spans="1:43" x14ac:dyDescent="0.25">
      <c r="A56" s="43" t="s">
        <v>69</v>
      </c>
      <c r="B56" s="11">
        <v>43966</v>
      </c>
      <c r="C56" s="47" t="s">
        <v>71</v>
      </c>
      <c r="D56" s="12">
        <v>2.68</v>
      </c>
      <c r="E56" s="13">
        <v>2.73</v>
      </c>
      <c r="F56" s="12">
        <v>4.7300000000000004</v>
      </c>
      <c r="G56" s="12">
        <v>2.66</v>
      </c>
      <c r="H56" s="12">
        <v>3.86</v>
      </c>
      <c r="I56" s="12">
        <v>4.41</v>
      </c>
      <c r="J56" s="12">
        <v>4.67</v>
      </c>
      <c r="K56" s="12">
        <v>3.83</v>
      </c>
      <c r="L56" s="12">
        <v>9</v>
      </c>
      <c r="M56" s="12">
        <v>9</v>
      </c>
      <c r="N56" s="13">
        <v>500925310</v>
      </c>
      <c r="O56" s="12">
        <v>3333657938</v>
      </c>
      <c r="P56" s="13">
        <v>549</v>
      </c>
      <c r="Q56" s="13">
        <v>119.3</v>
      </c>
      <c r="R56" s="13">
        <v>9200427</v>
      </c>
      <c r="S56" s="13" t="s">
        <v>43</v>
      </c>
      <c r="T56" t="s">
        <v>43</v>
      </c>
      <c r="U56" s="17">
        <v>19</v>
      </c>
      <c r="V56">
        <v>20</v>
      </c>
      <c r="W56">
        <v>3.89</v>
      </c>
      <c r="X56">
        <v>27</v>
      </c>
      <c r="Y56" s="15">
        <f>Table133[[#This Row],[Time until ideal entry + 390 (6:30)]]/(1440)</f>
        <v>0.28472222222222221</v>
      </c>
      <c r="Z56" s="18">
        <f t="shared" si="4"/>
        <v>0.7649253731343284</v>
      </c>
      <c r="AA56" s="18">
        <f>IF(Table133[[#This Row],[HOD AFTER PM HI]]&gt;=Table133[[#This Row],[PM Hi]],((Table133[[#This Row],[HOD AFTER PM HI]]-Table133[[#This Row],[Prior day close]])/Table133[[#This Row],[Prior day close]]),Table133[[#This Row],[Prior Close to PM Hi %]])</f>
        <v>2.3582089552238807</v>
      </c>
      <c r="AB56" s="18">
        <f>(Table133[[#This Row],[Price at hi of squeeze]]-Table133[[#This Row],[MKT Open Price]])/Table133[[#This Row],[MKT Open Price]]</f>
        <v>1.0408163265306121</v>
      </c>
      <c r="AC56" s="18">
        <f>(Table133[[#This Row],[Price at hi of squeeze]]-Table133[[#This Row],[PM Hi]])/Table133[[#This Row],[PM Hi]]</f>
        <v>0.90274841437632114</v>
      </c>
      <c r="AD56" s="18">
        <f t="shared" si="5"/>
        <v>1.3498694516971279</v>
      </c>
      <c r="AE56" s="20">
        <f>Table133[[#This Row],[PM VOL]]/1000000/Table133[[#This Row],[FLOAT(M)]]</f>
        <v>7.7120092204526397E-2</v>
      </c>
      <c r="AF56" s="23">
        <f>(Table133[[#This Row],[Volume]]/1000000)/Table133[[#This Row],[FLOAT(M)]]</f>
        <v>4.1988709974853311</v>
      </c>
      <c r="AG56" s="18">
        <f>(Table133[[#This Row],[Hi of Spike after open before drop]]-Table133[[#This Row],[MKT Open Price]])/Table133[[#This Row],[MKT Open Price]]</f>
        <v>5.8956916099773195E-2</v>
      </c>
      <c r="AH56" s="18">
        <f>(Table133[[#This Row],[PM Hi]]-Table133[[#This Row],[MKT Open Price]])/(Table133[[#This Row],[PM Hi]])</f>
        <v>6.7653276955602595E-2</v>
      </c>
      <c r="AI56" s="16">
        <f>IF(Table133[[#This Row],[PM LO]]&gt;Table133[[#This Row],[Prior day close]],(Table133[[#This Row],[PM Hi]]-Table133[[#This Row],[MKT Open Price]])/(Table133[[#This Row],[PM Hi]]-Table133[[#This Row],[Prior day close]]),(Table133[[#This Row],[PM Hi]]-Table133[[#This Row],[MKT Open Price]])/(Table133[[#This Row],[PM Hi]]-Table133[[#This Row],[PM LO]]))</f>
        <v>0.15458937198067643</v>
      </c>
      <c r="AJ56" s="16">
        <f>IF(Table133[[#This Row],[Prior day close]]&lt;Table133[[#This Row],[PM LO]],(I56-K56)/(I56-Table133[[#This Row],[Prior day close]]),(I56-K56)/(I56-Table133[[#This Row],[PM LO]]))</f>
        <v>0.33142857142857146</v>
      </c>
      <c r="AK56" s="16">
        <f>Table133[[#This Row],[Spike % on open before drop]]+AL56</f>
        <v>0.19047619047619044</v>
      </c>
      <c r="AL56" s="16">
        <f t="shared" si="3"/>
        <v>0.13151927437641725</v>
      </c>
      <c r="AM56" s="18">
        <f>IF($J56&gt;=$F56,($J56-$K56)/($J56),(IF($H56&lt;=$K56,($F56-$H56)/($F56),(Table133[[#This Row],[PM Hi]]-Table133[[#This Row],[Lowest lo from open to squeeze]])/(Table133[[#This Row],[PM Hi]]))))</f>
        <v>0.19027484143763218</v>
      </c>
      <c r="AN56" s="18">
        <f>IF(Table133[[#This Row],[Prior day close]]&lt;=Table133[[#This Row],[PM LO]],IF($J56&gt;=$F56,($J56-$K56)/($J56-Table133[[#This Row],[Prior day close]]),(IF($H56&lt;=$K56,($F56-$H56)/($F56-Table133[[#This Row],[Prior day close]]),(Table133[[#This Row],[PM Hi]]-Table133[[#This Row],[Lowest lo from open to squeeze]])/(Table133[[#This Row],[PM Hi]]-Table133[[#This Row],[Prior day close]])))),IF($J56&gt;=$F56,($J56-$K56)/($J56-Table133[[#This Row],[PM LO]]),(IF($H56&lt;=$K56,($F56-$H56)/($F56-Table133[[#This Row],[PM LO]]),(Table133[[#This Row],[PM Hi]]-Table133[[#This Row],[Lowest lo from open to squeeze]])/(Table133[[#This Row],[PM Hi]]-Table133[[#This Row],[PM LO]])))))</f>
        <v>0.43478260869565227</v>
      </c>
      <c r="AO56" s="18">
        <f>IF(J56&gt;=F56,(J56-K56)/(J56-D56),(IF(H56&lt;=K56,(F56-H56)/(F56-D56),(Table133[[#This Row],[PM Hi]]-Table133[[#This Row],[Lowest lo from open to squeeze]])/(Table133[[#This Row],[PM Hi]]-Table133[[#This Row],[Prior day close]]))))</f>
        <v>0.43902439024390255</v>
      </c>
      <c r="AP56" s="17">
        <f>390+Table133[[#This Row],[Time until ideal entry point (mins) from open]]</f>
        <v>410</v>
      </c>
      <c r="AQ56" s="51">
        <f>(Table133[[#This Row],[Time until ideal entry + 390 (6:30)]]+Table133[[#This Row],[Duration of frontside (mins)]])/1440</f>
        <v>0.3034722222222222</v>
      </c>
    </row>
    <row r="57" spans="1:43" x14ac:dyDescent="0.25">
      <c r="A57" s="10" t="s">
        <v>76</v>
      </c>
      <c r="B57" s="11">
        <v>43984</v>
      </c>
      <c r="C57" s="47" t="s">
        <v>71</v>
      </c>
      <c r="D57" s="12">
        <v>2.74</v>
      </c>
      <c r="E57" s="13">
        <v>2.67</v>
      </c>
      <c r="F57" s="12">
        <v>3.13</v>
      </c>
      <c r="G57" s="12">
        <v>2.66</v>
      </c>
      <c r="H57" s="12">
        <v>3.04</v>
      </c>
      <c r="I57" s="12">
        <v>3.08</v>
      </c>
      <c r="J57" s="12">
        <v>3.09</v>
      </c>
      <c r="K57" s="12">
        <v>2.91</v>
      </c>
      <c r="L57" s="12">
        <v>4.05</v>
      </c>
      <c r="M57" s="12">
        <v>3.68</v>
      </c>
      <c r="N57" s="13">
        <v>158461167</v>
      </c>
      <c r="O57" s="12">
        <v>634636973</v>
      </c>
      <c r="P57" s="13">
        <v>132.02000000000001</v>
      </c>
      <c r="Q57">
        <v>48.47</v>
      </c>
      <c r="R57" s="13">
        <v>4085615</v>
      </c>
      <c r="S57" s="13" t="s">
        <v>43</v>
      </c>
      <c r="T57" t="s">
        <v>43</v>
      </c>
      <c r="U57">
        <v>1</v>
      </c>
      <c r="V57">
        <v>2</v>
      </c>
      <c r="W57">
        <v>3.01</v>
      </c>
      <c r="X57">
        <v>38</v>
      </c>
      <c r="Y57" s="15">
        <f>Table133[[#This Row],[Time until ideal entry + 390 (6:30)]]/(1440)</f>
        <v>0.2722222222222222</v>
      </c>
      <c r="Z57" s="18">
        <f t="shared" si="4"/>
        <v>0.14233576642335755</v>
      </c>
      <c r="AA57" s="18">
        <f>IF(Table133[[#This Row],[HOD AFTER PM HI]]&gt;=Table133[[#This Row],[PM Hi]],((Table133[[#This Row],[HOD AFTER PM HI]]-Table133[[#This Row],[Prior day close]])/Table133[[#This Row],[Prior day close]]),Table133[[#This Row],[Prior Close to PM Hi %]])</f>
        <v>0.4781021897810217</v>
      </c>
      <c r="AB57" s="18">
        <f>(Table133[[#This Row],[Price at hi of squeeze]]-Table133[[#This Row],[MKT Open Price]])/Table133[[#This Row],[MKT Open Price]]</f>
        <v>0.19480519480519484</v>
      </c>
      <c r="AC57" s="18">
        <f>(Table133[[#This Row],[Price at hi of squeeze]]-Table133[[#This Row],[PM Hi]])/Table133[[#This Row],[PM Hi]]</f>
        <v>0.17571884984025568</v>
      </c>
      <c r="AD57" s="18">
        <f t="shared" si="5"/>
        <v>0.26460481099656358</v>
      </c>
      <c r="AE57" s="20">
        <f>Table133[[#This Row],[PM VOL]]/1000000/Table133[[#This Row],[FLOAT(M)]]</f>
        <v>8.4291623684753458E-2</v>
      </c>
      <c r="AF57" s="21">
        <f>(Table133[[#This Row],[Volume]]/1000000)/Table133[[#This Row],[FLOAT(M)]]</f>
        <v>3.2692627811017121</v>
      </c>
      <c r="AG57" s="18">
        <f>(Table133[[#This Row],[Hi of Spike after open before drop]]-Table133[[#This Row],[MKT Open Price]])/Table133[[#This Row],[MKT Open Price]]</f>
        <v>3.2467532467531776E-3</v>
      </c>
      <c r="AH57" s="18">
        <f>(Table133[[#This Row],[PM Hi]]-Table133[[#This Row],[MKT Open Price]])/(Table133[[#This Row],[PM Hi]])</f>
        <v>1.5974440894568634E-2</v>
      </c>
      <c r="AI57" s="16">
        <f>IF(Table133[[#This Row],[PM LO]]&gt;Table133[[#This Row],[Prior day close]],(Table133[[#This Row],[PM Hi]]-Table133[[#This Row],[MKT Open Price]])/(Table133[[#This Row],[PM Hi]]-Table133[[#This Row],[Prior day close]]),(Table133[[#This Row],[PM Hi]]-Table133[[#This Row],[MKT Open Price]])/(Table133[[#This Row],[PM Hi]]-Table133[[#This Row],[PM LO]]))</f>
        <v>0.10638297872340394</v>
      </c>
      <c r="AJ57" s="16">
        <f>IF(Table133[[#This Row],[Prior day close]]&lt;Table133[[#This Row],[PM LO]],(I57-K57)/(I57-Table133[[#This Row],[Prior day close]]),(I57-K57)/(I57-Table133[[#This Row],[PM LO]]))</f>
        <v>0.40476190476190466</v>
      </c>
      <c r="AK57" s="16">
        <f>Table133[[#This Row],[Spike % on open before drop]]+AL57</f>
        <v>5.844155844155835E-2</v>
      </c>
      <c r="AL57" s="16">
        <f t="shared" si="3"/>
        <v>5.5194805194805172E-2</v>
      </c>
      <c r="AM57" s="18">
        <f>IF($J57&gt;=$F57,($J57-$K57)/($J57),(IF($H57&lt;=$K57,($F57-$H57)/($F57),(Table133[[#This Row],[PM Hi]]-Table133[[#This Row],[Lowest lo from open to squeeze]])/(Table133[[#This Row],[PM Hi]]))))</f>
        <v>7.0287539936102164E-2</v>
      </c>
      <c r="AN57" s="18">
        <f>IF(Table133[[#This Row],[Prior day close]]&lt;=Table133[[#This Row],[PM LO]],IF($J57&gt;=$F57,($J57-$K57)/($J57-Table133[[#This Row],[Prior day close]]),(IF($H57&lt;=$K57,($F57-$H57)/($F57-Table133[[#This Row],[Prior day close]]),(Table133[[#This Row],[PM Hi]]-Table133[[#This Row],[Lowest lo from open to squeeze]])/(Table133[[#This Row],[PM Hi]]-Table133[[#This Row],[Prior day close]])))),IF($J57&gt;=$F57,($J57-$K57)/($J57-Table133[[#This Row],[PM LO]]),(IF($H57&lt;=$K57,($F57-$H57)/($F57-Table133[[#This Row],[PM LO]]),(Table133[[#This Row],[PM Hi]]-Table133[[#This Row],[Lowest lo from open to squeeze]])/(Table133[[#This Row],[PM Hi]]-Table133[[#This Row],[PM LO]])))))</f>
        <v>0.46808510638297846</v>
      </c>
      <c r="AO57" s="18">
        <f>IF(J57&gt;=F57,(J57-K57)/(J57-D57),(IF(H57&lt;=K57,(F57-H57)/(F57-D57),(Table133[[#This Row],[PM Hi]]-Table133[[#This Row],[Lowest lo from open to squeeze]])/(Table133[[#This Row],[PM Hi]]-Table133[[#This Row],[Prior day close]]))))</f>
        <v>0.56410256410256387</v>
      </c>
      <c r="AP57" s="17">
        <f>390+Table133[[#This Row],[Time until ideal entry point (mins) from open]]</f>
        <v>392</v>
      </c>
      <c r="AQ57" s="51">
        <f>(Table133[[#This Row],[Time until ideal entry + 390 (6:30)]]+Table133[[#This Row],[Duration of frontside (mins)]])/1440</f>
        <v>0.2986111111111111</v>
      </c>
    </row>
    <row r="58" spans="1:43" x14ac:dyDescent="0.25">
      <c r="A58" s="24" t="s">
        <v>125</v>
      </c>
      <c r="B58" s="11">
        <v>44124</v>
      </c>
      <c r="C58" s="47" t="s">
        <v>71</v>
      </c>
      <c r="D58" s="12">
        <v>3.13</v>
      </c>
      <c r="E58" s="13">
        <v>2.9</v>
      </c>
      <c r="F58" s="12">
        <v>4.54</v>
      </c>
      <c r="G58" s="12">
        <v>2.48</v>
      </c>
      <c r="H58" s="12">
        <v>4.32</v>
      </c>
      <c r="I58" s="12">
        <v>4.5</v>
      </c>
      <c r="J58" s="12">
        <v>4.88</v>
      </c>
      <c r="K58" s="12">
        <v>3.62</v>
      </c>
      <c r="L58" s="12">
        <v>5.43</v>
      </c>
      <c r="M58" s="12">
        <v>5.43</v>
      </c>
      <c r="N58" s="13">
        <v>133110285</v>
      </c>
      <c r="O58" s="12">
        <v>407983023</v>
      </c>
      <c r="P58" s="37">
        <v>27.04</v>
      </c>
      <c r="Q58">
        <v>5.67</v>
      </c>
      <c r="R58" s="37">
        <v>16477484</v>
      </c>
      <c r="S58" s="37" t="s">
        <v>74</v>
      </c>
      <c r="T58" s="37" t="s">
        <v>43</v>
      </c>
      <c r="U58" s="38">
        <v>13</v>
      </c>
      <c r="V58">
        <v>14</v>
      </c>
      <c r="W58" s="39">
        <v>3.71</v>
      </c>
      <c r="X58">
        <v>27</v>
      </c>
      <c r="Y58" s="40">
        <f>Table133[[#This Row],[Time until ideal entry + 390 (6:30)]]/(1440)</f>
        <v>0.28055555555555556</v>
      </c>
      <c r="Z58" s="18">
        <f t="shared" si="4"/>
        <v>0.45047923322683714</v>
      </c>
      <c r="AA58" s="18">
        <f>IF(Table133[[#This Row],[HOD AFTER PM HI]]&gt;=Table133[[#This Row],[PM Hi]],((Table133[[#This Row],[HOD AFTER PM HI]]-Table133[[#This Row],[Prior day close]])/Table133[[#This Row],[Prior day close]]),Table133[[#This Row],[Prior Close to PM Hi %]])</f>
        <v>0.73482428115015974</v>
      </c>
      <c r="AB58" s="42">
        <f>(Table133[[#This Row],[Price at hi of squeeze]]-Table133[[#This Row],[MKT Open Price]])/Table133[[#This Row],[MKT Open Price]]</f>
        <v>0.20666666666666661</v>
      </c>
      <c r="AC58" s="18">
        <f>(Table133[[#This Row],[Price at hi of squeeze]]-Table133[[#This Row],[PM Hi]])/Table133[[#This Row],[PM Hi]]</f>
        <v>0.19603524229074884</v>
      </c>
      <c r="AD58" s="18">
        <f t="shared" si="5"/>
        <v>0.49999999999999989</v>
      </c>
      <c r="AE58" s="20">
        <f>Table133[[#This Row],[PM VOL]]/1000000/Table133[[#This Row],[FLOAT(M)]]</f>
        <v>2.9060818342151675</v>
      </c>
      <c r="AF58" s="23">
        <f>(Table133[[#This Row],[Volume]]/1000000)/Table133[[#This Row],[FLOAT(M)]]</f>
        <v>23.476240740740742</v>
      </c>
      <c r="AH58" s="18">
        <f>(Table133[[#This Row],[PM Hi]]-Table133[[#This Row],[MKT Open Price]])/(Table133[[#This Row],[PM Hi]])</f>
        <v>8.8105726872246774E-3</v>
      </c>
      <c r="AI58" s="16">
        <f>IF(Table133[[#This Row],[PM LO]]&gt;Table133[[#This Row],[Prior day close]],(Table133[[#This Row],[PM Hi]]-Table133[[#This Row],[MKT Open Price]])/(Table133[[#This Row],[PM Hi]]-Table133[[#This Row],[Prior day close]]),(Table133[[#This Row],[PM Hi]]-Table133[[#This Row],[MKT Open Price]])/(Table133[[#This Row],[PM Hi]]-Table133[[#This Row],[PM LO]]))</f>
        <v>1.9417475728155355E-2</v>
      </c>
      <c r="AJ58" s="18">
        <f>IF(Table133[[#This Row],[Prior day close]]&lt;Table133[[#This Row],[PM LO]],(I58-K58)/(I58-Table133[[#This Row],[Prior day close]]),(I58-K58)/(I58-Table133[[#This Row],[PM LO]]))</f>
        <v>0.43564356435643559</v>
      </c>
      <c r="AK58" s="18">
        <f>Table133[[#This Row],[Spike % on open before drop]]+AL58</f>
        <v>0.19555555555555554</v>
      </c>
      <c r="AL58" s="16">
        <f t="shared" si="3"/>
        <v>0.19555555555555554</v>
      </c>
      <c r="AM58" s="18">
        <f>IF($J58&gt;=$F58,($J58-$K58)/($J58),(IF($H58&lt;=$K58,($F58-$H58)/($F58),(Table133[[#This Row],[PM Hi]]-Table133[[#This Row],[Lowest lo from open to squeeze]])/(Table133[[#This Row],[PM Hi]]))))</f>
        <v>0.25819672131147536</v>
      </c>
      <c r="AN58" s="18">
        <f>IF(Table133[[#This Row],[Prior day close]]&lt;=Table133[[#This Row],[PM LO]],IF($J58&gt;=$F58,($J58-$K58)/($J58-Table133[[#This Row],[Prior day close]]),(IF($H58&lt;=$K58,($F58-$H58)/($F58-Table133[[#This Row],[Prior day close]]),(Table133[[#This Row],[PM Hi]]-Table133[[#This Row],[Lowest lo from open to squeeze]])/(Table133[[#This Row],[PM Hi]]-Table133[[#This Row],[Prior day close]])))),IF($J58&gt;=$F58,($J58-$K58)/($J58-Table133[[#This Row],[PM LO]]),(IF($H58&lt;=$K58,($F58-$H58)/($F58-Table133[[#This Row],[PM LO]]),(Table133[[#This Row],[PM Hi]]-Table133[[#This Row],[Lowest lo from open to squeeze]])/(Table133[[#This Row],[PM Hi]]-Table133[[#This Row],[PM LO]])))))</f>
        <v>0.52499999999999991</v>
      </c>
      <c r="AO58" s="18">
        <f>IF(J58&gt;=F58,(J58-K58)/(J58-D58),(IF(H58&lt;=K58,(F58-H58)/(F58-D58),(Table133[[#This Row],[PM Hi]]-Table133[[#This Row],[Lowest lo from open to squeeze]])/(Table133[[#This Row],[PM Hi]]-Table133[[#This Row],[Prior day close]]))))</f>
        <v>0.71999999999999986</v>
      </c>
      <c r="AP58" s="17">
        <f>390+Table133[[#This Row],[Time until ideal entry point (mins) from open]]</f>
        <v>404</v>
      </c>
      <c r="AQ58" s="51">
        <f>(Table133[[#This Row],[Time until ideal entry + 390 (6:30)]]+Table133[[#This Row],[Duration of frontside (mins)]])/1440</f>
        <v>0.29930555555555555</v>
      </c>
    </row>
    <row r="59" spans="1:43" x14ac:dyDescent="0.25">
      <c r="A59" s="10" t="s">
        <v>89</v>
      </c>
      <c r="B59" s="11">
        <v>44007</v>
      </c>
      <c r="C59" s="47" t="s">
        <v>71</v>
      </c>
      <c r="D59" s="12">
        <v>3.15</v>
      </c>
      <c r="E59" s="13">
        <v>3.06</v>
      </c>
      <c r="F59" s="12">
        <v>5.95</v>
      </c>
      <c r="G59" s="12">
        <v>3</v>
      </c>
      <c r="H59" s="12">
        <v>5.27</v>
      </c>
      <c r="I59" s="12">
        <v>5.55</v>
      </c>
      <c r="J59" s="12">
        <v>6.9</v>
      </c>
      <c r="K59" s="12">
        <v>5.0599999999999996</v>
      </c>
      <c r="L59" s="12">
        <v>8.76</v>
      </c>
      <c r="M59" s="12">
        <v>8.76</v>
      </c>
      <c r="N59" s="13">
        <v>119673198</v>
      </c>
      <c r="O59" s="12">
        <v>873284391</v>
      </c>
      <c r="P59" s="13">
        <v>23.56</v>
      </c>
      <c r="Q59">
        <v>4.59</v>
      </c>
      <c r="R59" s="13">
        <v>8440043</v>
      </c>
      <c r="S59" s="13"/>
      <c r="T59" t="s">
        <v>43</v>
      </c>
      <c r="U59">
        <v>63</v>
      </c>
      <c r="V59">
        <v>64</v>
      </c>
      <c r="W59">
        <v>5.14</v>
      </c>
      <c r="X59">
        <v>76</v>
      </c>
      <c r="Y59" s="15">
        <f>Table133[[#This Row],[Time until ideal entry + 390 (6:30)]]/(1440)</f>
        <v>0.31527777777777777</v>
      </c>
      <c r="Z59" s="18">
        <f t="shared" si="4"/>
        <v>0.88888888888888895</v>
      </c>
      <c r="AA59" s="18">
        <f>IF(Table133[[#This Row],[HOD AFTER PM HI]]&gt;=Table133[[#This Row],[PM Hi]],((Table133[[#This Row],[HOD AFTER PM HI]]-Table133[[#This Row],[Prior day close]])/Table133[[#This Row],[Prior day close]]),Table133[[#This Row],[Prior Close to PM Hi %]])</f>
        <v>1.7809523809523808</v>
      </c>
      <c r="AB59" s="18">
        <f>(Table133[[#This Row],[Price at hi of squeeze]]-Table133[[#This Row],[MKT Open Price]])/Table133[[#This Row],[MKT Open Price]]</f>
        <v>0.57837837837837835</v>
      </c>
      <c r="AC59" s="18">
        <f>(Table133[[#This Row],[Price at hi of squeeze]]-Table133[[#This Row],[PM Hi]])/Table133[[#This Row],[PM Hi]]</f>
        <v>0.47226890756302514</v>
      </c>
      <c r="AD59" s="18">
        <f t="shared" si="5"/>
        <v>0.73122529644268786</v>
      </c>
      <c r="AE59" s="20">
        <f>Table133[[#This Row],[PM VOL]]/1000000/Table133[[#This Row],[FLOAT(M)]]</f>
        <v>1.8387893246187363</v>
      </c>
      <c r="AF59" s="21">
        <f>(Table133[[#This Row],[Volume]]/1000000)/Table133[[#This Row],[FLOAT(M)]]</f>
        <v>26.072592156862747</v>
      </c>
      <c r="AG59" s="18">
        <f>(Table133[[#This Row],[Hi of Spike after open before drop]]-Table133[[#This Row],[MKT Open Price]])/Table133[[#This Row],[MKT Open Price]]</f>
        <v>0.24324324324324334</v>
      </c>
      <c r="AH59" s="18">
        <f>(Table133[[#This Row],[PM Hi]]-Table133[[#This Row],[MKT Open Price]])/(Table133[[#This Row],[PM Hi]])</f>
        <v>6.7226890756302574E-2</v>
      </c>
      <c r="AI59" s="16">
        <f>IF(Table133[[#This Row],[PM LO]]&gt;Table133[[#This Row],[Prior day close]],(Table133[[#This Row],[PM Hi]]-Table133[[#This Row],[MKT Open Price]])/(Table133[[#This Row],[PM Hi]]-Table133[[#This Row],[Prior day close]]),(Table133[[#This Row],[PM Hi]]-Table133[[#This Row],[MKT Open Price]])/(Table133[[#This Row],[PM Hi]]-Table133[[#This Row],[PM LO]]))</f>
        <v>0.13559322033898316</v>
      </c>
      <c r="AJ59" s="16">
        <f>IF(Table133[[#This Row],[Prior day close]]&lt;Table133[[#This Row],[PM LO]],(I59-K59)/(I59-Table133[[#This Row],[Prior day close]]),(I59-K59)/(I59-Table133[[#This Row],[PM LO]]))</f>
        <v>0.19215686274509813</v>
      </c>
      <c r="AK59" s="16">
        <f>Table133[[#This Row],[Spike % on open before drop]]+AL59</f>
        <v>0.3315315315315317</v>
      </c>
      <c r="AL59" s="16">
        <f t="shared" si="3"/>
        <v>8.828828828828833E-2</v>
      </c>
      <c r="AM59" s="18">
        <f>IF($J59&gt;=$F59,($J59-$K59)/($J59),(IF($H59&lt;=$K59,($F59-$H59)/($F59),(Table133[[#This Row],[PM Hi]]-Table133[[#This Row],[Lowest lo from open to squeeze]])/(Table133[[#This Row],[PM Hi]]))))</f>
        <v>0.26666666666666677</v>
      </c>
      <c r="AN59" s="18">
        <f>IF(Table133[[#This Row],[Prior day close]]&lt;=Table133[[#This Row],[PM LO]],IF($J59&gt;=$F59,($J59-$K59)/($J59-Table133[[#This Row],[Prior day close]]),(IF($H59&lt;=$K59,($F59-$H59)/($F59-Table133[[#This Row],[Prior day close]]),(Table133[[#This Row],[PM Hi]]-Table133[[#This Row],[Lowest lo from open to squeeze]])/(Table133[[#This Row],[PM Hi]]-Table133[[#This Row],[Prior day close]])))),IF($J59&gt;=$F59,($J59-$K59)/($J59-Table133[[#This Row],[PM LO]]),(IF($H59&lt;=$K59,($F59-$H59)/($F59-Table133[[#This Row],[PM LO]]),(Table133[[#This Row],[PM Hi]]-Table133[[#This Row],[Lowest lo from open to squeeze]])/(Table133[[#This Row],[PM Hi]]-Table133[[#This Row],[PM LO]])))))</f>
        <v>0.47179487179487195</v>
      </c>
      <c r="AO59" s="18">
        <f>IF(J59&gt;=F59,(J59-K59)/(J59-D59),(IF(H59&lt;=K59,(F59-H59)/(F59-D59),(Table133[[#This Row],[PM Hi]]-Table133[[#This Row],[Lowest lo from open to squeeze]])/(Table133[[#This Row],[PM Hi]]-Table133[[#This Row],[Prior day close]]))))</f>
        <v>0.49066666666666681</v>
      </c>
      <c r="AP59" s="17">
        <f>390+Table133[[#This Row],[Time until ideal entry point (mins) from open]]</f>
        <v>454</v>
      </c>
      <c r="AQ59" s="51">
        <f>(Table133[[#This Row],[Time until ideal entry + 390 (6:30)]]+Table133[[#This Row],[Duration of frontside (mins)]])/1440</f>
        <v>0.36805555555555558</v>
      </c>
    </row>
    <row r="60" spans="1:43" x14ac:dyDescent="0.25">
      <c r="A60" s="10" t="s">
        <v>93</v>
      </c>
      <c r="B60" s="11">
        <v>44018</v>
      </c>
      <c r="C60" s="47" t="s">
        <v>71</v>
      </c>
      <c r="D60" s="12">
        <v>3.28</v>
      </c>
      <c r="E60" s="13">
        <v>3.48</v>
      </c>
      <c r="F60" s="12">
        <v>5.28</v>
      </c>
      <c r="G60" s="12">
        <v>3.48</v>
      </c>
      <c r="H60" s="12">
        <v>4.87</v>
      </c>
      <c r="I60" s="12">
        <v>4.97</v>
      </c>
      <c r="J60" s="12">
        <v>5.43</v>
      </c>
      <c r="K60" s="12">
        <v>4.63</v>
      </c>
      <c r="L60" s="12">
        <v>8.18</v>
      </c>
      <c r="M60" s="12">
        <v>8.18</v>
      </c>
      <c r="N60" s="13">
        <v>228115370</v>
      </c>
      <c r="O60" s="12">
        <v>1220996281</v>
      </c>
      <c r="P60" s="13">
        <v>43.1</v>
      </c>
      <c r="Q60">
        <v>1.83</v>
      </c>
      <c r="R60" s="13">
        <v>12184552</v>
      </c>
      <c r="S60" s="13"/>
      <c r="T60" t="s">
        <v>43</v>
      </c>
      <c r="U60">
        <v>3</v>
      </c>
      <c r="V60">
        <v>4</v>
      </c>
      <c r="W60">
        <v>4.74</v>
      </c>
      <c r="X60">
        <v>110</v>
      </c>
      <c r="Y60" s="15">
        <f>Table133[[#This Row],[Time until ideal entry + 390 (6:30)]]/(1440)</f>
        <v>0.27361111111111114</v>
      </c>
      <c r="Z60" s="18">
        <f t="shared" si="4"/>
        <v>0.60975609756097582</v>
      </c>
      <c r="AA60" s="18">
        <f>IF(Table133[[#This Row],[HOD AFTER PM HI]]&gt;=Table133[[#This Row],[PM Hi]],((Table133[[#This Row],[HOD AFTER PM HI]]-Table133[[#This Row],[Prior day close]])/Table133[[#This Row],[Prior day close]]),Table133[[#This Row],[Prior Close to PM Hi %]])</f>
        <v>1.4939024390243905</v>
      </c>
      <c r="AB60" s="18">
        <f>(Table133[[#This Row],[Price at hi of squeeze]]-Table133[[#This Row],[MKT Open Price]])/Table133[[#This Row],[MKT Open Price]]</f>
        <v>0.64587525150905434</v>
      </c>
      <c r="AC60" s="18">
        <f>(Table133[[#This Row],[Price at hi of squeeze]]-Table133[[#This Row],[PM Hi]])/Table133[[#This Row],[PM Hi]]</f>
        <v>0.54924242424242409</v>
      </c>
      <c r="AD60" s="18">
        <f t="shared" si="5"/>
        <v>0.76673866090712739</v>
      </c>
      <c r="AE60" s="20">
        <f>Table133[[#This Row],[PM VOL]]/1000000/Table133[[#This Row],[FLOAT(M)]]</f>
        <v>6.658225136612022</v>
      </c>
      <c r="AF60" s="21">
        <f>(Table133[[#This Row],[Volume]]/1000000)/Table133[[#This Row],[FLOAT(M)]]</f>
        <v>124.65320765027323</v>
      </c>
      <c r="AG60" s="18">
        <f>(Table133[[#This Row],[Hi of Spike after open before drop]]-Table133[[#This Row],[MKT Open Price]])/Table133[[#This Row],[MKT Open Price]]</f>
        <v>9.2555331991951706E-2</v>
      </c>
      <c r="AH60" s="18">
        <f>(Table133[[#This Row],[PM Hi]]-Table133[[#This Row],[MKT Open Price]])/(Table133[[#This Row],[PM Hi]])</f>
        <v>5.8712121212121306E-2</v>
      </c>
      <c r="AI60" s="16">
        <f>IF(Table133[[#This Row],[PM LO]]&gt;Table133[[#This Row],[Prior day close]],(Table133[[#This Row],[PM Hi]]-Table133[[#This Row],[MKT Open Price]])/(Table133[[#This Row],[PM Hi]]-Table133[[#This Row],[Prior day close]]),(Table133[[#This Row],[PM Hi]]-Table133[[#This Row],[MKT Open Price]])/(Table133[[#This Row],[PM Hi]]-Table133[[#This Row],[PM LO]]))</f>
        <v>0.15500000000000022</v>
      </c>
      <c r="AJ60" s="16">
        <f>IF(Table133[[#This Row],[Prior day close]]&lt;Table133[[#This Row],[PM LO]],(I60-K60)/(I60-Table133[[#This Row],[Prior day close]]),(I60-K60)/(I60-Table133[[#This Row],[PM LO]]))</f>
        <v>0.20118343195266264</v>
      </c>
      <c r="AK60" s="16">
        <f>Table133[[#This Row],[Spike % on open before drop]]+AL60</f>
        <v>0.16096579476861164</v>
      </c>
      <c r="AL60" s="16">
        <f t="shared" si="3"/>
        <v>6.8410462776659936E-2</v>
      </c>
      <c r="AM60" s="18">
        <f>IF($J60&gt;=$F60,($J60-$K60)/($J60),(IF($H60&lt;=$K60,($F60-$H60)/($F60),(Table133[[#This Row],[PM Hi]]-Table133[[#This Row],[Lowest lo from open to squeeze]])/(Table133[[#This Row],[PM Hi]]))))</f>
        <v>0.14732965009208102</v>
      </c>
      <c r="AN60" s="18">
        <f>IF(Table133[[#This Row],[Prior day close]]&lt;=Table133[[#This Row],[PM LO]],IF($J60&gt;=$F60,($J60-$K60)/($J60-Table133[[#This Row],[Prior day close]]),(IF($H60&lt;=$K60,($F60-$H60)/($F60-Table133[[#This Row],[Prior day close]]),(Table133[[#This Row],[PM Hi]]-Table133[[#This Row],[Lowest lo from open to squeeze]])/(Table133[[#This Row],[PM Hi]]-Table133[[#This Row],[Prior day close]])))),IF($J60&gt;=$F60,($J60-$K60)/($J60-Table133[[#This Row],[PM LO]]),(IF($H60&lt;=$K60,($F60-$H60)/($F60-Table133[[#This Row],[PM LO]]),(Table133[[#This Row],[PM Hi]]-Table133[[#This Row],[Lowest lo from open to squeeze]])/(Table133[[#This Row],[PM Hi]]-Table133[[#This Row],[PM LO]])))))</f>
        <v>0.37209302325581389</v>
      </c>
      <c r="AO60" s="18">
        <f>IF(J60&gt;=F60,(J60-K60)/(J60-D60),(IF(H60&lt;=K60,(F60-H60)/(F60-D60),(Table133[[#This Row],[PM Hi]]-Table133[[#This Row],[Lowest lo from open to squeeze]])/(Table133[[#This Row],[PM Hi]]-Table133[[#This Row],[Prior day close]]))))</f>
        <v>0.37209302325581389</v>
      </c>
      <c r="AP60" s="17">
        <f>390+Table133[[#This Row],[Time until ideal entry point (mins) from open]]</f>
        <v>394</v>
      </c>
      <c r="AQ60" s="51">
        <f>(Table133[[#This Row],[Time until ideal entry + 390 (6:30)]]+Table133[[#This Row],[Duration of frontside (mins)]])/1440</f>
        <v>0.35</v>
      </c>
    </row>
    <row r="61" spans="1:43" x14ac:dyDescent="0.25">
      <c r="A61" s="10" t="s">
        <v>94</v>
      </c>
      <c r="B61" s="11">
        <v>44018</v>
      </c>
      <c r="C61" s="47" t="s">
        <v>71</v>
      </c>
      <c r="D61" s="12">
        <v>3.32</v>
      </c>
      <c r="E61" s="13">
        <v>3.49</v>
      </c>
      <c r="F61" s="12">
        <v>4.34</v>
      </c>
      <c r="G61" s="12">
        <v>3.34</v>
      </c>
      <c r="H61" s="12">
        <v>3.93</v>
      </c>
      <c r="I61" s="12">
        <v>4</v>
      </c>
      <c r="J61" s="12">
        <v>4.1500000000000004</v>
      </c>
      <c r="K61" s="12">
        <v>3.9</v>
      </c>
      <c r="L61" s="12">
        <v>6</v>
      </c>
      <c r="M61" s="12">
        <v>6</v>
      </c>
      <c r="N61" s="13">
        <v>172499430</v>
      </c>
      <c r="O61" s="12">
        <v>811193813</v>
      </c>
      <c r="P61" s="13">
        <v>146.69999999999999</v>
      </c>
      <c r="Q61">
        <v>30.44</v>
      </c>
      <c r="R61" s="13">
        <v>4635766</v>
      </c>
      <c r="S61" s="13"/>
      <c r="T61" t="s">
        <v>43</v>
      </c>
      <c r="U61">
        <v>3</v>
      </c>
      <c r="V61">
        <v>4</v>
      </c>
      <c r="W61">
        <v>4.08</v>
      </c>
      <c r="X61">
        <v>13</v>
      </c>
      <c r="Y61" s="15">
        <f>Table133[[#This Row],[Time until ideal entry + 390 (6:30)]]/(1440)</f>
        <v>0.27361111111111114</v>
      </c>
      <c r="Z61" s="18">
        <f t="shared" si="4"/>
        <v>0.30722891566265065</v>
      </c>
      <c r="AA61" s="18">
        <f>IF(Table133[[#This Row],[HOD AFTER PM HI]]&gt;=Table133[[#This Row],[PM Hi]],((Table133[[#This Row],[HOD AFTER PM HI]]-Table133[[#This Row],[Prior day close]])/Table133[[#This Row],[Prior day close]]),Table133[[#This Row],[Prior Close to PM Hi %]])</f>
        <v>0.80722891566265065</v>
      </c>
      <c r="AB61" s="18">
        <f>(Table133[[#This Row],[Price at hi of squeeze]]-Table133[[#This Row],[MKT Open Price]])/Table133[[#This Row],[MKT Open Price]]</f>
        <v>0.5</v>
      </c>
      <c r="AC61" s="18">
        <f>(Table133[[#This Row],[Price at hi of squeeze]]-Table133[[#This Row],[PM Hi]])/Table133[[#This Row],[PM Hi]]</f>
        <v>0.38248847926267288</v>
      </c>
      <c r="AD61" s="18">
        <f t="shared" si="5"/>
        <v>0.53846153846153855</v>
      </c>
      <c r="AE61" s="20">
        <f>Table133[[#This Row],[PM VOL]]/1000000/Table133[[#This Row],[FLOAT(M)]]</f>
        <v>0.1522919185282523</v>
      </c>
      <c r="AF61" s="21">
        <f>(Table133[[#This Row],[Volume]]/1000000)/Table133[[#This Row],[FLOAT(M)]]</f>
        <v>5.6668669513797632</v>
      </c>
      <c r="AG61" s="18">
        <f>(Table133[[#This Row],[Hi of Spike after open before drop]]-Table133[[#This Row],[MKT Open Price]])/Table133[[#This Row],[MKT Open Price]]</f>
        <v>3.7500000000000089E-2</v>
      </c>
      <c r="AH61" s="18">
        <f>(Table133[[#This Row],[PM Hi]]-Table133[[#This Row],[MKT Open Price]])/(Table133[[#This Row],[PM Hi]])</f>
        <v>7.8341013824884759E-2</v>
      </c>
      <c r="AI61" s="16">
        <f>IF(Table133[[#This Row],[PM LO]]&gt;Table133[[#This Row],[Prior day close]],(Table133[[#This Row],[PM Hi]]-Table133[[#This Row],[MKT Open Price]])/(Table133[[#This Row],[PM Hi]]-Table133[[#This Row],[Prior day close]]),(Table133[[#This Row],[PM Hi]]-Table133[[#This Row],[MKT Open Price]])/(Table133[[#This Row],[PM Hi]]-Table133[[#This Row],[PM LO]]))</f>
        <v>0.3333333333333332</v>
      </c>
      <c r="AJ61" s="16">
        <f>IF(Table133[[#This Row],[Prior day close]]&lt;Table133[[#This Row],[PM LO]],(I61-K61)/(I61-Table133[[#This Row],[Prior day close]]),(I61-K61)/(I61-Table133[[#This Row],[PM LO]]))</f>
        <v>0.14705882352941185</v>
      </c>
      <c r="AK61" s="16">
        <f>Table133[[#This Row],[Spike % on open before drop]]+AL61</f>
        <v>6.2500000000000111E-2</v>
      </c>
      <c r="AL61" s="16">
        <f t="shared" si="3"/>
        <v>2.5000000000000022E-2</v>
      </c>
      <c r="AM61" s="18">
        <f>IF($J61&gt;=$F61,($J61-$K61)/($J61),(IF($H61&lt;=$K61,($F61-$H61)/($F61),(Table133[[#This Row],[PM Hi]]-Table133[[#This Row],[Lowest lo from open to squeeze]])/(Table133[[#This Row],[PM Hi]]))))</f>
        <v>0.10138248847926266</v>
      </c>
      <c r="AN61" s="18">
        <f>IF(Table133[[#This Row],[Prior day close]]&lt;=Table133[[#This Row],[PM LO]],IF($J61&gt;=$F61,($J61-$K61)/($J61-Table133[[#This Row],[Prior day close]]),(IF($H61&lt;=$K61,($F61-$H61)/($F61-Table133[[#This Row],[Prior day close]]),(Table133[[#This Row],[PM Hi]]-Table133[[#This Row],[Lowest lo from open to squeeze]])/(Table133[[#This Row],[PM Hi]]-Table133[[#This Row],[Prior day close]])))),IF($J61&gt;=$F61,($J61-$K61)/($J61-Table133[[#This Row],[PM LO]]),(IF($H61&lt;=$K61,($F61-$H61)/($F61-Table133[[#This Row],[PM LO]]),(Table133[[#This Row],[PM Hi]]-Table133[[#This Row],[Lowest lo from open to squeeze]])/(Table133[[#This Row],[PM Hi]]-Table133[[#This Row],[PM LO]])))))</f>
        <v>0.43137254901960781</v>
      </c>
      <c r="AO61" s="18">
        <f>IF(J61&gt;=F61,(J61-K61)/(J61-D61),(IF(H61&lt;=K61,(F61-H61)/(F61-D61),(Table133[[#This Row],[PM Hi]]-Table133[[#This Row],[Lowest lo from open to squeeze]])/(Table133[[#This Row],[PM Hi]]-Table133[[#This Row],[Prior day close]]))))</f>
        <v>0.43137254901960781</v>
      </c>
      <c r="AP61" s="17">
        <f>390+Table133[[#This Row],[Time until ideal entry point (mins) from open]]</f>
        <v>394</v>
      </c>
      <c r="AQ61" s="51">
        <f>(Table133[[#This Row],[Time until ideal entry + 390 (6:30)]]+Table133[[#This Row],[Duration of frontside (mins)]])/1440</f>
        <v>0.28263888888888888</v>
      </c>
    </row>
    <row r="62" spans="1:43" x14ac:dyDescent="0.25">
      <c r="A62" s="24" t="s">
        <v>116</v>
      </c>
      <c r="B62" s="45">
        <v>44169</v>
      </c>
      <c r="C62" s="47" t="s">
        <v>71</v>
      </c>
      <c r="D62" s="12">
        <v>3.59</v>
      </c>
      <c r="E62" s="13">
        <v>3.54</v>
      </c>
      <c r="F62" s="12">
        <v>5.27</v>
      </c>
      <c r="G62" s="12">
        <v>3.54</v>
      </c>
      <c r="H62" s="12">
        <v>4.91</v>
      </c>
      <c r="I62" s="12">
        <v>5.04</v>
      </c>
      <c r="J62" s="12">
        <v>5.4</v>
      </c>
      <c r="K62" s="12">
        <v>4.8099999999999996</v>
      </c>
      <c r="L62" s="12">
        <v>6.16</v>
      </c>
      <c r="M62" s="12">
        <v>6.06</v>
      </c>
      <c r="N62" s="13">
        <v>118051116</v>
      </c>
      <c r="O62" s="12">
        <v>492863409</v>
      </c>
      <c r="P62" s="37">
        <v>31.59</v>
      </c>
      <c r="Q62">
        <v>3</v>
      </c>
      <c r="R62" s="37">
        <v>7417196</v>
      </c>
      <c r="S62" s="37" t="s">
        <v>43</v>
      </c>
      <c r="T62" s="37" t="s">
        <v>43</v>
      </c>
      <c r="U62" s="38">
        <v>8</v>
      </c>
      <c r="V62">
        <v>8</v>
      </c>
      <c r="W62" s="39">
        <v>4.8</v>
      </c>
      <c r="X62">
        <v>20</v>
      </c>
      <c r="Y62" s="40">
        <f>Table133[[#This Row],[Time until ideal entry + 390 (6:30)]]/(1440)</f>
        <v>0.27638888888888891</v>
      </c>
      <c r="Z62" s="18">
        <f t="shared" si="4"/>
        <v>0.46796657381615592</v>
      </c>
      <c r="AA62" s="18">
        <f>IF(Table133[[#This Row],[HOD AFTER PM HI]]&gt;=Table133[[#This Row],[PM Hi]],((Table133[[#This Row],[HOD AFTER PM HI]]-Table133[[#This Row],[Prior day close]])/Table133[[#This Row],[Prior day close]]),Table133[[#This Row],[Prior Close to PM Hi %]])</f>
        <v>0.71587743732590536</v>
      </c>
      <c r="AB62" s="42">
        <f>(Table133[[#This Row],[Price at hi of squeeze]]-Table133[[#This Row],[MKT Open Price]])/Table133[[#This Row],[MKT Open Price]]</f>
        <v>0.2023809523809523</v>
      </c>
      <c r="AC62" s="18">
        <f>(Table133[[#This Row],[Price at hi of squeeze]]-Table133[[#This Row],[PM Hi]])/Table133[[#This Row],[PM Hi]]</f>
        <v>0.14990512333965847</v>
      </c>
      <c r="AD62" s="18">
        <f t="shared" si="5"/>
        <v>0.25987525987525989</v>
      </c>
      <c r="AE62" s="20">
        <f>Table133[[#This Row],[PM VOL]]/1000000/Table133[[#This Row],[FLOAT(M)]]</f>
        <v>2.4723986666666664</v>
      </c>
      <c r="AF62" s="23">
        <f>(Table133[[#This Row],[Volume]]/1000000)/Table133[[#This Row],[FLOAT(M)]]</f>
        <v>39.350372</v>
      </c>
      <c r="AH62" s="18">
        <f>(Table133[[#This Row],[PM Hi]]-Table133[[#This Row],[MKT Open Price]])/(Table133[[#This Row],[PM Hi]])</f>
        <v>4.3643263757115663E-2</v>
      </c>
      <c r="AI62" s="16">
        <f>IF(Table133[[#This Row],[PM LO]]&gt;Table133[[#This Row],[Prior day close]],(Table133[[#This Row],[PM Hi]]-Table133[[#This Row],[MKT Open Price]])/(Table133[[#This Row],[PM Hi]]-Table133[[#This Row],[Prior day close]]),(Table133[[#This Row],[PM Hi]]-Table133[[#This Row],[MKT Open Price]])/(Table133[[#This Row],[PM Hi]]-Table133[[#This Row],[PM LO]]))</f>
        <v>0.13294797687861248</v>
      </c>
      <c r="AJ62" s="18">
        <f>IF(Table133[[#This Row],[Prior day close]]&lt;Table133[[#This Row],[PM LO]],(I62-K62)/(I62-Table133[[#This Row],[Prior day close]]),(I62-K62)/(I62-Table133[[#This Row],[PM LO]]))</f>
        <v>0.15333333333333363</v>
      </c>
      <c r="AK62" s="18">
        <f>Table133[[#This Row],[Spike % on open before drop]]+AL62</f>
        <v>4.5634920634920723E-2</v>
      </c>
      <c r="AL62" s="16">
        <f t="shared" si="3"/>
        <v>4.5634920634920723E-2</v>
      </c>
      <c r="AM62" s="18">
        <f>IF($J62&gt;=$F62,($J62-$K62)/($J62),(IF($H62&lt;=$K62,($F62-$H62)/($F62),(Table133[[#This Row],[PM Hi]]-Table133[[#This Row],[Lowest lo from open to squeeze]])/(Table133[[#This Row],[PM Hi]]))))</f>
        <v>0.10925925925925939</v>
      </c>
      <c r="AN62" s="18">
        <f>IF(Table133[[#This Row],[Prior day close]]&lt;=Table133[[#This Row],[PM LO]],IF($J62&gt;=$F62,($J62-$K62)/($J62-Table133[[#This Row],[Prior day close]]),(IF($H62&lt;=$K62,($F62-$H62)/($F62-Table133[[#This Row],[Prior day close]]),(Table133[[#This Row],[PM Hi]]-Table133[[#This Row],[Lowest lo from open to squeeze]])/(Table133[[#This Row],[PM Hi]]-Table133[[#This Row],[Prior day close]])))),IF($J62&gt;=$F62,($J62-$K62)/($J62-Table133[[#This Row],[PM LO]]),(IF($H62&lt;=$K62,($F62-$H62)/($F62-Table133[[#This Row],[PM LO]]),(Table133[[#This Row],[PM Hi]]-Table133[[#This Row],[Lowest lo from open to squeeze]])/(Table133[[#This Row],[PM Hi]]-Table133[[#This Row],[PM LO]])))))</f>
        <v>0.31720430107526915</v>
      </c>
      <c r="AO62" s="18">
        <f>IF(J62&gt;=F62,(J62-K62)/(J62-D62),(IF(H62&lt;=K62,(F62-H62)/(F62-D62),(Table133[[#This Row],[PM Hi]]-Table133[[#This Row],[Lowest lo from open to squeeze]])/(Table133[[#This Row],[PM Hi]]-Table133[[#This Row],[Prior day close]]))))</f>
        <v>0.32596685082872962</v>
      </c>
      <c r="AP62" s="17">
        <f>390+Table133[[#This Row],[Time until ideal entry point (mins) from open]]</f>
        <v>398</v>
      </c>
      <c r="AQ62" s="51">
        <f>(Table133[[#This Row],[Time until ideal entry + 390 (6:30)]]+Table133[[#This Row],[Duration of frontside (mins)]])/1440</f>
        <v>0.2902777777777778</v>
      </c>
    </row>
    <row r="63" spans="1:43" x14ac:dyDescent="0.25">
      <c r="A63" s="10" t="s">
        <v>73</v>
      </c>
      <c r="B63" s="11">
        <v>43979</v>
      </c>
      <c r="C63" s="47" t="s">
        <v>71</v>
      </c>
      <c r="D63" s="12">
        <v>3.95</v>
      </c>
      <c r="E63" s="13">
        <v>4.32</v>
      </c>
      <c r="F63" s="12">
        <v>8.8800000000000008</v>
      </c>
      <c r="G63" s="12">
        <v>4.32</v>
      </c>
      <c r="H63" s="12">
        <v>8.25</v>
      </c>
      <c r="I63" s="12">
        <v>8.82</v>
      </c>
      <c r="J63" s="12">
        <v>9</v>
      </c>
      <c r="K63" s="12">
        <v>7.48</v>
      </c>
      <c r="L63" s="12">
        <v>22</v>
      </c>
      <c r="M63" s="12">
        <v>22</v>
      </c>
      <c r="N63" s="13">
        <v>83294905</v>
      </c>
      <c r="O63" s="12">
        <v>1579773917</v>
      </c>
      <c r="P63" s="13">
        <f>1.6*8</f>
        <v>12.8</v>
      </c>
      <c r="Q63">
        <v>1.59</v>
      </c>
      <c r="R63" s="13">
        <v>1535631</v>
      </c>
      <c r="S63" s="13" t="s">
        <v>43</v>
      </c>
      <c r="T63" t="s">
        <v>43</v>
      </c>
      <c r="U63">
        <v>31</v>
      </c>
      <c r="V63">
        <v>32</v>
      </c>
      <c r="W63">
        <v>7.63</v>
      </c>
      <c r="X63">
        <v>55</v>
      </c>
      <c r="Y63" s="15">
        <f>Table133[[#This Row],[Time until ideal entry + 390 (6:30)]]/(1440)</f>
        <v>0.29305555555555557</v>
      </c>
      <c r="Z63" s="18">
        <f t="shared" si="4"/>
        <v>1.2481012658227848</v>
      </c>
      <c r="AA63" s="18">
        <f>IF(Table133[[#This Row],[HOD AFTER PM HI]]&gt;=Table133[[#This Row],[PM Hi]],((Table133[[#This Row],[HOD AFTER PM HI]]-Table133[[#This Row],[Prior day close]])/Table133[[#This Row],[Prior day close]]),Table133[[#This Row],[Prior Close to PM Hi %]])</f>
        <v>4.5696202531645573</v>
      </c>
      <c r="AB63" s="18">
        <f>(Table133[[#This Row],[Price at hi of squeeze]]-Table133[[#This Row],[MKT Open Price]])/Table133[[#This Row],[MKT Open Price]]</f>
        <v>1.4943310657596371</v>
      </c>
      <c r="AC63" s="18">
        <f>(Table133[[#This Row],[Price at hi of squeeze]]-Table133[[#This Row],[PM Hi]])/Table133[[#This Row],[PM Hi]]</f>
        <v>1.4774774774774773</v>
      </c>
      <c r="AD63" s="18">
        <f t="shared" si="5"/>
        <v>1.9411764705882351</v>
      </c>
      <c r="AE63" s="20">
        <f>Table133[[#This Row],[PM VOL]]/1000000/Table133[[#This Row],[FLOAT(M)]]</f>
        <v>0.96580566037735838</v>
      </c>
      <c r="AF63" s="21">
        <f>(Table133[[#This Row],[Volume]]/1000000)/Table133[[#This Row],[FLOAT(M)]]</f>
        <v>52.386732704402512</v>
      </c>
      <c r="AG63" s="18">
        <f>(Table133[[#This Row],[Hi of Spike after open before drop]]-Table133[[#This Row],[MKT Open Price]])/Table133[[#This Row],[MKT Open Price]]</f>
        <v>2.040816326530609E-2</v>
      </c>
      <c r="AH63" s="18">
        <f>(Table133[[#This Row],[PM Hi]]-Table133[[#This Row],[MKT Open Price]])/(Table133[[#This Row],[PM Hi]])</f>
        <v>6.7567567567568118E-3</v>
      </c>
      <c r="AI63" s="16">
        <f>IF(Table133[[#This Row],[PM LO]]&gt;Table133[[#This Row],[Prior day close]],(Table133[[#This Row],[PM Hi]]-Table133[[#This Row],[MKT Open Price]])/(Table133[[#This Row],[PM Hi]]-Table133[[#This Row],[Prior day close]]),(Table133[[#This Row],[PM Hi]]-Table133[[#This Row],[MKT Open Price]])/(Table133[[#This Row],[PM Hi]]-Table133[[#This Row],[PM LO]]))</f>
        <v>1.2170385395537624E-2</v>
      </c>
      <c r="AJ63" s="16">
        <f>IF(Table133[[#This Row],[Prior day close]]&lt;Table133[[#This Row],[PM LO]],(I63-K63)/(I63-Table133[[#This Row],[Prior day close]]),(I63-K63)/(I63-Table133[[#This Row],[PM LO]]))</f>
        <v>0.27515400410677615</v>
      </c>
      <c r="AK63" s="16">
        <f>Table133[[#This Row],[Spike % on open before drop]]+AL63</f>
        <v>0.17233560090702943</v>
      </c>
      <c r="AL63" s="16">
        <f t="shared" si="3"/>
        <v>0.15192743764172334</v>
      </c>
      <c r="AM63" s="18">
        <f>IF($J63&gt;=$F63,($J63-$K63)/($J63),(IF($H63&lt;=$K63,($F63-$H63)/($F63),(Table133[[#This Row],[PM Hi]]-Table133[[#This Row],[Lowest lo from open to squeeze]])/(Table133[[#This Row],[PM Hi]]))))</f>
        <v>0.16888888888888884</v>
      </c>
      <c r="AN63" s="18">
        <f>IF(Table133[[#This Row],[Prior day close]]&lt;=Table133[[#This Row],[PM LO]],IF($J63&gt;=$F63,($J63-$K63)/($J63-Table133[[#This Row],[Prior day close]]),(IF($H63&lt;=$K63,($F63-$H63)/($F63-Table133[[#This Row],[Prior day close]]),(Table133[[#This Row],[PM Hi]]-Table133[[#This Row],[Lowest lo from open to squeeze]])/(Table133[[#This Row],[PM Hi]]-Table133[[#This Row],[Prior day close]])))),IF($J63&gt;=$F63,($J63-$K63)/($J63-Table133[[#This Row],[PM LO]]),(IF($H63&lt;=$K63,($F63-$H63)/($F63-Table133[[#This Row],[PM LO]]),(Table133[[#This Row],[PM Hi]]-Table133[[#This Row],[Lowest lo from open to squeeze]])/(Table133[[#This Row],[PM Hi]]-Table133[[#This Row],[PM LO]])))))</f>
        <v>0.30099009900990092</v>
      </c>
      <c r="AO63" s="18">
        <f>IF(J63&gt;=F63,(J63-K63)/(J63-D63),(IF(H63&lt;=K63,(F63-H63)/(F63-D63),(Table133[[#This Row],[PM Hi]]-Table133[[#This Row],[Lowest lo from open to squeeze]])/(Table133[[#This Row],[PM Hi]]-Table133[[#This Row],[Prior day close]]))))</f>
        <v>0.30099009900990092</v>
      </c>
      <c r="AP63" s="17">
        <f>390+Table133[[#This Row],[Time until ideal entry point (mins) from open]]</f>
        <v>422</v>
      </c>
      <c r="AQ63" s="51">
        <f>(Table133[[#This Row],[Time until ideal entry + 390 (6:30)]]+Table133[[#This Row],[Duration of frontside (mins)]])/1440</f>
        <v>0.33124999999999999</v>
      </c>
    </row>
    <row r="64" spans="1:43" x14ac:dyDescent="0.25">
      <c r="A64" s="24" t="s">
        <v>137</v>
      </c>
      <c r="B64" s="11">
        <v>44193</v>
      </c>
      <c r="C64" s="47" t="s">
        <v>71</v>
      </c>
      <c r="D64" s="12">
        <v>4</v>
      </c>
      <c r="E64" s="13">
        <v>3.8</v>
      </c>
      <c r="F64" s="12">
        <v>7.89</v>
      </c>
      <c r="G64" s="12">
        <v>3.27</v>
      </c>
      <c r="H64" s="12">
        <v>5.62</v>
      </c>
      <c r="I64" s="12">
        <v>6</v>
      </c>
      <c r="J64" s="12">
        <v>6.37</v>
      </c>
      <c r="K64" s="12">
        <v>5.62</v>
      </c>
      <c r="L64" s="12">
        <v>38</v>
      </c>
      <c r="M64" s="12">
        <v>38</v>
      </c>
      <c r="N64" s="13">
        <v>46701175</v>
      </c>
      <c r="O64" s="12">
        <v>493631419</v>
      </c>
      <c r="P64" s="37">
        <v>21</v>
      </c>
      <c r="Q64">
        <v>5</v>
      </c>
      <c r="R64" s="37">
        <v>3964156</v>
      </c>
      <c r="S64" s="37" t="s">
        <v>41</v>
      </c>
      <c r="T64" s="37" t="s">
        <v>43</v>
      </c>
      <c r="U64" s="38">
        <v>2</v>
      </c>
      <c r="V64">
        <v>2</v>
      </c>
      <c r="W64" s="39">
        <v>5.71</v>
      </c>
      <c r="X64">
        <v>240</v>
      </c>
      <c r="Y64" s="40">
        <f>Table133[[#This Row],[Time until ideal entry + 390 (6:30)]]/(1440)</f>
        <v>0.2722222222222222</v>
      </c>
      <c r="Z64" s="18">
        <f t="shared" si="4"/>
        <v>0.97249999999999992</v>
      </c>
      <c r="AA64" s="18">
        <f>IF(Table133[[#This Row],[HOD AFTER PM HI]]&gt;=Table133[[#This Row],[PM Hi]],((Table133[[#This Row],[HOD AFTER PM HI]]-Table133[[#This Row],[Prior day close]])/Table133[[#This Row],[Prior day close]]),Table133[[#This Row],[Prior Close to PM Hi %]])</f>
        <v>8.5</v>
      </c>
      <c r="AB64" s="42">
        <f>(Table133[[#This Row],[Price at hi of squeeze]]-Table133[[#This Row],[MKT Open Price]])/Table133[[#This Row],[MKT Open Price]]</f>
        <v>5.333333333333333</v>
      </c>
      <c r="AC64" s="18">
        <f>(Table133[[#This Row],[Price at hi of squeeze]]-Table133[[#This Row],[PM Hi]])/Table133[[#This Row],[PM Hi]]</f>
        <v>3.8162230671736377</v>
      </c>
      <c r="AD64" s="18">
        <f t="shared" si="5"/>
        <v>5.7615658362989324</v>
      </c>
      <c r="AE64" s="20">
        <f>Table133[[#This Row],[PM VOL]]/1000000/Table133[[#This Row],[FLOAT(M)]]</f>
        <v>0.79283119999999996</v>
      </c>
      <c r="AF64" s="23">
        <f>(Table133[[#This Row],[Volume]]/1000000)/Table133[[#This Row],[FLOAT(M)]]</f>
        <v>9.3402349999999998</v>
      </c>
      <c r="AH64" s="18">
        <f>(Table133[[#This Row],[PM Hi]]-Table133[[#This Row],[MKT Open Price]])/(Table133[[#This Row],[PM Hi]])</f>
        <v>0.23954372623574141</v>
      </c>
      <c r="AI64" s="16">
        <f>IF(Table133[[#This Row],[PM LO]]&gt;Table133[[#This Row],[Prior day close]],(Table133[[#This Row],[PM Hi]]-Table133[[#This Row],[MKT Open Price]])/(Table133[[#This Row],[PM Hi]]-Table133[[#This Row],[Prior day close]]),(Table133[[#This Row],[PM Hi]]-Table133[[#This Row],[MKT Open Price]])/(Table133[[#This Row],[PM Hi]]-Table133[[#This Row],[PM LO]]))</f>
        <v>0.40909090909090912</v>
      </c>
      <c r="AJ64" s="18">
        <f>IF(Table133[[#This Row],[Prior day close]]&lt;Table133[[#This Row],[PM LO]],(I64-K64)/(I64-Table133[[#This Row],[Prior day close]]),(I64-K64)/(I64-Table133[[#This Row],[PM LO]]))</f>
        <v>0.13919413919413914</v>
      </c>
      <c r="AK64" s="18">
        <f>Table133[[#This Row],[Spike % on open before drop]]+AL64</f>
        <v>6.3333333333333311E-2</v>
      </c>
      <c r="AL64" s="16">
        <f t="shared" si="3"/>
        <v>6.3333333333333311E-2</v>
      </c>
      <c r="AM64" s="18">
        <f>IF($J64&gt;=$F64,($J64-$K64)/($J64),(IF($H64&lt;=$K64,($F64-$H64)/($F64),(Table133[[#This Row],[PM Hi]]-Table133[[#This Row],[Lowest lo from open to squeeze]])/(Table133[[#This Row],[PM Hi]]))))</f>
        <v>0.2877059569074778</v>
      </c>
      <c r="AN64" s="18">
        <f>IF(Table133[[#This Row],[Prior day close]]&lt;=Table133[[#This Row],[PM LO]],IF($J64&gt;=$F64,($J64-$K64)/($J64-Table133[[#This Row],[Prior day close]]),(IF($H64&lt;=$K64,($F64-$H64)/($F64-Table133[[#This Row],[Prior day close]]),(Table133[[#This Row],[PM Hi]]-Table133[[#This Row],[Lowest lo from open to squeeze]])/(Table133[[#This Row],[PM Hi]]-Table133[[#This Row],[Prior day close]])))),IF($J64&gt;=$F64,($J64-$K64)/($J64-Table133[[#This Row],[PM LO]]),(IF($H64&lt;=$K64,($F64-$H64)/($F64-Table133[[#This Row],[PM LO]]),(Table133[[#This Row],[PM Hi]]-Table133[[#This Row],[Lowest lo from open to squeeze]])/(Table133[[#This Row],[PM Hi]]-Table133[[#This Row],[PM LO]])))))</f>
        <v>0.49134199134199136</v>
      </c>
      <c r="AO64" s="18">
        <f>IF(J64&gt;=F64,(J64-K64)/(J64-D64),(IF(H64&lt;=K64,(F64-H64)/(F64-D64),(Table133[[#This Row],[PM Hi]]-Table133[[#This Row],[Lowest lo from open to squeeze]])/(Table133[[#This Row],[PM Hi]]-Table133[[#This Row],[Prior day close]]))))</f>
        <v>0.58354755784061696</v>
      </c>
      <c r="AP64" s="17">
        <f>390+Table133[[#This Row],[Time until ideal entry point (mins) from open]]</f>
        <v>392</v>
      </c>
      <c r="AQ64" s="51">
        <f>(Table133[[#This Row],[Time until ideal entry + 390 (6:30)]]+Table133[[#This Row],[Duration of frontside (mins)]])/1440</f>
        <v>0.43888888888888888</v>
      </c>
    </row>
    <row r="65" spans="1:43" x14ac:dyDescent="0.25">
      <c r="A65" s="10" t="s">
        <v>95</v>
      </c>
      <c r="B65" s="11">
        <v>44022</v>
      </c>
      <c r="C65" s="47" t="s">
        <v>71</v>
      </c>
      <c r="D65" s="12">
        <v>4.1500000000000004</v>
      </c>
      <c r="E65" s="13">
        <v>4.1500000000000004</v>
      </c>
      <c r="F65" s="12">
        <v>9.25</v>
      </c>
      <c r="G65" s="12">
        <v>4.07</v>
      </c>
      <c r="H65" s="12">
        <v>8.07</v>
      </c>
      <c r="I65" s="12">
        <v>8</v>
      </c>
      <c r="J65" s="12">
        <v>8.23</v>
      </c>
      <c r="K65" s="12">
        <v>6.6</v>
      </c>
      <c r="L65" s="12">
        <v>15.56</v>
      </c>
      <c r="M65" s="12">
        <v>15.56</v>
      </c>
      <c r="N65" s="13">
        <v>141844070</v>
      </c>
      <c r="O65" s="12">
        <v>21276058814</v>
      </c>
      <c r="P65" s="13">
        <v>225.41</v>
      </c>
      <c r="Q65">
        <v>4.92</v>
      </c>
      <c r="R65" s="13">
        <v>12624094</v>
      </c>
      <c r="S65" s="13" t="s">
        <v>41</v>
      </c>
      <c r="T65" t="s">
        <v>43</v>
      </c>
      <c r="U65">
        <v>23</v>
      </c>
      <c r="V65">
        <v>24</v>
      </c>
      <c r="W65">
        <v>6.73</v>
      </c>
      <c r="X65">
        <v>16</v>
      </c>
      <c r="Y65" s="15">
        <f>Table133[[#This Row],[Time until ideal entry + 390 (6:30)]]/(1440)</f>
        <v>0.28749999999999998</v>
      </c>
      <c r="Z65" s="18">
        <f t="shared" si="4"/>
        <v>1.2289156626506021</v>
      </c>
      <c r="AA65" s="18">
        <f>IF(Table133[[#This Row],[HOD AFTER PM HI]]&gt;=Table133[[#This Row],[PM Hi]],((Table133[[#This Row],[HOD AFTER PM HI]]-Table133[[#This Row],[Prior day close]])/Table133[[#This Row],[Prior day close]]),Table133[[#This Row],[Prior Close to PM Hi %]])</f>
        <v>2.7493975903614456</v>
      </c>
      <c r="AB65" s="18">
        <f>(Table133[[#This Row],[Price at hi of squeeze]]-Table133[[#This Row],[MKT Open Price]])/Table133[[#This Row],[MKT Open Price]]</f>
        <v>0.94500000000000006</v>
      </c>
      <c r="AC65" s="18">
        <f>(Table133[[#This Row],[Price at hi of squeeze]]-Table133[[#This Row],[PM Hi]])/Table133[[#This Row],[PM Hi]]</f>
        <v>0.68216216216216219</v>
      </c>
      <c r="AD65" s="18">
        <f t="shared" si="5"/>
        <v>1.3575757575757579</v>
      </c>
      <c r="AE65" s="20">
        <f>Table133[[#This Row],[PM VOL]]/1000000/Table133[[#This Row],[FLOAT(M)]]</f>
        <v>2.5658727642276422</v>
      </c>
      <c r="AF65" s="21">
        <f>(Table133[[#This Row],[Volume]]/1000000)/Table133[[#This Row],[FLOAT(M)]]</f>
        <v>28.830095528455281</v>
      </c>
      <c r="AG65" s="18">
        <f>(Table133[[#This Row],[Hi of Spike after open before drop]]-Table133[[#This Row],[MKT Open Price]])/Table133[[#This Row],[MKT Open Price]]</f>
        <v>2.8750000000000053E-2</v>
      </c>
      <c r="AH65" s="18">
        <f>(Table133[[#This Row],[PM Hi]]-Table133[[#This Row],[MKT Open Price]])/(Table133[[#This Row],[PM Hi]])</f>
        <v>0.13513513513513514</v>
      </c>
      <c r="AI65" s="16">
        <f>IF(Table133[[#This Row],[PM LO]]&gt;Table133[[#This Row],[Prior day close]],(Table133[[#This Row],[PM Hi]]-Table133[[#This Row],[MKT Open Price]])/(Table133[[#This Row],[PM Hi]]-Table133[[#This Row],[Prior day close]]),(Table133[[#This Row],[PM Hi]]-Table133[[#This Row],[MKT Open Price]])/(Table133[[#This Row],[PM Hi]]-Table133[[#This Row],[PM LO]]))</f>
        <v>0.24131274131274133</v>
      </c>
      <c r="AJ65" s="16">
        <f>IF(Table133[[#This Row],[Prior day close]]&lt;Table133[[#This Row],[PM LO]],(I65-K65)/(I65-Table133[[#This Row],[Prior day close]]),(I65-K65)/(I65-Table133[[#This Row],[PM LO]]))</f>
        <v>0.35623409669211209</v>
      </c>
      <c r="AK65" s="16">
        <f>Table133[[#This Row],[Spike % on open before drop]]+AL65</f>
        <v>0.2037500000000001</v>
      </c>
      <c r="AL65" s="16">
        <f t="shared" si="3"/>
        <v>0.17500000000000004</v>
      </c>
      <c r="AM65" s="18">
        <f>IF($J65&gt;=$F65,($J65-$K65)/($J65),(IF($H65&lt;=$K65,($F65-$H65)/($F65),(Table133[[#This Row],[PM Hi]]-Table133[[#This Row],[Lowest lo from open to squeeze]])/(Table133[[#This Row],[PM Hi]]))))</f>
        <v>0.2864864864864865</v>
      </c>
      <c r="AN65" s="18">
        <f>IF(Table133[[#This Row],[Prior day close]]&lt;=Table133[[#This Row],[PM LO]],IF($J65&gt;=$F65,($J65-$K65)/($J65-Table133[[#This Row],[Prior day close]]),(IF($H65&lt;=$K65,($F65-$H65)/($F65-Table133[[#This Row],[Prior day close]]),(Table133[[#This Row],[PM Hi]]-Table133[[#This Row],[Lowest lo from open to squeeze]])/(Table133[[#This Row],[PM Hi]]-Table133[[#This Row],[Prior day close]])))),IF($J65&gt;=$F65,($J65-$K65)/($J65-Table133[[#This Row],[PM LO]]),(IF($H65&lt;=$K65,($F65-$H65)/($F65-Table133[[#This Row],[PM LO]]),(Table133[[#This Row],[PM Hi]]-Table133[[#This Row],[Lowest lo from open to squeeze]])/(Table133[[#This Row],[PM Hi]]-Table133[[#This Row],[PM LO]])))))</f>
        <v>0.51158301158301167</v>
      </c>
      <c r="AO65" s="18">
        <f>IF(J65&gt;=F65,(J65-K65)/(J65-D65),(IF(H65&lt;=K65,(F65-H65)/(F65-D65),(Table133[[#This Row],[PM Hi]]-Table133[[#This Row],[Lowest lo from open to squeeze]])/(Table133[[#This Row],[PM Hi]]-Table133[[#This Row],[Prior day close]]))))</f>
        <v>0.51960784313725505</v>
      </c>
      <c r="AP65" s="17">
        <f>390+Table133[[#This Row],[Time until ideal entry point (mins) from open]]</f>
        <v>414</v>
      </c>
      <c r="AQ65" s="51">
        <f>(Table133[[#This Row],[Time until ideal entry + 390 (6:30)]]+Table133[[#This Row],[Duration of frontside (mins)]])/1440</f>
        <v>0.2986111111111111</v>
      </c>
    </row>
    <row r="66" spans="1:43" x14ac:dyDescent="0.25">
      <c r="A66" s="24" t="s">
        <v>140</v>
      </c>
      <c r="B66" s="47">
        <v>44201</v>
      </c>
      <c r="C66" s="47" t="s">
        <v>71</v>
      </c>
      <c r="D66" s="12">
        <v>4.18</v>
      </c>
      <c r="E66" s="13">
        <v>4.1399999999999997</v>
      </c>
      <c r="F66" s="12">
        <v>6.59</v>
      </c>
      <c r="G66" s="12">
        <v>4.05</v>
      </c>
      <c r="H66" s="12">
        <v>5.26</v>
      </c>
      <c r="I66" s="12">
        <v>5.5</v>
      </c>
      <c r="J66" s="12">
        <v>5.5</v>
      </c>
      <c r="K66" s="12">
        <v>5.25</v>
      </c>
      <c r="L66" s="12">
        <v>6.74</v>
      </c>
      <c r="M66" s="12">
        <v>6.74</v>
      </c>
      <c r="N66" s="13">
        <v>18393589</v>
      </c>
      <c r="O66" s="12">
        <v>91048265</v>
      </c>
      <c r="P66" s="37">
        <v>19.850000000000001</v>
      </c>
      <c r="Q66" s="46">
        <v>4.45</v>
      </c>
      <c r="R66" s="37">
        <v>2871168</v>
      </c>
      <c r="S66" s="37" t="s">
        <v>41</v>
      </c>
      <c r="T66" s="37" t="s">
        <v>43</v>
      </c>
      <c r="U66" s="38">
        <v>2</v>
      </c>
      <c r="V66" s="46">
        <v>4</v>
      </c>
      <c r="W66" s="39">
        <v>5.4</v>
      </c>
      <c r="X66" s="46">
        <v>65</v>
      </c>
      <c r="Y66" s="40">
        <f>Table133[[#This Row],[Time until ideal entry + 390 (6:30)]]/(1440)</f>
        <v>0.27361111111111114</v>
      </c>
      <c r="Z66" s="18">
        <f t="shared" si="4"/>
        <v>0.57655502392344504</v>
      </c>
      <c r="AA66" s="18">
        <f>IF(Table133[[#This Row],[HOD AFTER PM HI]]&gt;=Table133[[#This Row],[PM Hi]],((Table133[[#This Row],[HOD AFTER PM HI]]-Table133[[#This Row],[Prior day close]])/Table133[[#This Row],[Prior day close]]),Table133[[#This Row],[Prior Close to PM Hi %]])</f>
        <v>0.61244019138756001</v>
      </c>
      <c r="AB66" s="42">
        <f>(Table133[[#This Row],[Price at hi of squeeze]]-Table133[[#This Row],[MKT Open Price]])/Table133[[#This Row],[MKT Open Price]]</f>
        <v>0.22545454545454549</v>
      </c>
      <c r="AC66" s="18">
        <f>(Table133[[#This Row],[Price at hi of squeeze]]-Table133[[#This Row],[PM Hi]])/Table133[[#This Row],[PM Hi]]</f>
        <v>2.2761760242792164E-2</v>
      </c>
      <c r="AD66" s="18"/>
      <c r="AE66" s="20">
        <f>Table133[[#This Row],[PM VOL]]/1000000/Table133[[#This Row],[FLOAT(M)]]</f>
        <v>0.64520629213483138</v>
      </c>
      <c r="AF66" s="23">
        <f>(Table133[[#This Row],[Volume]]/1000000)/Table133[[#This Row],[FLOAT(M)]]</f>
        <v>4.1333907865168538</v>
      </c>
      <c r="AH66" s="18">
        <f>(Table133[[#This Row],[PM Hi]]-Table133[[#This Row],[MKT Open Price]])/(Table133[[#This Row],[PM Hi]])</f>
        <v>0.16540212443095598</v>
      </c>
      <c r="AI66" s="16">
        <f>IF(Table133[[#This Row],[PM LO]]&gt;Table133[[#This Row],[Prior day close]],(Table133[[#This Row],[PM Hi]]-Table133[[#This Row],[MKT Open Price]])/(Table133[[#This Row],[PM Hi]]-Table133[[#This Row],[Prior day close]]),(Table133[[#This Row],[PM Hi]]-Table133[[#This Row],[MKT Open Price]])/(Table133[[#This Row],[PM Hi]]-Table133[[#This Row],[PM LO]]))</f>
        <v>0.42913385826771649</v>
      </c>
      <c r="AJ66" s="48">
        <f>IF(Table133[[#This Row],[Prior day close]]&lt;Table133[[#This Row],[PM LO]],(I66-K66)/(I66-Table133[[#This Row],[Prior day close]]),(I66-K66)/(I66-Table133[[#This Row],[PM LO]]))</f>
        <v>0.17241379310344826</v>
      </c>
      <c r="AK66" s="48">
        <f>Table133[[#This Row],[Spike % on open before drop]]+AL66</f>
        <v>4.5454545454545456E-2</v>
      </c>
      <c r="AL66" s="16">
        <f t="shared" ref="AL66:AL97" si="6">(I66-K66)/I66</f>
        <v>4.5454545454545456E-2</v>
      </c>
      <c r="AM66" s="16"/>
      <c r="AN66" s="48">
        <f>IF(Table133[[#This Row],[Prior day close]]&lt;=Table133[[#This Row],[PM LO]],IF($J66&gt;=$F66,($J66-$K66)/($J66-Table133[[#This Row],[Prior day close]]),(IF($H66&lt;=$K66,($F66-$H66)/($F66-Table133[[#This Row],[Prior day close]]),(Table133[[#This Row],[PM Hi]]-Table133[[#This Row],[Lowest lo from open to squeeze]])/(Table133[[#This Row],[PM Hi]]-Table133[[#This Row],[Prior day close]])))),IF($J66&gt;=$F66,($J66-$K66)/($J66-Table133[[#This Row],[PM LO]]),(IF($H66&lt;=$K66,($F66-$H66)/($F66-Table133[[#This Row],[PM LO]]),(Table133[[#This Row],[PM Hi]]-Table133[[#This Row],[Lowest lo from open to squeeze]])/(Table133[[#This Row],[PM Hi]]-Table133[[#This Row],[PM LO]])))))</f>
        <v>0.52755905511811019</v>
      </c>
      <c r="AO66" s="18"/>
      <c r="AP66" s="17">
        <f>390+Table133[[#This Row],[Time until ideal entry point (mins) from open]]</f>
        <v>394</v>
      </c>
      <c r="AQ66" s="51">
        <f>(Table133[[#This Row],[Time until ideal entry + 390 (6:30)]]+Table133[[#This Row],[Duration of frontside (mins)]])/1440</f>
        <v>0.31874999999999998</v>
      </c>
    </row>
    <row r="67" spans="1:43" x14ac:dyDescent="0.25">
      <c r="A67" s="24" t="s">
        <v>176</v>
      </c>
      <c r="B67" s="47">
        <v>43937</v>
      </c>
      <c r="C67" s="47" t="s">
        <v>71</v>
      </c>
      <c r="D67" s="12">
        <v>4.53</v>
      </c>
      <c r="E67" s="13">
        <f>Table133[[#This Row],[Prior day close]]</f>
        <v>4.53</v>
      </c>
      <c r="F67" s="12">
        <v>8.1300000000000008</v>
      </c>
      <c r="G67" s="12">
        <v>4.6399999999999997</v>
      </c>
      <c r="H67" s="12">
        <v>6.81</v>
      </c>
      <c r="I67" s="12">
        <v>7.85</v>
      </c>
      <c r="J67" s="12">
        <v>8.7799999999999994</v>
      </c>
      <c r="K67" s="12">
        <v>6.94</v>
      </c>
      <c r="L67" s="12">
        <v>8.7799999999999994</v>
      </c>
      <c r="M67" s="12">
        <v>8.26</v>
      </c>
      <c r="N67" s="13">
        <v>14971394</v>
      </c>
      <c r="O67" s="12">
        <v>91699788</v>
      </c>
      <c r="P67" s="37">
        <v>26</v>
      </c>
      <c r="Q67" s="46"/>
      <c r="R67" s="37">
        <v>1491555</v>
      </c>
      <c r="S67" s="37" t="s">
        <v>41</v>
      </c>
      <c r="T67" s="37" t="s">
        <v>43</v>
      </c>
      <c r="U67" s="38">
        <v>14</v>
      </c>
      <c r="V67" s="46">
        <v>14</v>
      </c>
      <c r="W67" s="37">
        <v>7.07</v>
      </c>
      <c r="X67" s="46">
        <v>7</v>
      </c>
      <c r="Y67" s="41">
        <f>Table133[[#This Row],[Time until ideal entry + 390 (6:30)]]/(1440)</f>
        <v>0.28055555555555556</v>
      </c>
      <c r="Z67" s="18">
        <f t="shared" si="4"/>
        <v>0.79470198675496695</v>
      </c>
      <c r="AA67" s="18">
        <f>IF(Table133[[#This Row],[HOD AFTER PM HI]]&gt;=Table133[[#This Row],[PM Hi]],((Table133[[#This Row],[HOD AFTER PM HI]]-Table133[[#This Row],[Prior day close]])/Table133[[#This Row],[Prior day close]]),Table133[[#This Row],[Prior Close to PM Hi %]])</f>
        <v>0.93818984547461348</v>
      </c>
      <c r="AB67" s="42">
        <f>(Table133[[#This Row],[Price at hi of squeeze]]-Table133[[#This Row],[MKT Open Price]])/Table133[[#This Row],[MKT Open Price]]</f>
        <v>5.2229299363057348E-2</v>
      </c>
      <c r="AC67" s="18">
        <f>(Table133[[#This Row],[Price at hi of squeeze]]-Table133[[#This Row],[PM Hi]])/Table133[[#This Row],[PM Hi]]</f>
        <v>1.5990159901598893E-2</v>
      </c>
      <c r="AD67" s="18"/>
      <c r="AE67" s="20" t="e">
        <f>Table133[[#This Row],[PM VOL]]/1000000/Table133[[#This Row],[FLOAT(M)]]</f>
        <v>#DIV/0!</v>
      </c>
      <c r="AF67" s="23" t="e">
        <f>(Table133[[#This Row],[Volume]]/1000000)/Table133[[#This Row],[FLOAT(M)]]</f>
        <v>#DIV/0!</v>
      </c>
      <c r="AH67" s="18">
        <f>(Table133[[#This Row],[PM Hi]]-Table133[[#This Row],[MKT Open Price]])/(Table133[[#This Row],[PM Hi]])</f>
        <v>3.4440344403444172E-2</v>
      </c>
      <c r="AI67" s="18">
        <f>IF(Table133[[#This Row],[PM LO]]&gt;Table133[[#This Row],[Prior day close]],(Table133[[#This Row],[PM Hi]]-Table133[[#This Row],[MKT Open Price]])/(Table133[[#This Row],[PM Hi]]-Table133[[#This Row],[Prior day close]]),(Table133[[#This Row],[PM Hi]]-Table133[[#This Row],[MKT Open Price]])/(Table133[[#This Row],[PM Hi]]-Table133[[#This Row],[PM LO]]))</f>
        <v>7.7777777777778084E-2</v>
      </c>
      <c r="AJ67" s="48">
        <f>IF(Table133[[#This Row],[Prior day close]]&lt;Table133[[#This Row],[PM LO]],(I67-K67)/(I67-Table133[[#This Row],[Prior day close]]),(I67-K67)/(I67-Table133[[#This Row],[PM LO]]))</f>
        <v>0.27409638554216847</v>
      </c>
      <c r="AK67" s="48">
        <f>Table133[[#This Row],[Spike % on open before drop]]+AL67</f>
        <v>0.1159235668789808</v>
      </c>
      <c r="AL67" s="16">
        <f t="shared" si="6"/>
        <v>0.1159235668789808</v>
      </c>
      <c r="AM67" s="18">
        <f>IF($J67&gt;=$F67,($J67-$K67)/($J67),(IF($H67&lt;=$K67,($F67-$H67)/($F67),(Table133[[#This Row],[PM Hi]]-Table133[[#This Row],[Lowest lo from open to squeeze]])/(Table133[[#This Row],[PM Hi]]))))</f>
        <v>0.20956719817767644</v>
      </c>
      <c r="AN67" s="48">
        <f>IF(Table133[[#This Row],[Prior day close]]&lt;=Table133[[#This Row],[PM LO]],IF($J67&gt;=$F67,($J67-$K67)/($J67-Table133[[#This Row],[Prior day close]]),(IF($H67&lt;=$K67,($F67-$H67)/($F67-Table133[[#This Row],[Prior day close]]),(Table133[[#This Row],[PM Hi]]-Table133[[#This Row],[Lowest lo from open to squeeze]])/(Table133[[#This Row],[PM Hi]]-Table133[[#This Row],[Prior day close]])))),IF($J67&gt;=$F67,($J67-$K67)/($J67-Table133[[#This Row],[PM LO]]),(IF($H67&lt;=$K67,($F67-$H67)/($F67-Table133[[#This Row],[PM LO]]),(Table133[[#This Row],[PM Hi]]-Table133[[#This Row],[Lowest lo from open to squeeze]])/(Table133[[#This Row],[PM Hi]]-Table133[[#This Row],[PM LO]])))))</f>
        <v>0.43294117647058811</v>
      </c>
      <c r="AO67" s="18">
        <f>IF(J67&gt;=F67,(J67-K67)/(J67-D67),(IF(H67&lt;=K67,(F67-H67)/(F67-D67),(Table133[[#This Row],[PM Hi]]-Table133[[#This Row],[Lowest lo from open to squeeze]])/(Table133[[#This Row],[PM Hi]]-Table133[[#This Row],[Prior day close]]))))</f>
        <v>0.43294117647058811</v>
      </c>
      <c r="AP67" s="17">
        <f>390+Table133[[#This Row],[Time until ideal entry point (mins) from open]]</f>
        <v>404</v>
      </c>
      <c r="AQ67" s="17">
        <f>Table133[[#This Row],[Time until ideal entry + 390 (6:30)]]+Table133[[#This Row],[Duration of frontside (mins)]]</f>
        <v>411</v>
      </c>
    </row>
    <row r="68" spans="1:43" x14ac:dyDescent="0.25">
      <c r="A68" s="10" t="s">
        <v>84</v>
      </c>
      <c r="B68" s="11">
        <v>43993</v>
      </c>
      <c r="C68" s="47" t="s">
        <v>71</v>
      </c>
      <c r="D68" s="12">
        <v>4.53</v>
      </c>
      <c r="E68" s="13">
        <v>4.5</v>
      </c>
      <c r="F68" s="12">
        <v>15.5</v>
      </c>
      <c r="G68" s="12">
        <v>3.03</v>
      </c>
      <c r="H68" s="12">
        <v>8.52</v>
      </c>
      <c r="I68" s="12">
        <v>11</v>
      </c>
      <c r="J68" s="12">
        <v>12.5</v>
      </c>
      <c r="K68" s="12">
        <v>7.5</v>
      </c>
      <c r="L68" s="12">
        <v>15.39</v>
      </c>
      <c r="M68" s="12">
        <v>15.39</v>
      </c>
      <c r="N68" s="13">
        <v>64708377</v>
      </c>
      <c r="O68" s="12">
        <v>445008023</v>
      </c>
      <c r="P68" s="13">
        <v>9.66</v>
      </c>
      <c r="Q68">
        <v>1.18</v>
      </c>
      <c r="R68" s="13">
        <v>4484811</v>
      </c>
      <c r="S68" s="13" t="s">
        <v>41</v>
      </c>
      <c r="T68" t="s">
        <v>43</v>
      </c>
      <c r="U68">
        <v>38</v>
      </c>
      <c r="V68">
        <v>39</v>
      </c>
      <c r="W68">
        <v>7.79</v>
      </c>
      <c r="X68">
        <v>20</v>
      </c>
      <c r="Y68" s="15">
        <f>Table133[[#This Row],[Time until ideal entry + 390 (6:30)]]/(1440)</f>
        <v>0.29791666666666666</v>
      </c>
      <c r="Z68" s="18">
        <f t="shared" si="4"/>
        <v>2.4216335540838849</v>
      </c>
      <c r="AA68" s="18">
        <f>IF(Table133[[#This Row],[HOD AFTER PM HI]]&gt;=Table133[[#This Row],[PM Hi]],((Table133[[#This Row],[HOD AFTER PM HI]]-Table133[[#This Row],[Prior day close]])/Table133[[#This Row],[Prior day close]]),Table133[[#This Row],[Prior Close to PM Hi %]])</f>
        <v>2.4216335540838849</v>
      </c>
      <c r="AB68" s="18">
        <f>(Table133[[#This Row],[Price at hi of squeeze]]-Table133[[#This Row],[MKT Open Price]])/Table133[[#This Row],[MKT Open Price]]</f>
        <v>0.39909090909090916</v>
      </c>
      <c r="AC68" s="18">
        <f>(Table133[[#This Row],[Price at hi of squeeze]]-Table133[[#This Row],[PM Hi]])/Table133[[#This Row],[PM Hi]]</f>
        <v>-7.0967741935483502E-3</v>
      </c>
      <c r="AD68" s="18">
        <f t="shared" ref="AD68:AD73" si="7">(M68-K68)/K68</f>
        <v>1.052</v>
      </c>
      <c r="AE68" s="20">
        <f>Table133[[#This Row],[PM VOL]]/1000000/Table133[[#This Row],[FLOAT(M)]]</f>
        <v>3.8006872881355931</v>
      </c>
      <c r="AF68" s="21">
        <f>(Table133[[#This Row],[Volume]]/1000000)/Table133[[#This Row],[FLOAT(M)]]</f>
        <v>54.837607627118643</v>
      </c>
      <c r="AG68" s="18">
        <f>(Table133[[#This Row],[Hi of Spike after open before drop]]-Table133[[#This Row],[MKT Open Price]])/Table133[[#This Row],[MKT Open Price]]</f>
        <v>0.13636363636363635</v>
      </c>
      <c r="AH68" s="18">
        <f>(Table133[[#This Row],[PM Hi]]-Table133[[#This Row],[MKT Open Price]])/(Table133[[#This Row],[PM Hi]])</f>
        <v>0.29032258064516131</v>
      </c>
      <c r="AI68" s="16">
        <f>IF(Table133[[#This Row],[PM LO]]&gt;Table133[[#This Row],[Prior day close]],(Table133[[#This Row],[PM Hi]]-Table133[[#This Row],[MKT Open Price]])/(Table133[[#This Row],[PM Hi]]-Table133[[#This Row],[Prior day close]]),(Table133[[#This Row],[PM Hi]]-Table133[[#This Row],[MKT Open Price]])/(Table133[[#This Row],[PM Hi]]-Table133[[#This Row],[PM LO]]))</f>
        <v>0.36086607858861264</v>
      </c>
      <c r="AJ68" s="16">
        <f>IF(Table133[[#This Row],[Prior day close]]&lt;Table133[[#This Row],[PM LO]],(I68-K68)/(I68-Table133[[#This Row],[Prior day close]]),(I68-K68)/(I68-Table133[[#This Row],[PM LO]]))</f>
        <v>0.43914680050188204</v>
      </c>
      <c r="AK68" s="16">
        <f>Table133[[#This Row],[Spike % on open before drop]]+AL68</f>
        <v>0.45454545454545453</v>
      </c>
      <c r="AL68" s="16">
        <f t="shared" si="6"/>
        <v>0.31818181818181818</v>
      </c>
      <c r="AM68" s="18">
        <f>IF($J68&gt;=$F68,($J68-$K68)/($J68),(IF($H68&lt;=$K68,($F68-$H68)/($F68),(Table133[[#This Row],[PM Hi]]-Table133[[#This Row],[Lowest lo from open to squeeze]])/(Table133[[#This Row],[PM Hi]]))))</f>
        <v>0.5161290322580645</v>
      </c>
      <c r="AN68" s="18">
        <f>IF(Table133[[#This Row],[Prior day close]]&lt;=Table133[[#This Row],[PM LO]],IF($J68&gt;=$F68,($J68-$K68)/($J68-Table133[[#This Row],[Prior day close]]),(IF($H68&lt;=$K68,($F68-$H68)/($F68-Table133[[#This Row],[Prior day close]]),(Table133[[#This Row],[PM Hi]]-Table133[[#This Row],[Lowest lo from open to squeeze]])/(Table133[[#This Row],[PM Hi]]-Table133[[#This Row],[Prior day close]])))),IF($J68&gt;=$F68,($J68-$K68)/($J68-Table133[[#This Row],[PM LO]]),(IF($H68&lt;=$K68,($F68-$H68)/($F68-Table133[[#This Row],[PM LO]]),(Table133[[#This Row],[PM Hi]]-Table133[[#This Row],[Lowest lo from open to squeeze]])/(Table133[[#This Row],[PM Hi]]-Table133[[#This Row],[PM LO]])))))</f>
        <v>0.64153969526864474</v>
      </c>
      <c r="AO68" s="18">
        <f>IF(J68&gt;=F68,(J68-K68)/(J68-D68),(IF(H68&lt;=K68,(F68-H68)/(F68-D68),(Table133[[#This Row],[PM Hi]]-Table133[[#This Row],[Lowest lo from open to squeeze]])/(Table133[[#This Row],[PM Hi]]-Table133[[#This Row],[Prior day close]]))))</f>
        <v>0.72926162260711036</v>
      </c>
      <c r="AP68" s="17">
        <f>390+Table133[[#This Row],[Time until ideal entry point (mins) from open]]</f>
        <v>429</v>
      </c>
      <c r="AQ68" s="51">
        <f>(Table133[[#This Row],[Time until ideal entry + 390 (6:30)]]+Table133[[#This Row],[Duration of frontside (mins)]])/1440</f>
        <v>0.31180555555555556</v>
      </c>
    </row>
    <row r="69" spans="1:43" x14ac:dyDescent="0.25">
      <c r="A69" s="25" t="s">
        <v>50</v>
      </c>
      <c r="B69" s="11">
        <v>43532</v>
      </c>
      <c r="C69" s="47" t="s">
        <v>71</v>
      </c>
      <c r="D69" s="12">
        <v>4.67</v>
      </c>
      <c r="E69" s="13">
        <v>4.79</v>
      </c>
      <c r="F69" s="12">
        <v>9.6999999999999993</v>
      </c>
      <c r="G69" s="12">
        <v>4.24</v>
      </c>
      <c r="H69" s="12">
        <v>8.6</v>
      </c>
      <c r="I69" s="12">
        <v>8.9</v>
      </c>
      <c r="J69" s="12">
        <v>8.9600000000000009</v>
      </c>
      <c r="K69" s="12">
        <v>6.53</v>
      </c>
      <c r="L69" s="12">
        <v>9.65</v>
      </c>
      <c r="M69" s="12">
        <v>9.65</v>
      </c>
      <c r="N69" s="13">
        <v>28558128</v>
      </c>
      <c r="O69" s="12">
        <v>122533509</v>
      </c>
      <c r="P69" s="13">
        <f>1.97*4.7</f>
        <v>9.2590000000000003</v>
      </c>
      <c r="Q69" s="13">
        <v>1.97</v>
      </c>
      <c r="R69" s="13">
        <v>2814049</v>
      </c>
      <c r="S69" s="13" t="s">
        <v>43</v>
      </c>
      <c r="T69" t="s">
        <v>43</v>
      </c>
      <c r="U69">
        <v>10</v>
      </c>
      <c r="V69">
        <v>62</v>
      </c>
      <c r="W69">
        <v>6.97</v>
      </c>
      <c r="X69">
        <v>51</v>
      </c>
      <c r="Y69" s="15">
        <f>Table133[[#This Row],[Time until ideal entry + 390 (6:30)]]/(1440)</f>
        <v>0.31388888888888888</v>
      </c>
      <c r="Z69" s="18">
        <f t="shared" si="4"/>
        <v>1.0770877944325481</v>
      </c>
      <c r="AA69" s="18">
        <f>IF(Table133[[#This Row],[HOD AFTER PM HI]]&gt;=Table133[[#This Row],[PM Hi]],((Table133[[#This Row],[HOD AFTER PM HI]]-Table133[[#This Row],[Prior day close]])/Table133[[#This Row],[Prior day close]]),Table133[[#This Row],[Prior Close to PM Hi %]])</f>
        <v>1.0770877944325481</v>
      </c>
      <c r="AB69" s="18">
        <f>(Table133[[#This Row],[Price at hi of squeeze]]-Table133[[#This Row],[MKT Open Price]])/Table133[[#This Row],[MKT Open Price]]</f>
        <v>8.4269662921348312E-2</v>
      </c>
      <c r="AC69" s="18">
        <f>(Table133[[#This Row],[Price at hi of squeeze]]-Table133[[#This Row],[PM Hi]])/Table133[[#This Row],[PM Hi]]</f>
        <v>-5.1546391752576226E-3</v>
      </c>
      <c r="AD69" s="18">
        <f t="shared" si="7"/>
        <v>0.4777947932618683</v>
      </c>
      <c r="AE69" s="20">
        <f>Table133[[#This Row],[PM VOL]]/1000000/Table133[[#This Row],[FLOAT(M)]]</f>
        <v>1.4284512690355329</v>
      </c>
      <c r="AF69" s="23">
        <f>(Table133[[#This Row],[Volume]]/1000000)/Table133[[#This Row],[FLOAT(M)]]</f>
        <v>14.496511675126904</v>
      </c>
      <c r="AG69" s="18">
        <f>(Table133[[#This Row],[Hi of Spike after open before drop]]-Table133[[#This Row],[MKT Open Price]])/Table133[[#This Row],[MKT Open Price]]</f>
        <v>6.7415730337079208E-3</v>
      </c>
      <c r="AH69" s="18">
        <f>(Table133[[#This Row],[PM Hi]]-Table133[[#This Row],[MKT Open Price]])/(Table133[[#This Row],[PM Hi]])</f>
        <v>8.2474226804123613E-2</v>
      </c>
      <c r="AI69" s="16">
        <f>IF(Table133[[#This Row],[PM LO]]&gt;Table133[[#This Row],[Prior day close]],(Table133[[#This Row],[PM Hi]]-Table133[[#This Row],[MKT Open Price]])/(Table133[[#This Row],[PM Hi]]-Table133[[#This Row],[Prior day close]]),(Table133[[#This Row],[PM Hi]]-Table133[[#This Row],[MKT Open Price]])/(Table133[[#This Row],[PM Hi]]-Table133[[#This Row],[PM LO]]))</f>
        <v>0.14652014652014636</v>
      </c>
      <c r="AJ69" s="16">
        <f>IF(Table133[[#This Row],[Prior day close]]&lt;Table133[[#This Row],[PM LO]],(I69-K69)/(I69-Table133[[#This Row],[Prior day close]]),(I69-K69)/(I69-Table133[[#This Row],[PM LO]]))</f>
        <v>0.50858369098712453</v>
      </c>
      <c r="AK69" s="16">
        <f>Table133[[#This Row],[Spike % on open before drop]]+AL69</f>
        <v>0.27303370786516862</v>
      </c>
      <c r="AL69" s="16">
        <f t="shared" si="6"/>
        <v>0.26629213483146069</v>
      </c>
      <c r="AM69" s="18">
        <f>IF($J69&gt;=$F69,($J69-$K69)/($J69-$D69),(IF($H69&lt;=$K69,($F69-$H69)/($F69-$D69),(Table133[[#This Row],[PM Hi]]-Table133[[#This Row],[Lowest lo from open to squeeze]])/(Table133[[#This Row],[PM Hi]]-Table133[[#This Row],[Prior day close]]))))</f>
        <v>0.63021868787276336</v>
      </c>
      <c r="AN69" s="18">
        <f>IF(Table133[[#This Row],[Prior day close]]&lt;=Table133[[#This Row],[PM LO]],IF($J69&gt;=$F69,($J69-$K69)/($J69-Table133[[#This Row],[Prior day close]]),(IF($H69&lt;=$K69,($F69-$H69)/($F69-Table133[[#This Row],[Prior day close]]),(Table133[[#This Row],[PM Hi]]-Table133[[#This Row],[Lowest lo from open to squeeze]])/(Table133[[#This Row],[PM Hi]]-Table133[[#This Row],[Prior day close]])))),IF($J69&gt;=$F69,($J69-$K69)/($J69-Table133[[#This Row],[PM LO]]),(IF($H69&lt;=$K69,($F69-$H69)/($F69-Table133[[#This Row],[PM LO]]),(Table133[[#This Row],[PM Hi]]-Table133[[#This Row],[Lowest lo from open to squeeze]])/(Table133[[#This Row],[PM Hi]]-Table133[[#This Row],[PM LO]])))))</f>
        <v>0.58058608058608052</v>
      </c>
      <c r="AO69" s="18">
        <f>3.14/5.02</f>
        <v>0.6254980079681276</v>
      </c>
      <c r="AP69" s="17">
        <f>390+Table133[[#This Row],[Time until ideal entry point (mins) from open]]</f>
        <v>452</v>
      </c>
      <c r="AQ69" s="51">
        <f>(Table133[[#This Row],[Time until ideal entry + 390 (6:30)]]+Table133[[#This Row],[Duration of frontside (mins)]])/1440</f>
        <v>0.34930555555555554</v>
      </c>
    </row>
    <row r="70" spans="1:43" x14ac:dyDescent="0.25">
      <c r="A70" s="10" t="s">
        <v>100</v>
      </c>
      <c r="B70" s="11">
        <v>44029</v>
      </c>
      <c r="C70" s="47" t="s">
        <v>71</v>
      </c>
      <c r="D70" s="12">
        <v>4.7300000000000004</v>
      </c>
      <c r="E70" s="13">
        <v>5.75</v>
      </c>
      <c r="F70" s="12">
        <v>10.83</v>
      </c>
      <c r="G70" s="12">
        <v>5.75</v>
      </c>
      <c r="H70" s="12">
        <v>8.7200000000000006</v>
      </c>
      <c r="I70" s="12">
        <v>9.6300000000000008</v>
      </c>
      <c r="J70" s="12">
        <v>9.98</v>
      </c>
      <c r="K70" s="12">
        <v>8</v>
      </c>
      <c r="L70" s="12">
        <v>15.71</v>
      </c>
      <c r="M70" s="12">
        <v>12.7</v>
      </c>
      <c r="N70" s="13">
        <v>95312904</v>
      </c>
      <c r="O70" s="12">
        <v>961352552</v>
      </c>
      <c r="P70" s="13">
        <v>62.98</v>
      </c>
      <c r="Q70">
        <v>5.82</v>
      </c>
      <c r="R70" s="13">
        <v>3705243</v>
      </c>
      <c r="S70" s="13"/>
      <c r="T70" t="s">
        <v>43</v>
      </c>
      <c r="U70">
        <v>24</v>
      </c>
      <c r="V70">
        <v>25</v>
      </c>
      <c r="W70">
        <v>8.14</v>
      </c>
      <c r="X70">
        <v>48</v>
      </c>
      <c r="Y70" s="15">
        <f>Table133[[#This Row],[Time until ideal entry + 390 (6:30)]]/(1440)</f>
        <v>0.28819444444444442</v>
      </c>
      <c r="Z70" s="18">
        <f t="shared" si="4"/>
        <v>1.2896405919661731</v>
      </c>
      <c r="AA70" s="18">
        <f>IF(Table133[[#This Row],[HOD AFTER PM HI]]&gt;=Table133[[#This Row],[PM Hi]],((Table133[[#This Row],[HOD AFTER PM HI]]-Table133[[#This Row],[Prior day close]])/Table133[[#This Row],[Prior day close]]),Table133[[#This Row],[Prior Close to PM Hi %]])</f>
        <v>2.3213530655391121</v>
      </c>
      <c r="AB70" s="18">
        <f>(Table133[[#This Row],[Price at hi of squeeze]]-Table133[[#This Row],[MKT Open Price]])/Table133[[#This Row],[MKT Open Price]]</f>
        <v>0.31879543094496349</v>
      </c>
      <c r="AC70" s="18">
        <f>(Table133[[#This Row],[Price at hi of squeeze]]-Table133[[#This Row],[PM Hi]])/Table133[[#This Row],[PM Hi]]</f>
        <v>0.17266851338873493</v>
      </c>
      <c r="AD70" s="18">
        <f t="shared" si="7"/>
        <v>0.58749999999999991</v>
      </c>
      <c r="AE70" s="20">
        <f>Table133[[#This Row],[PM VOL]]/1000000/Table133[[#This Row],[FLOAT(M)]]</f>
        <v>0.63663969072164939</v>
      </c>
      <c r="AF70" s="21">
        <f>(Table133[[#This Row],[Volume]]/1000000)/Table133[[#This Row],[FLOAT(M)]]</f>
        <v>16.37678762886598</v>
      </c>
      <c r="AG70" s="18">
        <f>(Table133[[#This Row],[Hi of Spike after open before drop]]-Table133[[#This Row],[MKT Open Price]])/Table133[[#This Row],[MKT Open Price]]</f>
        <v>3.6344755970924153E-2</v>
      </c>
      <c r="AH70" s="18">
        <f>(Table133[[#This Row],[PM Hi]]-Table133[[#This Row],[MKT Open Price]])/(Table133[[#This Row],[PM Hi]])</f>
        <v>0.11080332409972292</v>
      </c>
      <c r="AI70" s="16">
        <f>IF(Table133[[#This Row],[PM LO]]&gt;Table133[[#This Row],[Prior day close]],(Table133[[#This Row],[PM Hi]]-Table133[[#This Row],[MKT Open Price]])/(Table133[[#This Row],[PM Hi]]-Table133[[#This Row],[Prior day close]]),(Table133[[#This Row],[PM Hi]]-Table133[[#This Row],[MKT Open Price]])/(Table133[[#This Row],[PM Hi]]-Table133[[#This Row],[PM LO]]))</f>
        <v>0.19672131147540972</v>
      </c>
      <c r="AJ70" s="16">
        <f>IF(Table133[[#This Row],[Prior day close]]&lt;Table133[[#This Row],[PM LO]],(I70-K70)/(I70-Table133[[#This Row],[Prior day close]]),(I70-K70)/(I70-Table133[[#This Row],[PM LO]]))</f>
        <v>0.33265306122448995</v>
      </c>
      <c r="AK70" s="16">
        <f>Table133[[#This Row],[Spike % on open before drop]]+AL70</f>
        <v>0.20560747663551404</v>
      </c>
      <c r="AL70" s="16">
        <f t="shared" si="6"/>
        <v>0.16926272066458989</v>
      </c>
      <c r="AM70" s="18">
        <f>IF($J70&gt;=$F70,($J70-$K70)/($J70),(IF($H70&lt;=$K70,($F70-$H70)/($F70),(Table133[[#This Row],[PM Hi]]-Table133[[#This Row],[Lowest lo from open to squeeze]])/(Table133[[#This Row],[PM Hi]]))))</f>
        <v>0.26131117266851339</v>
      </c>
      <c r="AN70" s="18">
        <f>IF(Table133[[#This Row],[Prior day close]]&lt;=Table133[[#This Row],[PM LO]],IF($J70&gt;=$F70,($J70-$K70)/($J70-Table133[[#This Row],[Prior day close]]),(IF($H70&lt;=$K70,($F70-$H70)/($F70-Table133[[#This Row],[Prior day close]]),(Table133[[#This Row],[PM Hi]]-Table133[[#This Row],[Lowest lo from open to squeeze]])/(Table133[[#This Row],[PM Hi]]-Table133[[#This Row],[Prior day close]])))),IF($J70&gt;=$F70,($J70-$K70)/($J70-Table133[[#This Row],[PM LO]]),(IF($H70&lt;=$K70,($F70-$H70)/($F70-Table133[[#This Row],[PM LO]]),(Table133[[#This Row],[PM Hi]]-Table133[[#This Row],[Lowest lo from open to squeeze]])/(Table133[[#This Row],[PM Hi]]-Table133[[#This Row],[PM LO]])))))</f>
        <v>0.46393442622950826</v>
      </c>
      <c r="AO70" s="18">
        <f>IF(J70&gt;=F70,(J70-K70)/(J70-D70),(IF(H70&lt;=K70,(F70-H70)/(F70-D70),(Table133[[#This Row],[PM Hi]]-Table133[[#This Row],[Lowest lo from open to squeeze]])/(Table133[[#This Row],[PM Hi]]-Table133[[#This Row],[Prior day close]]))))</f>
        <v>0.46393442622950826</v>
      </c>
      <c r="AP70" s="17">
        <f>390+Table133[[#This Row],[Time until ideal entry point (mins) from open]]</f>
        <v>415</v>
      </c>
      <c r="AQ70" s="51">
        <f>(Table133[[#This Row],[Time until ideal entry + 390 (6:30)]]+Table133[[#This Row],[Duration of frontside (mins)]])/1440</f>
        <v>0.3215277777777778</v>
      </c>
    </row>
    <row r="71" spans="1:43" x14ac:dyDescent="0.25">
      <c r="A71" s="25" t="s">
        <v>56</v>
      </c>
      <c r="B71" s="11">
        <v>43839</v>
      </c>
      <c r="C71" s="47" t="s">
        <v>71</v>
      </c>
      <c r="D71" s="12">
        <v>4.9000000000000004</v>
      </c>
      <c r="E71" s="13">
        <v>4.41</v>
      </c>
      <c r="F71" s="12">
        <v>7.75</v>
      </c>
      <c r="G71" s="12">
        <v>4.41</v>
      </c>
      <c r="H71" s="12">
        <v>5.13</v>
      </c>
      <c r="I71" s="12">
        <v>6.65</v>
      </c>
      <c r="J71" s="12">
        <v>6.69</v>
      </c>
      <c r="K71" s="12">
        <v>6.2</v>
      </c>
      <c r="L71" s="12">
        <v>9.5</v>
      </c>
      <c r="M71" s="12">
        <v>7.15</v>
      </c>
      <c r="N71" s="13">
        <v>41847146</v>
      </c>
      <c r="O71" s="12">
        <v>341730596</v>
      </c>
      <c r="P71" s="13">
        <v>76</v>
      </c>
      <c r="Q71" s="13">
        <v>18.03</v>
      </c>
      <c r="R71" s="13">
        <v>2608684</v>
      </c>
      <c r="S71" s="13" t="s">
        <v>43</v>
      </c>
      <c r="T71" t="s">
        <v>43</v>
      </c>
      <c r="U71">
        <v>8</v>
      </c>
      <c r="V71">
        <v>8</v>
      </c>
      <c r="W71">
        <v>6.41</v>
      </c>
      <c r="X71">
        <v>7</v>
      </c>
      <c r="Y71" s="15">
        <f>Table133[[#This Row],[Time until ideal entry + 390 (6:30)]]/(1440)</f>
        <v>0.27638888888888891</v>
      </c>
      <c r="Z71" s="18">
        <f t="shared" ref="Z71:Z102" si="8">(F71-D71)/D71</f>
        <v>0.58163265306122436</v>
      </c>
      <c r="AA71" s="18">
        <f>IF(Table133[[#This Row],[HOD AFTER PM HI]]&gt;=Table133[[#This Row],[PM Hi]],((Table133[[#This Row],[HOD AFTER PM HI]]-Table133[[#This Row],[Prior day close]])/Table133[[#This Row],[Prior day close]]),Table133[[#This Row],[Prior Close to PM Hi %]])</f>
        <v>0.93877551020408145</v>
      </c>
      <c r="AB71" s="18">
        <f>(Table133[[#This Row],[Price at hi of squeeze]]-Table133[[#This Row],[MKT Open Price]])/Table133[[#This Row],[MKT Open Price]]</f>
        <v>7.5187969924812026E-2</v>
      </c>
      <c r="AC71" s="18">
        <f>(Table133[[#This Row],[Price at hi of squeeze]]-Table133[[#This Row],[PM Hi]])/Table133[[#This Row],[PM Hi]]</f>
        <v>-7.7419354838709625E-2</v>
      </c>
      <c r="AD71" s="18">
        <f t="shared" si="7"/>
        <v>0.15322580645161293</v>
      </c>
      <c r="AE71" s="20">
        <f>Table133[[#This Row],[PM VOL]]/1000000/Table133[[#This Row],[FLOAT(M)]]</f>
        <v>0.144685745978924</v>
      </c>
      <c r="AF71" s="23">
        <f>(Table133[[#This Row],[Volume]]/1000000)/Table133[[#This Row],[FLOAT(M)]]</f>
        <v>2.3209731558513589</v>
      </c>
      <c r="AG71" s="18">
        <f>(Table133[[#This Row],[Hi of Spike after open before drop]]-Table133[[#This Row],[MKT Open Price]])/Table133[[#This Row],[MKT Open Price]]</f>
        <v>6.0150375939849671E-3</v>
      </c>
      <c r="AH71" s="18">
        <f>(Table133[[#This Row],[PM Hi]]-Table133[[#This Row],[MKT Open Price]])/(Table133[[#This Row],[PM Hi]])</f>
        <v>0.14193548387096769</v>
      </c>
      <c r="AI71" s="16">
        <f>IF(Table133[[#This Row],[PM LO]]&gt;Table133[[#This Row],[Prior day close]],(Table133[[#This Row],[PM Hi]]-Table133[[#This Row],[MKT Open Price]])/(Table133[[#This Row],[PM Hi]]-Table133[[#This Row],[Prior day close]]),(Table133[[#This Row],[PM Hi]]-Table133[[#This Row],[MKT Open Price]])/(Table133[[#This Row],[PM Hi]]-Table133[[#This Row],[PM LO]]))</f>
        <v>0.32934131736526939</v>
      </c>
      <c r="AJ71" s="16">
        <f>IF(Table133[[#This Row],[Prior day close]]&lt;Table133[[#This Row],[PM LO]],(I71-K71)/(I71-Table133[[#This Row],[Prior day close]]),(I71-K71)/(I71-Table133[[#This Row],[PM LO]]))</f>
        <v>0.20089285714285721</v>
      </c>
      <c r="AK71" s="16">
        <f>Table133[[#This Row],[Spike % on open before drop]]+AL71</f>
        <v>7.3684210526315824E-2</v>
      </c>
      <c r="AL71" s="16">
        <f t="shared" si="6"/>
        <v>6.7669172932330851E-2</v>
      </c>
      <c r="AM71" s="18">
        <f>IF($J71&gt;=$F71,($J71-$K71)/($J71-$D71),(IF($H71&lt;=$K71,($F71-$H71)/($F71-$D71),(Table133[[#This Row],[PM Hi]]-Table133[[#This Row],[Lowest lo from open to squeeze]])/(Table133[[#This Row],[PM Hi]]-Table133[[#This Row],[Prior day close]]))))</f>
        <v>0.91929824561403528</v>
      </c>
      <c r="AN71" s="18">
        <f>IF(Table133[[#This Row],[Prior day close]]&lt;=Table133[[#This Row],[PM LO]],IF($J71&gt;=$F71,($J71-$K71)/($J71-Table133[[#This Row],[Prior day close]]),(IF($H71&lt;=$K71,($F71-$H71)/($F71-Table133[[#This Row],[Prior day close]]),(Table133[[#This Row],[PM Hi]]-Table133[[#This Row],[Lowest lo from open to squeeze]])/(Table133[[#This Row],[PM Hi]]-Table133[[#This Row],[Prior day close]])))),IF($J71&gt;=$F71,($J71-$K71)/($J71-Table133[[#This Row],[PM LO]]),(IF($H71&lt;=$K71,($F71-$H71)/($F71-Table133[[#This Row],[PM LO]]),(Table133[[#This Row],[PM Hi]]-Table133[[#This Row],[Lowest lo from open to squeeze]])/(Table133[[#This Row],[PM Hi]]-Table133[[#This Row],[PM LO]])))))</f>
        <v>0.78443113772455098</v>
      </c>
      <c r="AO71" s="18">
        <f>2.6/2.86</f>
        <v>0.90909090909090917</v>
      </c>
      <c r="AP71" s="17">
        <f>390+Table133[[#This Row],[Time until ideal entry point (mins) from open]]</f>
        <v>398</v>
      </c>
      <c r="AQ71" s="51">
        <f>(Table133[[#This Row],[Time until ideal entry + 390 (6:30)]]+Table133[[#This Row],[Duration of frontside (mins)]])/1440</f>
        <v>0.28125</v>
      </c>
    </row>
    <row r="72" spans="1:43" x14ac:dyDescent="0.25">
      <c r="A72" s="10" t="s">
        <v>68</v>
      </c>
      <c r="B72" s="11">
        <v>43948</v>
      </c>
      <c r="C72" s="47" t="s">
        <v>71</v>
      </c>
      <c r="D72" s="12">
        <v>5.15</v>
      </c>
      <c r="E72" s="13">
        <v>5.69</v>
      </c>
      <c r="F72" s="12">
        <v>8</v>
      </c>
      <c r="G72" s="12">
        <v>5.53</v>
      </c>
      <c r="H72" s="12">
        <v>6.28</v>
      </c>
      <c r="I72" s="12">
        <v>7.21</v>
      </c>
      <c r="J72" s="12">
        <v>7.55</v>
      </c>
      <c r="K72" s="12">
        <v>6.28</v>
      </c>
      <c r="L72" s="12">
        <v>10.15</v>
      </c>
      <c r="M72" s="12">
        <v>9.08</v>
      </c>
      <c r="N72" s="13">
        <v>33905783</v>
      </c>
      <c r="O72" s="12">
        <v>252314710</v>
      </c>
      <c r="P72" s="13">
        <v>13.5</v>
      </c>
      <c r="Q72" s="13">
        <v>1.92</v>
      </c>
      <c r="R72" s="13">
        <v>446041</v>
      </c>
      <c r="S72" s="13" t="s">
        <v>43</v>
      </c>
      <c r="T72" t="s">
        <v>43</v>
      </c>
      <c r="U72">
        <v>4</v>
      </c>
      <c r="V72">
        <v>5</v>
      </c>
      <c r="W72">
        <v>6.77</v>
      </c>
      <c r="X72">
        <v>49</v>
      </c>
      <c r="Y72" s="15">
        <f>Table133[[#This Row],[Time until ideal entry + 390 (6:30)]]/(1440)</f>
        <v>0.27430555555555558</v>
      </c>
      <c r="Z72" s="18">
        <f t="shared" si="8"/>
        <v>0.55339805825242705</v>
      </c>
      <c r="AA72" s="18">
        <f>IF(Table133[[#This Row],[HOD AFTER PM HI]]&gt;=Table133[[#This Row],[PM Hi]],((Table133[[#This Row],[HOD AFTER PM HI]]-Table133[[#This Row],[Prior day close]])/Table133[[#This Row],[Prior day close]]),Table133[[#This Row],[Prior Close to PM Hi %]])</f>
        <v>0.97087378640776689</v>
      </c>
      <c r="AB72" s="18">
        <f>(Table133[[#This Row],[Price at hi of squeeze]]-Table133[[#This Row],[MKT Open Price]])/Table133[[#This Row],[MKT Open Price]]</f>
        <v>0.25936199722607489</v>
      </c>
      <c r="AC72" s="18">
        <f>(Table133[[#This Row],[Price at hi of squeeze]]-Table133[[#This Row],[PM Hi]])/Table133[[#This Row],[PM Hi]]</f>
        <v>0.13500000000000001</v>
      </c>
      <c r="AD72" s="18">
        <f t="shared" si="7"/>
        <v>0.44585987261146492</v>
      </c>
      <c r="AE72" s="20">
        <f>Table133[[#This Row],[PM VOL]]/1000000/Table133[[#This Row],[FLOAT(M)]]</f>
        <v>0.23231302083333336</v>
      </c>
      <c r="AF72" s="21">
        <f>(Table133[[#This Row],[Volume]]/1000000)/Table133[[#This Row],[FLOAT(M)]]</f>
        <v>17.659261979166669</v>
      </c>
      <c r="AG72" s="18">
        <f>(Table133[[#This Row],[Hi of Spike after open before drop]]-Table133[[#This Row],[MKT Open Price]])/Table133[[#This Row],[MKT Open Price]]</f>
        <v>4.7156726768377233E-2</v>
      </c>
      <c r="AH72" s="18">
        <f>(Table133[[#This Row],[PM Hi]]-Table133[[#This Row],[MKT Open Price]])/(Table133[[#This Row],[PM Hi]])</f>
        <v>9.8750000000000004E-2</v>
      </c>
      <c r="AI72" s="16">
        <f>IF(Table133[[#This Row],[PM LO]]&gt;Table133[[#This Row],[Prior day close]],(Table133[[#This Row],[PM Hi]]-Table133[[#This Row],[MKT Open Price]])/(Table133[[#This Row],[PM Hi]]-Table133[[#This Row],[Prior day close]]),(Table133[[#This Row],[PM Hi]]-Table133[[#This Row],[MKT Open Price]])/(Table133[[#This Row],[PM Hi]]-Table133[[#This Row],[PM LO]]))</f>
        <v>0.27719298245614038</v>
      </c>
      <c r="AJ72" s="16">
        <f>IF(Table133[[#This Row],[Prior day close]]&lt;Table133[[#This Row],[PM LO]],(I72-K72)/(I72-Table133[[#This Row],[Prior day close]]),(I72-K72)/(I72-Table133[[#This Row],[PM LO]]))</f>
        <v>0.45145631067961162</v>
      </c>
      <c r="AK72" s="16">
        <f>Table133[[#This Row],[Spike % on open before drop]]+AL72</f>
        <v>0.1761442441054091</v>
      </c>
      <c r="AL72" s="16">
        <f t="shared" si="6"/>
        <v>0.12898751733703187</v>
      </c>
      <c r="AM72" s="18">
        <f>IF($J72&gt;=$F72,($J72-$K72)/($J72-$D72),(IF($H72&lt;=$K72,($F72-$H72)/($F72-$D72),(Table133[[#This Row],[PM Hi]]-Table133[[#This Row],[Lowest lo from open to squeeze]])/(Table133[[#This Row],[PM Hi]]-Table133[[#This Row],[Prior day close]]))))</f>
        <v>0.60350877192982455</v>
      </c>
      <c r="AN72" s="18">
        <f>IF(Table133[[#This Row],[Prior day close]]&lt;=Table133[[#This Row],[PM LO]],IF($J72&gt;=$F72,($J72-$K72)/($J72-Table133[[#This Row],[Prior day close]]),(IF($H72&lt;=$K72,($F72-$H72)/($F72-Table133[[#This Row],[Prior day close]]),(Table133[[#This Row],[PM Hi]]-Table133[[#This Row],[Lowest lo from open to squeeze]])/(Table133[[#This Row],[PM Hi]]-Table133[[#This Row],[Prior day close]])))),IF($J72&gt;=$F72,($J72-$K72)/($J72-Table133[[#This Row],[PM LO]]),(IF($H72&lt;=$K72,($F72-$H72)/($F72-Table133[[#This Row],[PM LO]]),(Table133[[#This Row],[PM Hi]]-Table133[[#This Row],[Lowest lo from open to squeeze]])/(Table133[[#This Row],[PM Hi]]-Table133[[#This Row],[PM LO]])))))</f>
        <v>0.60350877192982455</v>
      </c>
      <c r="AO72" s="18">
        <f>1.71/2.88</f>
        <v>0.59375</v>
      </c>
      <c r="AP72" s="17">
        <f>390+Table133[[#This Row],[Time until ideal entry point (mins) from open]]</f>
        <v>395</v>
      </c>
      <c r="AQ72" s="51">
        <f>(Table133[[#This Row],[Time until ideal entry + 390 (6:30)]]+Table133[[#This Row],[Duration of frontside (mins)]])/1440</f>
        <v>0.30833333333333335</v>
      </c>
    </row>
    <row r="73" spans="1:43" x14ac:dyDescent="0.25">
      <c r="A73" s="25" t="s">
        <v>55</v>
      </c>
      <c r="B73" s="11">
        <v>43626</v>
      </c>
      <c r="C73" s="47" t="s">
        <v>71</v>
      </c>
      <c r="D73" s="12">
        <v>5.5</v>
      </c>
      <c r="E73" s="13">
        <v>6.22</v>
      </c>
      <c r="F73" s="12">
        <v>12.9</v>
      </c>
      <c r="G73" s="12">
        <v>6.22</v>
      </c>
      <c r="H73" s="12">
        <v>10.41</v>
      </c>
      <c r="I73" s="12">
        <v>10.79</v>
      </c>
      <c r="J73" s="12">
        <v>11.22</v>
      </c>
      <c r="K73" s="12">
        <v>9.75</v>
      </c>
      <c r="L73" s="12">
        <v>22.82</v>
      </c>
      <c r="M73" s="12">
        <v>22.82</v>
      </c>
      <c r="N73" s="13">
        <v>26121380</v>
      </c>
      <c r="O73" s="12">
        <v>323502243</v>
      </c>
      <c r="P73" s="13">
        <v>163</v>
      </c>
      <c r="Q73" s="13">
        <v>24.62</v>
      </c>
      <c r="R73" s="13">
        <v>1153010</v>
      </c>
      <c r="S73" s="13" t="s">
        <v>41</v>
      </c>
      <c r="T73" t="s">
        <v>43</v>
      </c>
      <c r="U73">
        <v>4</v>
      </c>
      <c r="V73">
        <v>5</v>
      </c>
      <c r="W73">
        <v>10.23</v>
      </c>
      <c r="X73">
        <v>51</v>
      </c>
      <c r="Y73" s="15">
        <f>Table133[[#This Row],[Time until ideal entry + 390 (6:30)]]/(1440)</f>
        <v>0.27430555555555558</v>
      </c>
      <c r="Z73" s="18">
        <f t="shared" si="8"/>
        <v>1.3454545454545455</v>
      </c>
      <c r="AA73" s="18">
        <f>IF(Table133[[#This Row],[HOD AFTER PM HI]]&gt;=Table133[[#This Row],[PM Hi]],((Table133[[#This Row],[HOD AFTER PM HI]]-Table133[[#This Row],[Prior day close]])/Table133[[#This Row],[Prior day close]]),Table133[[#This Row],[Prior Close to PM Hi %]])</f>
        <v>3.1490909090909089</v>
      </c>
      <c r="AB73" s="18">
        <f>(Table133[[#This Row],[Price at hi of squeeze]]-Table133[[#This Row],[MKT Open Price]])/Table133[[#This Row],[MKT Open Price]]</f>
        <v>1.1149212233549586</v>
      </c>
      <c r="AC73" s="18">
        <f>(Table133[[#This Row],[Price at hi of squeeze]]-Table133[[#This Row],[PM Hi]])/Table133[[#This Row],[PM Hi]]</f>
        <v>0.76899224806201549</v>
      </c>
      <c r="AD73" s="18">
        <f t="shared" si="7"/>
        <v>1.3405128205128205</v>
      </c>
      <c r="AE73" s="20">
        <f>Table133[[#This Row],[PM VOL]]/1000000/Table133[[#This Row],[FLOAT(M)]]</f>
        <v>4.6832250203086921E-2</v>
      </c>
      <c r="AF73" s="21">
        <f>(Table133[[#This Row],[Volume]]/1000000)/Table133[[#This Row],[FLOAT(M)]]</f>
        <v>1.0609821283509342</v>
      </c>
      <c r="AG73" s="18">
        <f>(Table133[[#This Row],[Hi of Spike after open before drop]]-Table133[[#This Row],[MKT Open Price]])/Table133[[#This Row],[MKT Open Price]]</f>
        <v>3.985171455050987E-2</v>
      </c>
      <c r="AH73" s="18">
        <f>(Table133[[#This Row],[PM Hi]]-Table133[[#This Row],[MKT Open Price]])/(Table133[[#This Row],[PM Hi]])</f>
        <v>0.16356589147286832</v>
      </c>
      <c r="AI73" s="16">
        <f>IF(Table133[[#This Row],[PM LO]]&gt;Table133[[#This Row],[Prior day close]],(Table133[[#This Row],[PM Hi]]-Table133[[#This Row],[MKT Open Price]])/(Table133[[#This Row],[PM Hi]]-Table133[[#This Row],[Prior day close]]),(Table133[[#This Row],[PM Hi]]-Table133[[#This Row],[MKT Open Price]])/(Table133[[#This Row],[PM Hi]]-Table133[[#This Row],[PM LO]]))</f>
        <v>0.28513513513513528</v>
      </c>
      <c r="AJ73" s="16">
        <f>IF(Table133[[#This Row],[Prior day close]]&lt;Table133[[#This Row],[PM LO]],(I73-K73)/(I73-Table133[[#This Row],[Prior day close]]),(I73-K73)/(I73-Table133[[#This Row],[PM LO]]))</f>
        <v>0.19659735349716434</v>
      </c>
      <c r="AK73" s="16">
        <f>Table133[[#This Row],[Spike % on open before drop]]+AL73</f>
        <v>0.13623725671918449</v>
      </c>
      <c r="AL73" s="16">
        <f t="shared" si="6"/>
        <v>9.6385542168674621E-2</v>
      </c>
      <c r="AM73" s="18">
        <f>IF($J73&gt;=$F73,($J73-$K73)/($J73-$D73),(IF($H73&lt;=$K73,($F73-$H73)/($F73-$D73),(Table133[[#This Row],[PM Hi]]-Table133[[#This Row],[Lowest lo from open to squeeze]])/(Table133[[#This Row],[PM Hi]]-Table133[[#This Row],[Prior day close]]))))</f>
        <v>0.42567567567567571</v>
      </c>
      <c r="AN73" s="18">
        <f>IF(Table133[[#This Row],[Prior day close]]&lt;=Table133[[#This Row],[PM LO]],IF($J73&gt;=$F73,($J73-$K73)/($J73-Table133[[#This Row],[Prior day close]]),(IF($H73&lt;=$K73,($F73-$H73)/($F73-Table133[[#This Row],[Prior day close]]),(Table133[[#This Row],[PM Hi]]-Table133[[#This Row],[Lowest lo from open to squeeze]])/(Table133[[#This Row],[PM Hi]]-Table133[[#This Row],[Prior day close]])))),IF($J73&gt;=$F73,($J73-$K73)/($J73-Table133[[#This Row],[PM LO]]),(IF($H73&lt;=$K73,($F73-$H73)/($F73-Table133[[#This Row],[PM LO]]),(Table133[[#This Row],[PM Hi]]-Table133[[#This Row],[Lowest lo from open to squeeze]])/(Table133[[#This Row],[PM Hi]]-Table133[[#This Row],[PM LO]])))))</f>
        <v>0.42567567567567571</v>
      </c>
      <c r="AO73" s="18">
        <f>3.13/7.44</f>
        <v>0.42069892473118276</v>
      </c>
      <c r="AP73" s="17">
        <f>390+Table133[[#This Row],[Time until ideal entry point (mins) from open]]</f>
        <v>395</v>
      </c>
      <c r="AQ73" s="51">
        <f>(Table133[[#This Row],[Time until ideal entry + 390 (6:30)]]+Table133[[#This Row],[Duration of frontside (mins)]])/1440</f>
        <v>0.30972222222222223</v>
      </c>
    </row>
    <row r="74" spans="1:43" x14ac:dyDescent="0.25">
      <c r="A74" s="24" t="s">
        <v>171</v>
      </c>
      <c r="B74" s="47">
        <v>43901</v>
      </c>
      <c r="C74" s="47" t="s">
        <v>71</v>
      </c>
      <c r="D74" s="12">
        <v>6.18</v>
      </c>
      <c r="E74" s="13">
        <f>Table133[[#This Row],[Prior day close]]</f>
        <v>6.18</v>
      </c>
      <c r="F74" s="12">
        <v>7.37</v>
      </c>
      <c r="G74" s="12">
        <v>5.92</v>
      </c>
      <c r="H74" s="12">
        <v>6.65</v>
      </c>
      <c r="I74" s="12">
        <v>6.85</v>
      </c>
      <c r="J74" s="12">
        <v>6.95</v>
      </c>
      <c r="K74" s="12">
        <v>6.34</v>
      </c>
      <c r="L74" s="12">
        <v>8.6</v>
      </c>
      <c r="M74" s="12">
        <v>7.88</v>
      </c>
      <c r="N74" s="13">
        <v>90564336</v>
      </c>
      <c r="O74" s="12">
        <v>786551258</v>
      </c>
      <c r="P74" s="37">
        <v>998</v>
      </c>
      <c r="Q74" s="46">
        <v>96.23</v>
      </c>
      <c r="R74" s="37">
        <v>2707654</v>
      </c>
      <c r="S74" s="37" t="s">
        <v>41</v>
      </c>
      <c r="T74" s="37" t="s">
        <v>43</v>
      </c>
      <c r="U74" s="38">
        <v>2</v>
      </c>
      <c r="V74" s="46">
        <v>2</v>
      </c>
      <c r="W74" s="37">
        <v>6.65</v>
      </c>
      <c r="X74" s="46">
        <v>9</v>
      </c>
      <c r="Y74" s="41">
        <f>Table133[[#This Row],[Time until ideal entry + 390 (6:30)]]/(1440)</f>
        <v>0.2722222222222222</v>
      </c>
      <c r="Z74" s="18">
        <f t="shared" si="8"/>
        <v>0.19255663430420719</v>
      </c>
      <c r="AA74" s="18">
        <f>IF(Table133[[#This Row],[HOD AFTER PM HI]]&gt;=Table133[[#This Row],[PM Hi]],((Table133[[#This Row],[HOD AFTER PM HI]]-Table133[[#This Row],[Prior day close]])/Table133[[#This Row],[Prior day close]]),Table133[[#This Row],[Prior Close to PM Hi %]])</f>
        <v>0.39158576051779936</v>
      </c>
      <c r="AB74" s="42">
        <f>(Table133[[#This Row],[Price at hi of squeeze]]-Table133[[#This Row],[MKT Open Price]])/Table133[[#This Row],[MKT Open Price]]</f>
        <v>0.15036496350364967</v>
      </c>
      <c r="AC74" s="18">
        <f>(Table133[[#This Row],[Price at hi of squeeze]]-Table133[[#This Row],[PM Hi]])/Table133[[#This Row],[PM Hi]]</f>
        <v>6.9199457259158728E-2</v>
      </c>
      <c r="AD74" s="18"/>
      <c r="AE74" s="20">
        <f>Table133[[#This Row],[PM VOL]]/1000000/Table133[[#This Row],[FLOAT(M)]]</f>
        <v>2.813731684505871E-2</v>
      </c>
      <c r="AF74" s="23">
        <f>(Table133[[#This Row],[Volume]]/1000000)/Table133[[#This Row],[FLOAT(M)]]</f>
        <v>0.94112372441026704</v>
      </c>
      <c r="AH74" s="18">
        <f>(Table133[[#This Row],[PM Hi]]-Table133[[#This Row],[MKT Open Price]])/(Table133[[#This Row],[PM Hi]])</f>
        <v>7.0556309362279579E-2</v>
      </c>
      <c r="AI74" s="18">
        <f>IF(Table133[[#This Row],[PM LO]]&gt;Table133[[#This Row],[Prior day close]],(Table133[[#This Row],[PM Hi]]-Table133[[#This Row],[MKT Open Price]])/(Table133[[#This Row],[PM Hi]]-Table133[[#This Row],[Prior day close]]),(Table133[[#This Row],[PM Hi]]-Table133[[#This Row],[MKT Open Price]])/(Table133[[#This Row],[PM Hi]]-Table133[[#This Row],[PM LO]]))</f>
        <v>0.35862068965517269</v>
      </c>
      <c r="AJ74" s="48">
        <f>IF(Table133[[#This Row],[Prior day close]]&lt;Table133[[#This Row],[PM LO]],(I74-K74)/(I74-Table133[[#This Row],[Prior day close]]),(I74-K74)/(I74-Table133[[#This Row],[PM LO]]))</f>
        <v>0.54838709677419351</v>
      </c>
      <c r="AK74" s="48">
        <f>Table133[[#This Row],[Spike % on open before drop]]+AL74</f>
        <v>7.4452554744525515E-2</v>
      </c>
      <c r="AL74" s="16">
        <f t="shared" si="6"/>
        <v>7.4452554744525515E-2</v>
      </c>
      <c r="AM74" s="18">
        <f>IF($J74&gt;=$F74,($J74-$K74)/($J74),(IF($H74&lt;=$K74,($F74-$H74)/($F74),(Table133[[#This Row],[PM Hi]]-Table133[[#This Row],[Lowest lo from open to squeeze]])/(Table133[[#This Row],[PM Hi]]))))</f>
        <v>0.13975576662143829</v>
      </c>
      <c r="AN74" s="48">
        <f>IF(Table133[[#This Row],[Prior day close]]&lt;=Table133[[#This Row],[PM LO]],IF($J74&gt;=$F74,($J74-$K74)/($J74-Table133[[#This Row],[Prior day close]]),(IF($H74&lt;=$K74,($F74-$H74)/($F74-Table133[[#This Row],[Prior day close]]),(Table133[[#This Row],[PM Hi]]-Table133[[#This Row],[Lowest lo from open to squeeze]])/(Table133[[#This Row],[PM Hi]]-Table133[[#This Row],[Prior day close]])))),IF($J74&gt;=$F74,($J74-$K74)/($J74-Table133[[#This Row],[PM LO]]),(IF($H74&lt;=$K74,($F74-$H74)/($F74-Table133[[#This Row],[PM LO]]),(Table133[[#This Row],[PM Hi]]-Table133[[#This Row],[Lowest lo from open to squeeze]])/(Table133[[#This Row],[PM Hi]]-Table133[[#This Row],[PM LO]])))))</f>
        <v>0.71034482758620698</v>
      </c>
      <c r="AO74" s="18">
        <f>IF(J74&gt;=F74,(J74-K74)/(J74-D74),(IF(H74&lt;=K74,(F74-H74)/(F74-D74),(Table133[[#This Row],[PM Hi]]-Table133[[#This Row],[Lowest lo from open to squeeze]])/(Table133[[#This Row],[PM Hi]]-Table133[[#This Row],[Prior day close]]))))</f>
        <v>0.86554621848739488</v>
      </c>
      <c r="AP74" s="17">
        <f>390+Table133[[#This Row],[Time until ideal entry point (mins) from open]]</f>
        <v>392</v>
      </c>
      <c r="AQ74" s="17">
        <f>Table133[[#This Row],[Time until ideal entry + 390 (6:30)]]+Table133[[#This Row],[Duration of frontside (mins)]]</f>
        <v>401</v>
      </c>
    </row>
    <row r="75" spans="1:43" x14ac:dyDescent="0.25">
      <c r="A75" s="24" t="s">
        <v>163</v>
      </c>
      <c r="B75" s="47">
        <v>43874</v>
      </c>
      <c r="C75" s="47" t="s">
        <v>71</v>
      </c>
      <c r="D75" s="12">
        <v>6.2</v>
      </c>
      <c r="E75" s="13">
        <f>Table133[[#This Row],[Prior day close]]</f>
        <v>6.2</v>
      </c>
      <c r="F75" s="12">
        <v>7.7</v>
      </c>
      <c r="G75" s="12">
        <v>6.08</v>
      </c>
      <c r="H75" s="12">
        <v>6.88</v>
      </c>
      <c r="I75" s="12">
        <v>6.96</v>
      </c>
      <c r="J75" s="12">
        <v>6.96</v>
      </c>
      <c r="K75" s="12">
        <v>6.88</v>
      </c>
      <c r="L75" s="12">
        <v>9.52</v>
      </c>
      <c r="M75" s="12">
        <v>9.52</v>
      </c>
      <c r="N75" s="13">
        <v>11745721</v>
      </c>
      <c r="O75" s="12">
        <v>50736229</v>
      </c>
      <c r="P75" s="37">
        <v>32</v>
      </c>
      <c r="Q75" s="46">
        <v>3</v>
      </c>
      <c r="R75" s="37">
        <v>113820</v>
      </c>
      <c r="S75" s="37" t="s">
        <v>41</v>
      </c>
      <c r="T75" s="37" t="s">
        <v>43</v>
      </c>
      <c r="U75" s="38">
        <v>1</v>
      </c>
      <c r="V75" s="46">
        <v>1</v>
      </c>
      <c r="W75" s="37">
        <v>6.9</v>
      </c>
      <c r="X75" s="46">
        <v>32</v>
      </c>
      <c r="Y75" s="41">
        <f>Table133[[#This Row],[Time until ideal entry + 390 (6:30)]]/(1440)</f>
        <v>0.27152777777777776</v>
      </c>
      <c r="Z75" s="18">
        <f t="shared" si="8"/>
        <v>0.24193548387096772</v>
      </c>
      <c r="AA75" s="18">
        <f>IF(Table133[[#This Row],[HOD AFTER PM HI]]&gt;=Table133[[#This Row],[PM Hi]],((Table133[[#This Row],[HOD AFTER PM HI]]-Table133[[#This Row],[Prior day close]])/Table133[[#This Row],[Prior day close]]),Table133[[#This Row],[Prior Close to PM Hi %]])</f>
        <v>0.53548387096774186</v>
      </c>
      <c r="AB75" s="42">
        <f>(Table133[[#This Row],[Price at hi of squeeze]]-Table133[[#This Row],[MKT Open Price]])/Table133[[#This Row],[MKT Open Price]]</f>
        <v>0.36781609195402293</v>
      </c>
      <c r="AC75" s="18">
        <f>(Table133[[#This Row],[Price at hi of squeeze]]-Table133[[#This Row],[PM Hi]])/Table133[[#This Row],[PM Hi]]</f>
        <v>0.23636363636363628</v>
      </c>
      <c r="AD75" s="18"/>
      <c r="AE75" s="20">
        <f>Table133[[#This Row],[PM VOL]]/1000000/Table133[[#This Row],[FLOAT(M)]]</f>
        <v>3.7940000000000002E-2</v>
      </c>
      <c r="AF75" s="23">
        <f>(Table133[[#This Row],[Volume]]/1000000)/Table133[[#This Row],[FLOAT(M)]]</f>
        <v>3.9152403333333332</v>
      </c>
      <c r="AH75" s="18">
        <f>(Table133[[#This Row],[PM Hi]]-Table133[[#This Row],[MKT Open Price]])/(Table133[[#This Row],[PM Hi]])</f>
        <v>9.6103896103896136E-2</v>
      </c>
      <c r="AI75" s="18">
        <f>IF(Table133[[#This Row],[PM LO]]&gt;Table133[[#This Row],[Prior day close]],(Table133[[#This Row],[PM Hi]]-Table133[[#This Row],[MKT Open Price]])/(Table133[[#This Row],[PM Hi]]-Table133[[#This Row],[Prior day close]]),(Table133[[#This Row],[PM Hi]]-Table133[[#This Row],[MKT Open Price]])/(Table133[[#This Row],[PM Hi]]-Table133[[#This Row],[PM LO]]))</f>
        <v>0.45679012345679021</v>
      </c>
      <c r="AJ75" s="48">
        <f>IF(Table133[[#This Row],[Prior day close]]&lt;Table133[[#This Row],[PM LO]],(I75-K75)/(I75-Table133[[#This Row],[Prior day close]]),(I75-K75)/(I75-Table133[[#This Row],[PM LO]]))</f>
        <v>9.0909090909090995E-2</v>
      </c>
      <c r="AK75" s="48">
        <f>Table133[[#This Row],[Spike % on open before drop]]+AL75</f>
        <v>1.1494252873563229E-2</v>
      </c>
      <c r="AL75" s="16">
        <f t="shared" si="6"/>
        <v>1.1494252873563229E-2</v>
      </c>
      <c r="AM75" s="18">
        <f>IF($J75&gt;=$F75,($J75-$K75)/($J75),(IF($H75&lt;=$K75,($F75-$H75)/($F75),(Table133[[#This Row],[PM Hi]]-Table133[[#This Row],[Lowest lo from open to squeeze]])/(Table133[[#This Row],[PM Hi]]))))</f>
        <v>0.10649350649350653</v>
      </c>
      <c r="AN75" s="48">
        <f>IF(Table133[[#This Row],[Prior day close]]&lt;=Table133[[#This Row],[PM LO]],IF($J75&gt;=$F75,($J75-$K75)/($J75-Table133[[#This Row],[Prior day close]]),(IF($H75&lt;=$K75,($F75-$H75)/($F75-Table133[[#This Row],[Prior day close]]),(Table133[[#This Row],[PM Hi]]-Table133[[#This Row],[Lowest lo from open to squeeze]])/(Table133[[#This Row],[PM Hi]]-Table133[[#This Row],[Prior day close]])))),IF($J75&gt;=$F75,($J75-$K75)/($J75-Table133[[#This Row],[PM LO]]),(IF($H75&lt;=$K75,($F75-$H75)/($F75-Table133[[#This Row],[PM LO]]),(Table133[[#This Row],[PM Hi]]-Table133[[#This Row],[Lowest lo from open to squeeze]])/(Table133[[#This Row],[PM Hi]]-Table133[[#This Row],[PM LO]])))))</f>
        <v>0.50617283950617298</v>
      </c>
      <c r="AO75" s="18">
        <f>IF(J75&gt;=F75,(J75-K75)/(J75-D75),(IF(H75&lt;=K75,(F75-H75)/(F75-D75),(Table133[[#This Row],[PM Hi]]-Table133[[#This Row],[Lowest lo from open to squeeze]])/(Table133[[#This Row],[PM Hi]]-Table133[[#This Row],[Prior day close]]))))</f>
        <v>0.54666666666666686</v>
      </c>
      <c r="AP75" s="17">
        <f>390+Table133[[#This Row],[Time until ideal entry point (mins) from open]]</f>
        <v>391</v>
      </c>
      <c r="AQ75" s="17">
        <f>Table133[[#This Row],[Time until ideal entry + 390 (6:30)]]+Table133[[#This Row],[Duration of frontside (mins)]]</f>
        <v>423</v>
      </c>
    </row>
    <row r="76" spans="1:43" x14ac:dyDescent="0.25">
      <c r="A76" s="25" t="s">
        <v>58</v>
      </c>
      <c r="B76" s="11">
        <v>43908</v>
      </c>
      <c r="C76" s="47" t="s">
        <v>71</v>
      </c>
      <c r="D76" s="39">
        <v>7.17</v>
      </c>
      <c r="E76" s="37">
        <v>6.98</v>
      </c>
      <c r="F76" s="39">
        <v>9.99</v>
      </c>
      <c r="G76" s="39">
        <v>6.8</v>
      </c>
      <c r="H76" s="12">
        <v>9.1999999999999993</v>
      </c>
      <c r="I76" s="39">
        <v>9.4</v>
      </c>
      <c r="J76" s="12">
        <v>9.66</v>
      </c>
      <c r="K76" s="39">
        <v>8.6999999999999993</v>
      </c>
      <c r="L76" s="39">
        <v>19.489999999999998</v>
      </c>
      <c r="M76" s="12">
        <v>19.489999999999998</v>
      </c>
      <c r="N76" s="13">
        <v>48278791</v>
      </c>
      <c r="O76" s="12">
        <v>758023024</v>
      </c>
      <c r="P76" s="13">
        <v>87</v>
      </c>
      <c r="Q76" s="13">
        <v>8.1300000000000008</v>
      </c>
      <c r="R76" s="13">
        <v>1291599</v>
      </c>
      <c r="S76" s="13" t="s">
        <v>43</v>
      </c>
      <c r="T76" t="s">
        <v>41</v>
      </c>
      <c r="U76">
        <v>15</v>
      </c>
      <c r="V76">
        <v>16</v>
      </c>
      <c r="W76">
        <v>9</v>
      </c>
      <c r="X76">
        <v>54</v>
      </c>
      <c r="Y76" s="15">
        <f>Table133[[#This Row],[Time until ideal entry + 390 (6:30)]]/(1440)</f>
        <v>0.28194444444444444</v>
      </c>
      <c r="Z76" s="18">
        <f t="shared" si="8"/>
        <v>0.39330543933054396</v>
      </c>
      <c r="AA76" s="16">
        <f>IF(Table133[[#This Row],[HOD AFTER PM HI]]&gt;=Table133[[#This Row],[PM Hi]],((Table133[[#This Row],[HOD AFTER PM HI]]-Table133[[#This Row],[Prior day close]])/Table133[[#This Row],[Prior day close]]),Table133[[#This Row],[Prior Close to PM Hi %]])</f>
        <v>1.718270571827057</v>
      </c>
      <c r="AB76" s="18">
        <f>(Table133[[#This Row],[Price at hi of squeeze]]-Table133[[#This Row],[MKT Open Price]])/Table133[[#This Row],[MKT Open Price]]</f>
        <v>1.0734042553191487</v>
      </c>
      <c r="AC76" s="18">
        <f>(Table133[[#This Row],[Price at hi of squeeze]]-Table133[[#This Row],[PM Hi]])/Table133[[#This Row],[PM Hi]]</f>
        <v>0.95095095095095072</v>
      </c>
      <c r="AD76" s="18">
        <f>(M76-K76)/K76</f>
        <v>1.2402298850574713</v>
      </c>
      <c r="AE76" s="20">
        <f>Table133[[#This Row],[PM VOL]]/1000000/Table133[[#This Row],[FLOAT(M)]]</f>
        <v>0.1588682656826568</v>
      </c>
      <c r="AF76" s="21">
        <f>(Table133[[#This Row],[Volume]]/1000000)/Table133[[#This Row],[FLOAT(M)]]</f>
        <v>5.9383506765067642</v>
      </c>
      <c r="AG76" s="18">
        <f>(Table133[[#This Row],[Hi of Spike after open before drop]]-Table133[[#This Row],[MKT Open Price]])/Table133[[#This Row],[MKT Open Price]]</f>
        <v>2.7659574468085084E-2</v>
      </c>
      <c r="AH76" s="18">
        <f>(Table133[[#This Row],[PM Hi]]-Table133[[#This Row],[MKT Open Price]])/(Table133[[#This Row],[PM Hi]])</f>
        <v>5.9059059059059046E-2</v>
      </c>
      <c r="AI76" s="16">
        <f>IF(Table133[[#This Row],[PM LO]]&gt;Table133[[#This Row],[Prior day close]],(Table133[[#This Row],[PM Hi]]-Table133[[#This Row],[MKT Open Price]])/(Table133[[#This Row],[PM Hi]]-Table133[[#This Row],[Prior day close]]),(Table133[[#This Row],[PM Hi]]-Table133[[#This Row],[MKT Open Price]])/(Table133[[#This Row],[PM Hi]]-Table133[[#This Row],[PM LO]]))</f>
        <v>0.18495297805642627</v>
      </c>
      <c r="AJ76" s="16">
        <f>IF(Table133[[#This Row],[Prior day close]]&lt;Table133[[#This Row],[PM LO]],(I76-K76)/(I76-Table133[[#This Row],[Prior day close]]),(I76-K76)/(I76-Table133[[#This Row],[PM LO]]))</f>
        <v>0.26923076923076961</v>
      </c>
      <c r="AK76" s="16">
        <f>Table133[[#This Row],[Spike % on open before drop]]+AL76</f>
        <v>0.10212765957446818</v>
      </c>
      <c r="AL76" s="16">
        <f t="shared" si="6"/>
        <v>7.4468085106383086E-2</v>
      </c>
      <c r="AM76" s="18">
        <f>IF($J76&gt;=$F76,($J76-$K76)/($J76-$D76),(IF($H76&lt;=$K76,($F76-$H76)/($F76-$D76),(Table133[[#This Row],[PM Hi]]-Table133[[#This Row],[Lowest lo from open to squeeze]])/(Table133[[#This Row],[PM Hi]]-Table133[[#This Row],[Prior day close]]))))</f>
        <v>0.45744680851063857</v>
      </c>
      <c r="AN76" s="18">
        <f>IF(Table133[[#This Row],[Prior day close]]&lt;=Table133[[#This Row],[PM LO]],IF($J76&gt;=$F76,($J76-$K76)/($J76-Table133[[#This Row],[Prior day close]]),(IF($H76&lt;=$K76,($F76-$H76)/($F76-Table133[[#This Row],[Prior day close]]),(Table133[[#This Row],[PM Hi]]-Table133[[#This Row],[Lowest lo from open to squeeze]])/(Table133[[#This Row],[PM Hi]]-Table133[[#This Row],[Prior day close]])))),IF($J76&gt;=$F76,($J76-$K76)/($J76-Table133[[#This Row],[PM LO]]),(IF($H76&lt;=$K76,($F76-$H76)/($F76-Table133[[#This Row],[PM LO]]),(Table133[[#This Row],[PM Hi]]-Table133[[#This Row],[Lowest lo from open to squeeze]])/(Table133[[#This Row],[PM Hi]]-Table133[[#This Row],[PM LO]])))))</f>
        <v>0.40438871473354254</v>
      </c>
      <c r="AO76" s="18">
        <f>1.28/2.81</f>
        <v>0.45551601423487542</v>
      </c>
      <c r="AP76" s="17">
        <f>390+Table133[[#This Row],[Time until ideal entry point (mins) from open]]</f>
        <v>406</v>
      </c>
      <c r="AQ76" s="51">
        <f>(Table133[[#This Row],[Time until ideal entry + 390 (6:30)]]+Table133[[#This Row],[Duration of frontside (mins)]])/1440</f>
        <v>0.31944444444444442</v>
      </c>
    </row>
    <row r="77" spans="1:43" x14ac:dyDescent="0.25">
      <c r="A77" s="24" t="s">
        <v>185</v>
      </c>
      <c r="B77" s="47">
        <v>43963</v>
      </c>
      <c r="C77" s="47" t="s">
        <v>71</v>
      </c>
      <c r="D77" s="12">
        <v>7.25</v>
      </c>
      <c r="E77" s="13">
        <f>Table133[[#This Row],[Prior day close]]</f>
        <v>7.25</v>
      </c>
      <c r="F77" s="12">
        <v>10.25</v>
      </c>
      <c r="G77" s="12">
        <v>7.29</v>
      </c>
      <c r="H77" s="12">
        <v>9.11</v>
      </c>
      <c r="I77" s="12">
        <v>9.65</v>
      </c>
      <c r="J77" s="12">
        <v>9.9</v>
      </c>
      <c r="K77" s="12">
        <v>9.0500000000000007</v>
      </c>
      <c r="L77" s="12">
        <v>10.6</v>
      </c>
      <c r="M77" s="12">
        <v>10.6</v>
      </c>
      <c r="N77" s="13">
        <v>12375504</v>
      </c>
      <c r="O77" s="12">
        <v>112617086</v>
      </c>
      <c r="P77" s="37">
        <v>53</v>
      </c>
      <c r="Q77" s="46"/>
      <c r="R77" s="37">
        <v>942006</v>
      </c>
      <c r="S77" s="37" t="s">
        <v>41</v>
      </c>
      <c r="T77" s="37" t="s">
        <v>43</v>
      </c>
      <c r="U77" s="38">
        <v>5</v>
      </c>
      <c r="V77" s="46">
        <v>5</v>
      </c>
      <c r="W77" s="37">
        <v>9.08</v>
      </c>
      <c r="X77" s="46">
        <v>8</v>
      </c>
      <c r="Y77" s="41">
        <f>Table133[[#This Row],[Time until ideal entry + 390 (6:30)]]/(1440)</f>
        <v>0.27430555555555558</v>
      </c>
      <c r="Z77" s="18">
        <f t="shared" si="8"/>
        <v>0.41379310344827586</v>
      </c>
      <c r="AA77" s="18">
        <f>IF(Table133[[#This Row],[HOD AFTER PM HI]]&gt;=Table133[[#This Row],[PM Hi]],((Table133[[#This Row],[HOD AFTER PM HI]]-Table133[[#This Row],[Prior day close]])/Table133[[#This Row],[Prior day close]]),Table133[[#This Row],[Prior Close to PM Hi %]])</f>
        <v>0.4620689655172413</v>
      </c>
      <c r="AB77" s="42">
        <f>(Table133[[#This Row],[Price at hi of squeeze]]-Table133[[#This Row],[MKT Open Price]])/Table133[[#This Row],[MKT Open Price]]</f>
        <v>9.8445595854922199E-2</v>
      </c>
      <c r="AC77" s="18">
        <f>(Table133[[#This Row],[Price at hi of squeeze]]-Table133[[#This Row],[PM Hi]])/Table133[[#This Row],[PM Hi]]</f>
        <v>3.4146341463414602E-2</v>
      </c>
      <c r="AD77" s="18"/>
      <c r="AE77" s="20" t="e">
        <f>Table133[[#This Row],[PM VOL]]/1000000/Table133[[#This Row],[FLOAT(M)]]</f>
        <v>#DIV/0!</v>
      </c>
      <c r="AF77" s="23" t="e">
        <f>(Table133[[#This Row],[Volume]]/1000000)/Table133[[#This Row],[FLOAT(M)]]</f>
        <v>#DIV/0!</v>
      </c>
      <c r="AH77" s="18">
        <f>(Table133[[#This Row],[PM Hi]]-Table133[[#This Row],[MKT Open Price]])/(Table133[[#This Row],[PM Hi]])</f>
        <v>5.8536585365853627E-2</v>
      </c>
      <c r="AI77" s="18">
        <f>IF(Table133[[#This Row],[PM LO]]&gt;Table133[[#This Row],[Prior day close]],(Table133[[#This Row],[PM Hi]]-Table133[[#This Row],[MKT Open Price]])/(Table133[[#This Row],[PM Hi]]-Table133[[#This Row],[Prior day close]]),(Table133[[#This Row],[PM Hi]]-Table133[[#This Row],[MKT Open Price]])/(Table133[[#This Row],[PM Hi]]-Table133[[#This Row],[PM LO]]))</f>
        <v>0.19999999999999987</v>
      </c>
      <c r="AJ77" s="48">
        <f>IF(Table133[[#This Row],[Prior day close]]&lt;Table133[[#This Row],[PM LO]],(I77-K77)/(I77-Table133[[#This Row],[Prior day close]]),(I77-K77)/(I77-Table133[[#This Row],[PM LO]]))</f>
        <v>0.24999999999999981</v>
      </c>
      <c r="AK77" s="48">
        <f>Table133[[#This Row],[Spike % on open before drop]]+AL77</f>
        <v>6.2176165803108772E-2</v>
      </c>
      <c r="AL77" s="16">
        <f t="shared" si="6"/>
        <v>6.2176165803108772E-2</v>
      </c>
      <c r="AM77" s="18">
        <f>IF($J77&gt;=$F77,($J77-$K77)/($J77),(IF($H77&lt;=$K77,($F77-$H77)/($F77),(Table133[[#This Row],[PM Hi]]-Table133[[#This Row],[Lowest lo from open to squeeze]])/(Table133[[#This Row],[PM Hi]]))))</f>
        <v>0.11707317073170725</v>
      </c>
      <c r="AN77" s="48">
        <f>IF(Table133[[#This Row],[Prior day close]]&lt;=Table133[[#This Row],[PM LO]],IF($J77&gt;=$F77,($J77-$K77)/($J77-Table133[[#This Row],[Prior day close]]),(IF($H77&lt;=$K77,($F77-$H77)/($F77-Table133[[#This Row],[Prior day close]]),(Table133[[#This Row],[PM Hi]]-Table133[[#This Row],[Lowest lo from open to squeeze]])/(Table133[[#This Row],[PM Hi]]-Table133[[#This Row],[Prior day close]])))),IF($J77&gt;=$F77,($J77-$K77)/($J77-Table133[[#This Row],[PM LO]]),(IF($H77&lt;=$K77,($F77-$H77)/($F77-Table133[[#This Row],[PM LO]]),(Table133[[#This Row],[PM Hi]]-Table133[[#This Row],[Lowest lo from open to squeeze]])/(Table133[[#This Row],[PM Hi]]-Table133[[#This Row],[PM LO]])))))</f>
        <v>0.39999999999999974</v>
      </c>
      <c r="AO77" s="18">
        <f>IF(J77&gt;=F77,(J77-K77)/(J77-D77),(IF(H77&lt;=K77,(F77-H77)/(F77-D77),(Table133[[#This Row],[PM Hi]]-Table133[[#This Row],[Lowest lo from open to squeeze]])/(Table133[[#This Row],[PM Hi]]-Table133[[#This Row],[Prior day close]]))))</f>
        <v>0.39999999999999974</v>
      </c>
      <c r="AP77" s="17">
        <f>390+Table133[[#This Row],[Time until ideal entry point (mins) from open]]</f>
        <v>395</v>
      </c>
      <c r="AQ77" s="17">
        <f>Table133[[#This Row],[Time until ideal entry + 390 (6:30)]]+Table133[[#This Row],[Duration of frontside (mins)]]</f>
        <v>403</v>
      </c>
    </row>
    <row r="78" spans="1:43" x14ac:dyDescent="0.25">
      <c r="A78" s="24" t="s">
        <v>77</v>
      </c>
      <c r="B78" s="11">
        <v>44092</v>
      </c>
      <c r="C78" s="47" t="s">
        <v>71</v>
      </c>
      <c r="D78" s="12">
        <v>8.33</v>
      </c>
      <c r="E78" s="13">
        <v>8.44</v>
      </c>
      <c r="F78" s="12">
        <v>9.4</v>
      </c>
      <c r="G78" s="12">
        <v>7.86</v>
      </c>
      <c r="H78" s="12">
        <v>8.51</v>
      </c>
      <c r="I78" s="12">
        <v>8.75</v>
      </c>
      <c r="J78" s="12">
        <v>9.0399999999999991</v>
      </c>
      <c r="K78" s="12">
        <v>8.4</v>
      </c>
      <c r="L78" s="12">
        <v>10.45</v>
      </c>
      <c r="M78" s="12">
        <v>10.130000000000001</v>
      </c>
      <c r="N78" s="13">
        <v>107523863</v>
      </c>
      <c r="O78" s="12">
        <v>1051583380</v>
      </c>
      <c r="P78" s="37">
        <v>166.97</v>
      </c>
      <c r="Q78">
        <v>22.32</v>
      </c>
      <c r="R78" s="13">
        <v>4490615</v>
      </c>
      <c r="S78" s="13" t="s">
        <v>43</v>
      </c>
      <c r="T78" t="s">
        <v>41</v>
      </c>
      <c r="U78" s="17">
        <v>11</v>
      </c>
      <c r="V78">
        <v>12</v>
      </c>
      <c r="W78">
        <v>8.5500000000000007</v>
      </c>
      <c r="X78">
        <v>73</v>
      </c>
      <c r="Y78" s="15">
        <f>Table133[[#This Row],[Time until ideal entry + 390 (6:30)]]/(1440)</f>
        <v>0.27916666666666667</v>
      </c>
      <c r="Z78" s="18">
        <f t="shared" si="8"/>
        <v>0.12845138055222091</v>
      </c>
      <c r="AA78" s="18">
        <f>IF(Table133[[#This Row],[HOD AFTER PM HI]]&gt;=Table133[[#This Row],[PM Hi]],((Table133[[#This Row],[HOD AFTER PM HI]]-Table133[[#This Row],[Prior day close]])/Table133[[#This Row],[Prior day close]]),Table133[[#This Row],[Prior Close to PM Hi %]])</f>
        <v>0.254501800720288</v>
      </c>
      <c r="AB78" s="18">
        <f>(Table133[[#This Row],[Price at hi of squeeze]]-Table133[[#This Row],[MKT Open Price]])/Table133[[#This Row],[MKT Open Price]]</f>
        <v>0.15771428571428581</v>
      </c>
      <c r="AC78" s="18">
        <f>(Table133[[#This Row],[Price at hi of squeeze]]-Table133[[#This Row],[PM Hi]])/Table133[[#This Row],[PM Hi]]</f>
        <v>7.7659574468085149E-2</v>
      </c>
      <c r="AD78" s="18">
        <f>(M78-K78)/K78</f>
        <v>0.205952380952381</v>
      </c>
      <c r="AE78" s="20">
        <f>Table133[[#This Row],[PM VOL]]/1000000/Table133[[#This Row],[FLOAT(M)]]</f>
        <v>0.20119242831541218</v>
      </c>
      <c r="AF78" s="23">
        <f>(Table133[[#This Row],[Volume]]/1000000)/Table133[[#This Row],[FLOAT(M)]]</f>
        <v>4.8173773745519712</v>
      </c>
      <c r="AG78" s="18">
        <f>(Table133[[#This Row],[Hi of Spike after open before drop]]-Table133[[#This Row],[MKT Open Price]])/Table133[[#This Row],[MKT Open Price]]</f>
        <v>3.3142857142857043E-2</v>
      </c>
      <c r="AH78" s="18">
        <f>(Table133[[#This Row],[PM Hi]]-Table133[[#This Row],[MKT Open Price]])/(Table133[[#This Row],[PM Hi]])</f>
        <v>6.9148936170212796E-2</v>
      </c>
      <c r="AI78" s="16">
        <f>IF(Table133[[#This Row],[PM LO]]&gt;Table133[[#This Row],[Prior day close]],(Table133[[#This Row],[PM Hi]]-Table133[[#This Row],[MKT Open Price]])/(Table133[[#This Row],[PM Hi]]-Table133[[#This Row],[Prior day close]]),(Table133[[#This Row],[PM Hi]]-Table133[[#This Row],[MKT Open Price]])/(Table133[[#This Row],[PM Hi]]-Table133[[#This Row],[PM LO]]))</f>
        <v>0.42207792207792227</v>
      </c>
      <c r="AJ78" s="18">
        <f>IF(Table133[[#This Row],[Prior day close]]&lt;Table133[[#This Row],[PM LO]],(I78-K78)/(I78-Table133[[#This Row],[Prior day close]]),(I78-K78)/(I78-Table133[[#This Row],[PM LO]]))</f>
        <v>0.39325842696629187</v>
      </c>
      <c r="AK78" s="18">
        <f>Table133[[#This Row],[Spike % on open before drop]]+AL78</f>
        <v>7.314285714285701E-2</v>
      </c>
      <c r="AL78" s="16">
        <f t="shared" si="6"/>
        <v>3.9999999999999959E-2</v>
      </c>
      <c r="AM78" s="18">
        <f>IF($J78&gt;=$F78,($J78-$K78)/($J78),(IF($H78&lt;=$K78,($F78-$H78)/($F78),(Table133[[#This Row],[PM Hi]]-Table133[[#This Row],[Lowest lo from open to squeeze]])/(Table133[[#This Row],[PM Hi]]))))</f>
        <v>0.10638297872340426</v>
      </c>
      <c r="AN78" s="18">
        <f>IF(Table133[[#This Row],[Prior day close]]&lt;=Table133[[#This Row],[PM LO]],IF($J78&gt;=$F78,($J78-$K78)/($J78-Table133[[#This Row],[Prior day close]]),(IF($H78&lt;=$K78,($F78-$H78)/($F78-Table133[[#This Row],[Prior day close]]),(Table133[[#This Row],[PM Hi]]-Table133[[#This Row],[Lowest lo from open to squeeze]])/(Table133[[#This Row],[PM Hi]]-Table133[[#This Row],[Prior day close]])))),IF($J78&gt;=$F78,($J78-$K78)/($J78-Table133[[#This Row],[PM LO]]),(IF($H78&lt;=$K78,($F78-$H78)/($F78-Table133[[#This Row],[PM LO]]),(Table133[[#This Row],[PM Hi]]-Table133[[#This Row],[Lowest lo from open to squeeze]])/(Table133[[#This Row],[PM Hi]]-Table133[[#This Row],[PM LO]])))))</f>
        <v>0.64935064935064934</v>
      </c>
      <c r="AO78" s="18">
        <f>IF(J78&gt;=F78,(J78-K78)/(J78-D78),(IF(H78&lt;=K78,(F78-H78)/(F78-D78),(Table133[[#This Row],[PM Hi]]-Table133[[#This Row],[Lowest lo from open to squeeze]])/(Table133[[#This Row],[PM Hi]]-Table133[[#This Row],[Prior day close]]))))</f>
        <v>0.93457943925233622</v>
      </c>
      <c r="AP78" s="17">
        <f>390+Table133[[#This Row],[Time until ideal entry point (mins) from open]]</f>
        <v>402</v>
      </c>
      <c r="AQ78" s="51">
        <f>(Table133[[#This Row],[Time until ideal entry + 390 (6:30)]]+Table133[[#This Row],[Duration of frontside (mins)]])/1440</f>
        <v>0.3298611111111111</v>
      </c>
    </row>
    <row r="79" spans="1:43" x14ac:dyDescent="0.25">
      <c r="A79" s="10" t="s">
        <v>90</v>
      </c>
      <c r="B79" s="11">
        <v>44011</v>
      </c>
      <c r="C79" s="47" t="s">
        <v>71</v>
      </c>
      <c r="D79" s="12">
        <v>9.9499999999999993</v>
      </c>
      <c r="E79" s="13">
        <v>10.220000000000001</v>
      </c>
      <c r="F79" s="12">
        <v>12.6</v>
      </c>
      <c r="G79" s="12">
        <v>10.220000000000001</v>
      </c>
      <c r="H79" s="12">
        <v>11.5</v>
      </c>
      <c r="I79" s="12">
        <v>12.2</v>
      </c>
      <c r="J79" s="12">
        <v>12.4</v>
      </c>
      <c r="K79" s="12">
        <v>11</v>
      </c>
      <c r="L79" s="12">
        <v>15.41</v>
      </c>
      <c r="M79" s="12">
        <v>15.2</v>
      </c>
      <c r="N79" s="13">
        <v>126119302</v>
      </c>
      <c r="O79" s="12">
        <v>1745688832</v>
      </c>
      <c r="P79" s="13">
        <v>559.29</v>
      </c>
      <c r="Q79">
        <v>55.45</v>
      </c>
      <c r="R79" s="13">
        <v>2996888</v>
      </c>
      <c r="S79" s="13"/>
      <c r="T79" t="s">
        <v>43</v>
      </c>
      <c r="U79">
        <v>2</v>
      </c>
      <c r="V79">
        <v>3</v>
      </c>
      <c r="W79">
        <v>11.58</v>
      </c>
      <c r="X79">
        <v>94</v>
      </c>
      <c r="Y79" s="15">
        <f>Table133[[#This Row],[Time until ideal entry + 390 (6:30)]]/(1440)</f>
        <v>0.27291666666666664</v>
      </c>
      <c r="Z79" s="18">
        <f t="shared" si="8"/>
        <v>0.26633165829145733</v>
      </c>
      <c r="AA79" s="18">
        <f>IF(Table133[[#This Row],[HOD AFTER PM HI]]&gt;=Table133[[#This Row],[PM Hi]],((Table133[[#This Row],[HOD AFTER PM HI]]-Table133[[#This Row],[Prior day close]])/Table133[[#This Row],[Prior day close]]),Table133[[#This Row],[Prior Close to PM Hi %]])</f>
        <v>0.548743718592965</v>
      </c>
      <c r="AB79" s="18">
        <f>(Table133[[#This Row],[Price at hi of squeeze]]-Table133[[#This Row],[MKT Open Price]])/Table133[[#This Row],[MKT Open Price]]</f>
        <v>0.24590163934426232</v>
      </c>
      <c r="AC79" s="18">
        <f>(Table133[[#This Row],[Price at hi of squeeze]]-Table133[[#This Row],[PM Hi]])/Table133[[#This Row],[PM Hi]]</f>
        <v>0.20634920634920634</v>
      </c>
      <c r="AD79" s="18">
        <f>(M79-K79)/K79</f>
        <v>0.38181818181818178</v>
      </c>
      <c r="AE79" s="20">
        <f>Table133[[#This Row],[PM VOL]]/1000000/Table133[[#This Row],[FLOAT(M)]]</f>
        <v>5.4046672678088367E-2</v>
      </c>
      <c r="AF79" s="21">
        <f>(Table133[[#This Row],[Volume]]/1000000)/Table133[[#This Row],[FLOAT(M)]]</f>
        <v>2.2744689269612262</v>
      </c>
      <c r="AG79" s="18">
        <f>(Table133[[#This Row],[Hi of Spike after open before drop]]-Table133[[#This Row],[MKT Open Price]])/Table133[[#This Row],[MKT Open Price]]</f>
        <v>1.6393442622950907E-2</v>
      </c>
      <c r="AH79" s="18">
        <f>(Table133[[#This Row],[PM Hi]]-Table133[[#This Row],[MKT Open Price]])/(Table133[[#This Row],[PM Hi]])</f>
        <v>3.1746031746031772E-2</v>
      </c>
      <c r="AI79" s="16">
        <f>IF(Table133[[#This Row],[PM LO]]&gt;Table133[[#This Row],[Prior day close]],(Table133[[#This Row],[PM Hi]]-Table133[[#This Row],[MKT Open Price]])/(Table133[[#This Row],[PM Hi]]-Table133[[#This Row],[Prior day close]]),(Table133[[#This Row],[PM Hi]]-Table133[[#This Row],[MKT Open Price]])/(Table133[[#This Row],[PM Hi]]-Table133[[#This Row],[PM LO]]))</f>
        <v>0.1509433962264152</v>
      </c>
      <c r="AJ79" s="16">
        <f>IF(Table133[[#This Row],[Prior day close]]&lt;Table133[[#This Row],[PM LO]],(I79-K79)/(I79-Table133[[#This Row],[Prior day close]]),(I79-K79)/(I79-Table133[[#This Row],[PM LO]]))</f>
        <v>0.53333333333333299</v>
      </c>
      <c r="AK79" s="16">
        <f>Table133[[#This Row],[Spike % on open before drop]]+AL79</f>
        <v>0.11475409836065577</v>
      </c>
      <c r="AL79" s="16">
        <f t="shared" si="6"/>
        <v>9.8360655737704861E-2</v>
      </c>
      <c r="AM79" s="18">
        <f>IF($J79&gt;=$F79,($J79-$K79)/($J79),(IF($H79&lt;=$K79,($F79-$H79)/($F79),(Table133[[#This Row],[PM Hi]]-Table133[[#This Row],[Lowest lo from open to squeeze]])/(Table133[[#This Row],[PM Hi]]))))</f>
        <v>0.12698412698412695</v>
      </c>
      <c r="AN79" s="18">
        <f>IF(Table133[[#This Row],[Prior day close]]&lt;=Table133[[#This Row],[PM LO]],IF($J79&gt;=$F79,($J79-$K79)/($J79-Table133[[#This Row],[Prior day close]]),(IF($H79&lt;=$K79,($F79-$H79)/($F79-Table133[[#This Row],[Prior day close]]),(Table133[[#This Row],[PM Hi]]-Table133[[#This Row],[Lowest lo from open to squeeze]])/(Table133[[#This Row],[PM Hi]]-Table133[[#This Row],[Prior day close]])))),IF($J79&gt;=$F79,($J79-$K79)/($J79-Table133[[#This Row],[PM LO]]),(IF($H79&lt;=$K79,($F79-$H79)/($F79-Table133[[#This Row],[PM LO]]),(Table133[[#This Row],[PM Hi]]-Table133[[#This Row],[Lowest lo from open to squeeze]])/(Table133[[#This Row],[PM Hi]]-Table133[[#This Row],[PM LO]])))))</f>
        <v>0.60377358490566013</v>
      </c>
      <c r="AO79" s="18">
        <f>IF(J79&gt;=F79,(J79-K79)/(J79-D79),(IF(H79&lt;=K79,(F79-H79)/(F79-D79),(Table133[[#This Row],[PM Hi]]-Table133[[#This Row],[Lowest lo from open to squeeze]])/(Table133[[#This Row],[PM Hi]]-Table133[[#This Row],[Prior day close]]))))</f>
        <v>0.60377358490566013</v>
      </c>
      <c r="AP79" s="17">
        <f>390+Table133[[#This Row],[Time until ideal entry point (mins) from open]]</f>
        <v>393</v>
      </c>
      <c r="AQ79" s="51">
        <f>(Table133[[#This Row],[Time until ideal entry + 390 (6:30)]]+Table133[[#This Row],[Duration of frontside (mins)]])/1440</f>
        <v>0.33819444444444446</v>
      </c>
    </row>
    <row r="80" spans="1:43" x14ac:dyDescent="0.25">
      <c r="A80" s="10" t="s">
        <v>108</v>
      </c>
      <c r="B80" s="11">
        <v>44057</v>
      </c>
      <c r="C80" s="47" t="s">
        <v>71</v>
      </c>
      <c r="D80" s="12">
        <v>12.2</v>
      </c>
      <c r="E80" s="13">
        <v>14.66</v>
      </c>
      <c r="F80" s="12">
        <v>20.53</v>
      </c>
      <c r="G80" s="12">
        <v>14.66</v>
      </c>
      <c r="H80" s="12">
        <v>16.350000000000001</v>
      </c>
      <c r="I80" s="12">
        <v>18.41</v>
      </c>
      <c r="J80" s="12">
        <v>18.5</v>
      </c>
      <c r="K80" s="12">
        <v>16.25</v>
      </c>
      <c r="L80" s="12">
        <v>19.600000000000001</v>
      </c>
      <c r="M80" s="12">
        <v>19.600000000000001</v>
      </c>
      <c r="N80" s="13">
        <v>25653667</v>
      </c>
      <c r="O80" s="12">
        <v>398200545</v>
      </c>
      <c r="P80" s="13">
        <v>1333</v>
      </c>
      <c r="Q80" s="13">
        <v>90.89</v>
      </c>
      <c r="R80" s="13">
        <v>1712807</v>
      </c>
      <c r="S80" s="13" t="s">
        <v>43</v>
      </c>
      <c r="T80" t="s">
        <v>43</v>
      </c>
      <c r="U80">
        <v>35</v>
      </c>
      <c r="V80">
        <v>36</v>
      </c>
      <c r="W80">
        <v>16.39</v>
      </c>
      <c r="X80">
        <v>106</v>
      </c>
      <c r="Y80" s="15">
        <f>Table133[[#This Row],[Time until ideal entry + 390 (6:30)]]/(1440)</f>
        <v>0.29583333333333334</v>
      </c>
      <c r="Z80" s="18">
        <f t="shared" si="8"/>
        <v>0.68278688524590181</v>
      </c>
      <c r="AA80" s="18">
        <f>IF(Table133[[#This Row],[HOD AFTER PM HI]]&gt;=Table133[[#This Row],[PM Hi]],((Table133[[#This Row],[HOD AFTER PM HI]]-Table133[[#This Row],[Prior day close]])/Table133[[#This Row],[Prior day close]]),Table133[[#This Row],[Prior Close to PM Hi %]])</f>
        <v>0.68278688524590181</v>
      </c>
      <c r="AB80" s="18">
        <f>(Table133[[#This Row],[Price at hi of squeeze]]-Table133[[#This Row],[MKT Open Price]])/Table133[[#This Row],[MKT Open Price]]</f>
        <v>6.4638783269962044E-2</v>
      </c>
      <c r="AC80" s="18">
        <f>(Table133[[#This Row],[Price at hi of squeeze]]-Table133[[#This Row],[PM Hi]])/Table133[[#This Row],[PM Hi]]</f>
        <v>-4.5299561617145621E-2</v>
      </c>
      <c r="AD80" s="18">
        <f>(M80-K80)/K80</f>
        <v>0.20615384615384624</v>
      </c>
      <c r="AE80" s="20">
        <f>Table133[[#This Row],[PM VOL]]/1000000/Table133[[#This Row],[FLOAT(M)]]</f>
        <v>1.8844834415227198E-2</v>
      </c>
      <c r="AF80" s="23">
        <f>(Table133[[#This Row],[Volume]]/1000000)/Table133[[#This Row],[FLOAT(M)]]</f>
        <v>0.28224960941797778</v>
      </c>
      <c r="AG80" s="18">
        <f>(Table133[[#This Row],[Hi of Spike after open before drop]]-Table133[[#This Row],[MKT Open Price]])/Table133[[#This Row],[MKT Open Price]]</f>
        <v>4.8886474741987969E-3</v>
      </c>
      <c r="AH80" s="18">
        <f>(Table133[[#This Row],[PM Hi]]-Table133[[#This Row],[MKT Open Price]])/(Table133[[#This Row],[PM Hi]])</f>
        <v>0.10326351680467613</v>
      </c>
      <c r="AI80" s="16">
        <f>IF(Table133[[#This Row],[PM LO]]&gt;Table133[[#This Row],[Prior day close]],(Table133[[#This Row],[PM Hi]]-Table133[[#This Row],[MKT Open Price]])/(Table133[[#This Row],[PM Hi]]-Table133[[#This Row],[Prior day close]]),(Table133[[#This Row],[PM Hi]]-Table133[[#This Row],[MKT Open Price]])/(Table133[[#This Row],[PM Hi]]-Table133[[#This Row],[PM LO]]))</f>
        <v>0.25450180072028816</v>
      </c>
      <c r="AJ80" s="16">
        <f>IF(Table133[[#This Row],[Prior day close]]&lt;Table133[[#This Row],[PM LO]],(I80-K80)/(I80-Table133[[#This Row],[Prior day close]]),(I80-K80)/(I80-Table133[[#This Row],[PM LO]]))</f>
        <v>0.34782608695652173</v>
      </c>
      <c r="AK80" s="16">
        <f>Table133[[#This Row],[Spike % on open before drop]]+AL80</f>
        <v>0.12221618685497013</v>
      </c>
      <c r="AL80" s="16">
        <f t="shared" si="6"/>
        <v>0.11732753938077133</v>
      </c>
      <c r="AM80" s="18">
        <f>IF($J80&gt;=$F80,($J80-$K80)/($J80),(IF($H80&lt;=$K80,($F80-$H80)/($F80),(Table133[[#This Row],[PM Hi]]-Table133[[#This Row],[Lowest lo from open to squeeze]])/(Table133[[#This Row],[PM Hi]]))))</f>
        <v>0.20847540185094987</v>
      </c>
      <c r="AN80" s="18">
        <f>IF(Table133[[#This Row],[Prior day close]]&lt;=Table133[[#This Row],[PM LO]],IF($J80&gt;=$F80,($J80-$K80)/($J80-Table133[[#This Row],[Prior day close]]),(IF($H80&lt;=$K80,($F80-$H80)/($F80-Table133[[#This Row],[Prior day close]]),(Table133[[#This Row],[PM Hi]]-Table133[[#This Row],[Lowest lo from open to squeeze]])/(Table133[[#This Row],[PM Hi]]-Table133[[#This Row],[Prior day close]])))),IF($J80&gt;=$F80,($J80-$K80)/($J80-Table133[[#This Row],[PM LO]]),(IF($H80&lt;=$K80,($F80-$H80)/($F80-Table133[[#This Row],[PM LO]]),(Table133[[#This Row],[PM Hi]]-Table133[[#This Row],[Lowest lo from open to squeeze]])/(Table133[[#This Row],[PM Hi]]-Table133[[#This Row],[PM LO]])))))</f>
        <v>0.51380552220888354</v>
      </c>
      <c r="AO80" s="18">
        <f>IF(J80&gt;=F80,(J80-K80)/(J80-D80),(IF(H80&lt;=K80,(F80-H80)/(F80-D80),(Table133[[#This Row],[PM Hi]]-Table133[[#This Row],[Lowest lo from open to squeeze]])/(Table133[[#This Row],[PM Hi]]-Table133[[#This Row],[Prior day close]]))))</f>
        <v>0.51380552220888354</v>
      </c>
      <c r="AP80" s="17">
        <f>390+Table133[[#This Row],[Time until ideal entry point (mins) from open]]</f>
        <v>426</v>
      </c>
      <c r="AQ80" s="51">
        <f>(Table133[[#This Row],[Time until ideal entry + 390 (6:30)]]+Table133[[#This Row],[Duration of frontside (mins)]])/1440</f>
        <v>0.36944444444444446</v>
      </c>
    </row>
    <row r="81" spans="1:43" x14ac:dyDescent="0.25">
      <c r="A81" s="24" t="s">
        <v>168</v>
      </c>
      <c r="B81" s="47">
        <v>43892</v>
      </c>
      <c r="C81" s="47" t="s">
        <v>71</v>
      </c>
      <c r="D81" s="12">
        <v>16.3</v>
      </c>
      <c r="E81" s="13">
        <f>Table133[[#This Row],[Prior day close]]</f>
        <v>16.3</v>
      </c>
      <c r="F81" s="12">
        <v>24.73</v>
      </c>
      <c r="G81" s="12">
        <v>16.989999999999998</v>
      </c>
      <c r="H81" s="12">
        <v>22.25</v>
      </c>
      <c r="I81" s="12">
        <v>23.52</v>
      </c>
      <c r="J81" s="12">
        <v>23.52</v>
      </c>
      <c r="K81" s="12">
        <v>22</v>
      </c>
      <c r="L81" s="12">
        <v>29.61</v>
      </c>
      <c r="M81" s="12">
        <v>29.61</v>
      </c>
      <c r="N81" s="13">
        <v>18690109</v>
      </c>
      <c r="O81" s="12">
        <v>492484372</v>
      </c>
      <c r="P81" s="37">
        <v>1000</v>
      </c>
      <c r="Q81" s="46">
        <v>53.39</v>
      </c>
      <c r="R81" s="37">
        <v>968555</v>
      </c>
      <c r="S81" s="37" t="s">
        <v>41</v>
      </c>
      <c r="T81" s="37" t="s">
        <v>43</v>
      </c>
      <c r="U81" s="38">
        <v>2</v>
      </c>
      <c r="V81" s="46">
        <v>2</v>
      </c>
      <c r="W81" s="37">
        <v>22.29</v>
      </c>
      <c r="X81" s="46">
        <v>120</v>
      </c>
      <c r="Y81" s="41">
        <f>Table133[[#This Row],[Time until ideal entry + 390 (6:30)]]/(1440)</f>
        <v>0.2722222222222222</v>
      </c>
      <c r="Z81" s="18">
        <f t="shared" si="8"/>
        <v>0.51717791411042946</v>
      </c>
      <c r="AA81" s="18">
        <f>IF(Table133[[#This Row],[HOD AFTER PM HI]]&gt;=Table133[[#This Row],[PM Hi]],((Table133[[#This Row],[HOD AFTER PM HI]]-Table133[[#This Row],[Prior day close]])/Table133[[#This Row],[Prior day close]]),Table133[[#This Row],[Prior Close to PM Hi %]])</f>
        <v>0.81656441717791395</v>
      </c>
      <c r="AB81" s="42">
        <f>(Table133[[#This Row],[Price at hi of squeeze]]-Table133[[#This Row],[MKT Open Price]])/Table133[[#This Row],[MKT Open Price]]</f>
        <v>0.25892857142857145</v>
      </c>
      <c r="AC81" s="18">
        <f>(Table133[[#This Row],[Price at hi of squeeze]]-Table133[[#This Row],[PM Hi]])/Table133[[#This Row],[PM Hi]]</f>
        <v>0.19733117670845124</v>
      </c>
      <c r="AD81" s="18"/>
      <c r="AE81" s="20">
        <f>Table133[[#This Row],[PM VOL]]/1000000/Table133[[#This Row],[FLOAT(M)]]</f>
        <v>1.8141131297995879E-2</v>
      </c>
      <c r="AF81" s="23">
        <f>(Table133[[#This Row],[Volume]]/1000000)/Table133[[#This Row],[FLOAT(M)]]</f>
        <v>0.35006759692826372</v>
      </c>
      <c r="AH81" s="18">
        <f>(Table133[[#This Row],[PM Hi]]-Table133[[#This Row],[MKT Open Price]])/(Table133[[#This Row],[PM Hi]])</f>
        <v>4.8928427011726679E-2</v>
      </c>
      <c r="AI81" s="18">
        <f>IF(Table133[[#This Row],[PM LO]]&gt;Table133[[#This Row],[Prior day close]],(Table133[[#This Row],[PM Hi]]-Table133[[#This Row],[MKT Open Price]])/(Table133[[#This Row],[PM Hi]]-Table133[[#This Row],[Prior day close]]),(Table133[[#This Row],[PM Hi]]-Table133[[#This Row],[MKT Open Price]])/(Table133[[#This Row],[PM Hi]]-Table133[[#This Row],[PM LO]]))</f>
        <v>0.14353499406880199</v>
      </c>
      <c r="AJ81" s="48">
        <f>IF(Table133[[#This Row],[Prior day close]]&lt;Table133[[#This Row],[PM LO]],(I81-K81)/(I81-Table133[[#This Row],[Prior day close]]),(I81-K81)/(I81-Table133[[#This Row],[PM LO]]))</f>
        <v>0.21052631578947364</v>
      </c>
      <c r="AK81" s="48">
        <f>Table133[[#This Row],[Spike % on open before drop]]+AL81</f>
        <v>6.4625850340136043E-2</v>
      </c>
      <c r="AL81" s="16">
        <f t="shared" si="6"/>
        <v>6.4625850340136043E-2</v>
      </c>
      <c r="AM81" s="18">
        <f>IF($J81&gt;=$F81,($J81-$K81)/($J81),(IF($H81&lt;=$K81,($F81-$H81)/($F81),(Table133[[#This Row],[PM Hi]]-Table133[[#This Row],[Lowest lo from open to squeeze]])/(Table133[[#This Row],[PM Hi]]))))</f>
        <v>0.11039223615042459</v>
      </c>
      <c r="AN81" s="48">
        <f>IF(Table133[[#This Row],[Prior day close]]&lt;=Table133[[#This Row],[PM LO]],IF($J81&gt;=$F81,($J81-$K81)/($J81-Table133[[#This Row],[Prior day close]]),(IF($H81&lt;=$K81,($F81-$H81)/($F81-Table133[[#This Row],[Prior day close]]),(Table133[[#This Row],[PM Hi]]-Table133[[#This Row],[Lowest lo from open to squeeze]])/(Table133[[#This Row],[PM Hi]]-Table133[[#This Row],[Prior day close]])))),IF($J81&gt;=$F81,($J81-$K81)/($J81-Table133[[#This Row],[PM LO]]),(IF($H81&lt;=$K81,($F81-$H81)/($F81-Table133[[#This Row],[PM LO]]),(Table133[[#This Row],[PM Hi]]-Table133[[#This Row],[Lowest lo from open to squeeze]])/(Table133[[#This Row],[PM Hi]]-Table133[[#This Row],[PM LO]])))))</f>
        <v>0.32384341637010683</v>
      </c>
      <c r="AO81" s="18">
        <f>IF(J81&gt;=F81,(J81-K81)/(J81-D81),(IF(H81&lt;=K81,(F81-H81)/(F81-D81),(Table133[[#This Row],[PM Hi]]-Table133[[#This Row],[Lowest lo from open to squeeze]])/(Table133[[#This Row],[PM Hi]]-Table133[[#This Row],[Prior day close]]))))</f>
        <v>0.32384341637010683</v>
      </c>
      <c r="AP81" s="17">
        <f>390+Table133[[#This Row],[Time until ideal entry point (mins) from open]]</f>
        <v>392</v>
      </c>
      <c r="AQ81" s="17">
        <f>Table133[[#This Row],[Time until ideal entry + 390 (6:30)]]+Table133[[#This Row],[Duration of frontside (mins)]]</f>
        <v>512</v>
      </c>
    </row>
    <row r="82" spans="1:43" x14ac:dyDescent="0.25">
      <c r="A82" s="25" t="s">
        <v>58</v>
      </c>
      <c r="B82" s="11">
        <v>43909</v>
      </c>
      <c r="C82" s="47" t="s">
        <v>71</v>
      </c>
      <c r="D82" s="12">
        <v>18.2</v>
      </c>
      <c r="E82" s="13">
        <v>18.170000000000002</v>
      </c>
      <c r="F82" s="12">
        <v>25.5</v>
      </c>
      <c r="G82" s="12">
        <v>16.350000000000001</v>
      </c>
      <c r="H82" s="12">
        <v>21.07</v>
      </c>
      <c r="I82" s="12">
        <v>24.95</v>
      </c>
      <c r="J82" s="12">
        <v>25.8</v>
      </c>
      <c r="K82" s="12">
        <v>22.49</v>
      </c>
      <c r="L82" s="12">
        <v>28.84</v>
      </c>
      <c r="M82" s="12">
        <v>28.84</v>
      </c>
      <c r="N82" s="13">
        <v>24430750</v>
      </c>
      <c r="O82" s="12">
        <v>335761836</v>
      </c>
      <c r="P82" s="13">
        <v>206</v>
      </c>
      <c r="Q82" s="13">
        <v>8.1300000000000008</v>
      </c>
      <c r="R82" s="13">
        <v>1454586</v>
      </c>
      <c r="S82" s="13" t="s">
        <v>43</v>
      </c>
      <c r="T82" t="s">
        <v>41</v>
      </c>
      <c r="U82">
        <v>6</v>
      </c>
      <c r="V82">
        <v>7</v>
      </c>
      <c r="W82">
        <v>23.23</v>
      </c>
      <c r="X82">
        <v>13</v>
      </c>
      <c r="Y82" s="15">
        <f>Table133[[#This Row],[Time until ideal entry + 390 (6:30)]]/(1440)</f>
        <v>0.27569444444444446</v>
      </c>
      <c r="Z82" s="18">
        <f t="shared" si="8"/>
        <v>0.40109890109890117</v>
      </c>
      <c r="AA82" s="18">
        <f>IF(Table133[[#This Row],[HOD AFTER PM HI]]&gt;=Table133[[#This Row],[PM Hi]],((Table133[[#This Row],[HOD AFTER PM HI]]-Table133[[#This Row],[Prior day close]])/Table133[[#This Row],[Prior day close]]),Table133[[#This Row],[Prior Close to PM Hi %]])</f>
        <v>0.58461538461538465</v>
      </c>
      <c r="AB82" s="18">
        <f>(Table133[[#This Row],[Price at hi of squeeze]]-Table133[[#This Row],[MKT Open Price]])/Table133[[#This Row],[MKT Open Price]]</f>
        <v>0.15591182364729461</v>
      </c>
      <c r="AC82" s="18">
        <f>(Table133[[#This Row],[Price at hi of squeeze]]-Table133[[#This Row],[PM Hi]])/Table133[[#This Row],[PM Hi]]</f>
        <v>0.13098039215686275</v>
      </c>
      <c r="AD82" s="18">
        <f>(M82-K82)/K82</f>
        <v>0.28234771009337489</v>
      </c>
      <c r="AE82" s="20">
        <f>Table133[[#This Row],[PM VOL]]/1000000/Table133[[#This Row],[FLOAT(M)]]</f>
        <v>0.17891586715867155</v>
      </c>
      <c r="AF82" s="23">
        <f>(Table133[[#This Row],[Volume]]/1000000)/Table133[[#This Row],[FLOAT(M)]]</f>
        <v>3.0050123001230009</v>
      </c>
      <c r="AG82" s="18">
        <f>(Table133[[#This Row],[Hi of Spike after open before drop]]-Table133[[#This Row],[MKT Open Price]])/Table133[[#This Row],[MKT Open Price]]</f>
        <v>3.4068136272545145E-2</v>
      </c>
      <c r="AH82" s="18">
        <f>(Table133[[#This Row],[PM Hi]]-Table133[[#This Row],[MKT Open Price]])/(Table133[[#This Row],[PM Hi]])</f>
        <v>2.156862745098042E-2</v>
      </c>
      <c r="AI82" s="16">
        <f>IF(Table133[[#This Row],[PM LO]]&gt;Table133[[#This Row],[Prior day close]],(Table133[[#This Row],[PM Hi]]-Table133[[#This Row],[MKT Open Price]])/(Table133[[#This Row],[PM Hi]]-Table133[[#This Row],[Prior day close]]),(Table133[[#This Row],[PM Hi]]-Table133[[#This Row],[MKT Open Price]])/(Table133[[#This Row],[PM Hi]]-Table133[[#This Row],[PM LO]]))</f>
        <v>6.0109289617486426E-2</v>
      </c>
      <c r="AJ82" s="16">
        <f>IF(Table133[[#This Row],[Prior day close]]&lt;Table133[[#This Row],[PM LO]],(I82-K82)/(I82-Table133[[#This Row],[Prior day close]]),(I82-K82)/(I82-Table133[[#This Row],[PM LO]]))</f>
        <v>0.28604651162790717</v>
      </c>
      <c r="AK82" s="16">
        <f>Table133[[#This Row],[Spike % on open before drop]]+AL82</f>
        <v>0.13266533066132274</v>
      </c>
      <c r="AL82" s="16">
        <f t="shared" si="6"/>
        <v>9.8597194388777593E-2</v>
      </c>
      <c r="AM82" s="18">
        <f>IF($J82&gt;=$F82,($J82-$K82)/($J82-$D82),(IF($H82&lt;=$K82,($F82-$H82)/($F82-$D82),(Table133[[#This Row],[PM Hi]]-Table133[[#This Row],[Lowest lo from open to squeeze]])/(Table133[[#This Row],[PM Hi]]-Table133[[#This Row],[Prior day close]]))))</f>
        <v>0.43552631578947393</v>
      </c>
      <c r="AN82" s="18">
        <f>IF(Table133[[#This Row],[Prior day close]]&lt;=Table133[[#This Row],[PM LO]],IF($J82&gt;=$F82,($J82-$K82)/($J82-Table133[[#This Row],[Prior day close]]),(IF($H82&lt;=$K82,($F82-$H82)/($F82-Table133[[#This Row],[Prior day close]]),(Table133[[#This Row],[PM Hi]]-Table133[[#This Row],[Lowest lo from open to squeeze]])/(Table133[[#This Row],[PM Hi]]-Table133[[#This Row],[Prior day close]])))),IF($J82&gt;=$F82,($J82-$K82)/($J82-Table133[[#This Row],[PM LO]]),(IF($H82&lt;=$K82,($F82-$H82)/($F82-Table133[[#This Row],[PM LO]]),(Table133[[#This Row],[PM Hi]]-Table133[[#This Row],[Lowest lo from open to squeeze]])/(Table133[[#This Row],[PM Hi]]-Table133[[#This Row],[PM LO]])))))</f>
        <v>0.35026455026455056</v>
      </c>
      <c r="AO82" s="18">
        <f>3.32/7.67</f>
        <v>0.43285528031290743</v>
      </c>
      <c r="AP82" s="17">
        <f>390+Table133[[#This Row],[Time until ideal entry point (mins) from open]]</f>
        <v>397</v>
      </c>
      <c r="AQ82" s="51">
        <f>(Table133[[#This Row],[Time until ideal entry + 390 (6:30)]]+Table133[[#This Row],[Duration of frontside (mins)]])/1440</f>
        <v>0.28472222222222221</v>
      </c>
    </row>
    <row r="83" spans="1:43" x14ac:dyDescent="0.25">
      <c r="A83" s="24" t="s">
        <v>132</v>
      </c>
      <c r="B83" s="45">
        <v>44172</v>
      </c>
      <c r="C83" s="47" t="s">
        <v>71</v>
      </c>
      <c r="D83" s="12"/>
      <c r="E83" s="13">
        <f>Table133[[#This Row],[Prior day close]]</f>
        <v>0</v>
      </c>
      <c r="F83" s="12"/>
      <c r="G83" s="12"/>
      <c r="H83" s="12"/>
      <c r="I83" s="12"/>
      <c r="J83" s="12"/>
      <c r="K83" s="12"/>
      <c r="N83" s="13">
        <v>59199252</v>
      </c>
      <c r="O83" s="12">
        <v>474778001</v>
      </c>
      <c r="P83" s="37">
        <v>57</v>
      </c>
      <c r="Q83">
        <v>1.32</v>
      </c>
      <c r="R83" s="37">
        <v>3799664</v>
      </c>
      <c r="S83" s="37" t="s">
        <v>43</v>
      </c>
      <c r="T83" s="37" t="s">
        <v>43</v>
      </c>
      <c r="U83" s="38"/>
      <c r="V83"/>
      <c r="W83" s="39"/>
      <c r="X83"/>
      <c r="Y83" s="40">
        <f>Table133[[#This Row],[Time until ideal entry + 390 (6:30)]]/(1440)</f>
        <v>0.27083333333333331</v>
      </c>
      <c r="Z83" s="18" t="e">
        <f t="shared" si="8"/>
        <v>#DIV/0!</v>
      </c>
      <c r="AA83" s="18" t="e">
        <f>IF(Table133[[#This Row],[HOD AFTER PM HI]]&gt;=Table133[[#This Row],[PM Hi]],((Table133[[#This Row],[HOD AFTER PM HI]]-Table133[[#This Row],[Prior day close]])/Table133[[#This Row],[Prior day close]]),Table133[[#This Row],[Prior Close to PM Hi %]])</f>
        <v>#DIV/0!</v>
      </c>
      <c r="AB83" s="42" t="e">
        <f>(Table133[[#This Row],[Price at hi of squeeze]]-Table133[[#This Row],[MKT Open Price]])/Table133[[#This Row],[MKT Open Price]]</f>
        <v>#DIV/0!</v>
      </c>
      <c r="AC83" s="18" t="e">
        <f>(Table133[[#This Row],[Price at hi of squeeze]]-Table133[[#This Row],[PM Hi]])/Table133[[#This Row],[PM Hi]]</f>
        <v>#DIV/0!</v>
      </c>
      <c r="AD83" s="18" t="e">
        <f>(M83-K83)/K83</f>
        <v>#DIV/0!</v>
      </c>
      <c r="AE83" s="20">
        <f>Table133[[#This Row],[PM VOL]]/1000000/Table133[[#This Row],[FLOAT(M)]]</f>
        <v>2.8785333333333329</v>
      </c>
      <c r="AF83" s="23">
        <f>(Table133[[#This Row],[Volume]]/1000000)/Table133[[#This Row],[FLOAT(M)]]</f>
        <v>44.84791818181818</v>
      </c>
      <c r="AH83" s="18" t="e">
        <f>(Table133[[#This Row],[PM Hi]]-Table133[[#This Row],[MKT Open Price]])/(Table133[[#This Row],[PM Hi]])</f>
        <v>#DIV/0!</v>
      </c>
      <c r="AI83" s="16" t="e">
        <f>IF(Table133[[#This Row],[PM LO]]&gt;Table133[[#This Row],[Prior day close]],(Table133[[#This Row],[PM Hi]]-Table133[[#This Row],[MKT Open Price]])/(Table133[[#This Row],[PM Hi]]-Table133[[#This Row],[Prior day close]]),(Table133[[#This Row],[PM Hi]]-Table133[[#This Row],[MKT Open Price]])/(Table133[[#This Row],[PM Hi]]-Table133[[#This Row],[PM LO]]))</f>
        <v>#DIV/0!</v>
      </c>
      <c r="AJ83" s="18" t="e">
        <f>IF(Table133[[#This Row],[Prior day close]]&lt;Table133[[#This Row],[PM LO]],(I83-K83)/(I83-Table133[[#This Row],[Prior day close]]),(I83-K83)/(I83-Table133[[#This Row],[PM LO]]))</f>
        <v>#DIV/0!</v>
      </c>
      <c r="AK83" s="18" t="e">
        <f>Table133[[#This Row],[Spike % on open before drop]]+AL83</f>
        <v>#DIV/0!</v>
      </c>
      <c r="AL83" s="16" t="e">
        <f t="shared" si="6"/>
        <v>#DIV/0!</v>
      </c>
      <c r="AM83" s="18" t="e">
        <f>IF($J83&gt;=$F83,($J83-$K83)/($J83),(IF($H83&lt;=$K83,($F83-$H83)/($F83),(Table133[[#This Row],[PM Hi]]-Table133[[#This Row],[Lowest lo from open to squeeze]])/(Table133[[#This Row],[PM Hi]]))))</f>
        <v>#DIV/0!</v>
      </c>
      <c r="AN83" s="18" t="e">
        <f>IF(Table133[[#This Row],[Prior day close]]&lt;=Table133[[#This Row],[PM LO]],IF($J83&gt;=$F83,($J83-$K83)/($J83-Table133[[#This Row],[Prior day close]]),(IF($H83&lt;=$K83,($F83-$H83)/($F83-Table133[[#This Row],[Prior day close]]),(Table133[[#This Row],[PM Hi]]-Table133[[#This Row],[Lowest lo from open to squeeze]])/(Table133[[#This Row],[PM Hi]]-Table133[[#This Row],[Prior day close]])))),IF($J83&gt;=$F83,($J83-$K83)/($J83-Table133[[#This Row],[PM LO]]),(IF($H83&lt;=$K83,($F83-$H83)/($F83-Table133[[#This Row],[PM LO]]),(Table133[[#This Row],[PM Hi]]-Table133[[#This Row],[Lowest lo from open to squeeze]])/(Table133[[#This Row],[PM Hi]]-Table133[[#This Row],[PM LO]])))))</f>
        <v>#DIV/0!</v>
      </c>
      <c r="AO83" s="18" t="e">
        <f>IF(J83&gt;=F83,(J83-K83)/(J83-D83),(IF(H83&lt;=K83,(F83-H83)/(F83-D83),(Table133[[#This Row],[PM Hi]]-Table133[[#This Row],[Lowest lo from open to squeeze]])/(Table133[[#This Row],[PM Hi]]-Table133[[#This Row],[Prior day close]]))))</f>
        <v>#DIV/0!</v>
      </c>
      <c r="AP83" s="17">
        <f>390+Table133[[#This Row],[Time until ideal entry point (mins) from open]]</f>
        <v>390</v>
      </c>
      <c r="AQ83" s="51">
        <f>(Table133[[#This Row],[Time until ideal entry + 390 (6:30)]]+Table133[[#This Row],[Duration of frontside (mins)]])/1440</f>
        <v>0.27083333333333331</v>
      </c>
    </row>
    <row r="84" spans="1:43" x14ac:dyDescent="0.25">
      <c r="A84" s="24" t="s">
        <v>150</v>
      </c>
      <c r="B84" s="47">
        <v>44211</v>
      </c>
      <c r="C84" s="47" t="s">
        <v>71</v>
      </c>
      <c r="D84" s="12"/>
      <c r="E84" s="13">
        <f>Table133[[#This Row],[Prior day close]]</f>
        <v>0</v>
      </c>
      <c r="F84" s="12"/>
      <c r="G84" s="12"/>
      <c r="H84" s="12"/>
      <c r="I84" s="12"/>
      <c r="J84" s="12"/>
      <c r="K84" s="12"/>
      <c r="N84" s="13"/>
      <c r="P84" s="37"/>
      <c r="Q84" s="46"/>
      <c r="R84" s="37"/>
      <c r="S84" s="37"/>
      <c r="T84" s="37"/>
      <c r="U84" s="38"/>
      <c r="V84" s="46"/>
      <c r="W84" s="37"/>
      <c r="X84" s="46"/>
      <c r="Y84" s="41">
        <f>Table133[[#This Row],[Time until ideal entry + 390 (6:30)]]/(1440)</f>
        <v>0.27083333333333331</v>
      </c>
      <c r="Z84" s="18" t="e">
        <f t="shared" si="8"/>
        <v>#DIV/0!</v>
      </c>
      <c r="AA84" s="18" t="e">
        <f>IF(Table133[[#This Row],[HOD AFTER PM HI]]&gt;=Table133[[#This Row],[PM Hi]],((Table133[[#This Row],[HOD AFTER PM HI]]-Table133[[#This Row],[Prior day close]])/Table133[[#This Row],[Prior day close]]),Table133[[#This Row],[Prior Close to PM Hi %]])</f>
        <v>#DIV/0!</v>
      </c>
      <c r="AB84" s="42" t="e">
        <f>(Table133[[#This Row],[Price at hi of squeeze]]-Table133[[#This Row],[MKT Open Price]])/Table133[[#This Row],[MKT Open Price]]</f>
        <v>#DIV/0!</v>
      </c>
      <c r="AC84" s="18" t="e">
        <f>(Table133[[#This Row],[Price at hi of squeeze]]-Table133[[#This Row],[PM Hi]])/Table133[[#This Row],[PM Hi]]</f>
        <v>#DIV/0!</v>
      </c>
      <c r="AD84" s="18"/>
      <c r="AE84" s="20" t="e">
        <f>Table133[[#This Row],[PM VOL]]/1000000/Table133[[#This Row],[FLOAT(M)]]</f>
        <v>#DIV/0!</v>
      </c>
      <c r="AF84" s="23" t="e">
        <f>(Table133[[#This Row],[Volume]]/1000000)/Table133[[#This Row],[FLOAT(M)]]</f>
        <v>#DIV/0!</v>
      </c>
      <c r="AH84" s="18" t="e">
        <f>(Table133[[#This Row],[PM Hi]]-Table133[[#This Row],[MKT Open Price]])/(Table133[[#This Row],[PM Hi]])</f>
        <v>#DIV/0!</v>
      </c>
      <c r="AI84" s="18" t="e">
        <f>IF(Table133[[#This Row],[PM LO]]&gt;Table133[[#This Row],[Prior day close]],(Table133[[#This Row],[PM Hi]]-Table133[[#This Row],[MKT Open Price]])/(Table133[[#This Row],[PM Hi]]-Table133[[#This Row],[Prior day close]]),(Table133[[#This Row],[PM Hi]]-Table133[[#This Row],[MKT Open Price]])/(Table133[[#This Row],[PM Hi]]-Table133[[#This Row],[PM LO]]))</f>
        <v>#DIV/0!</v>
      </c>
      <c r="AJ84" s="48" t="e">
        <f>IF(Table133[[#This Row],[Prior day close]]&lt;Table133[[#This Row],[PM LO]],(I84-K84)/(I84-Table133[[#This Row],[Prior day close]]),(I84-K84)/(I84-Table133[[#This Row],[PM LO]]))</f>
        <v>#DIV/0!</v>
      </c>
      <c r="AK84" s="48" t="e">
        <f>Table133[[#This Row],[Spike % on open before drop]]+AL84</f>
        <v>#DIV/0!</v>
      </c>
      <c r="AL84" s="16" t="e">
        <f t="shared" si="6"/>
        <v>#DIV/0!</v>
      </c>
      <c r="AM84" s="18" t="e">
        <f>IF($J84&gt;=$F84,($J84-$K84)/($J84),(IF($H84&lt;=$K84,($F84-$H84)/($F84),(Table133[[#This Row],[PM Hi]]-Table133[[#This Row],[Lowest lo from open to squeeze]])/(Table133[[#This Row],[PM Hi]]))))</f>
        <v>#DIV/0!</v>
      </c>
      <c r="AN84" s="48" t="e">
        <f>IF(Table133[[#This Row],[Prior day close]]&lt;=Table133[[#This Row],[PM LO]],IF($J84&gt;=$F84,($J84-$K84)/($J84-Table133[[#This Row],[Prior day close]]),(IF($H84&lt;=$K84,($F84-$H84)/($F84-Table133[[#This Row],[Prior day close]]),(Table133[[#This Row],[PM Hi]]-Table133[[#This Row],[Lowest lo from open to squeeze]])/(Table133[[#This Row],[PM Hi]]-Table133[[#This Row],[Prior day close]])))),IF($J84&gt;=$F84,($J84-$K84)/($J84-Table133[[#This Row],[PM LO]]),(IF($H84&lt;=$K84,($F84-$H84)/($F84-Table133[[#This Row],[PM LO]]),(Table133[[#This Row],[PM Hi]]-Table133[[#This Row],[Lowest lo from open to squeeze]])/(Table133[[#This Row],[PM Hi]]-Table133[[#This Row],[PM LO]])))))</f>
        <v>#DIV/0!</v>
      </c>
      <c r="AO84" s="18" t="e">
        <f>IF(J84&gt;=F84,(J84-K84)/(J84-D84),(IF(H84&lt;=K84,(F84-H84)/(F84-D84),(Table133[[#This Row],[PM Hi]]-Table133[[#This Row],[Lowest lo from open to squeeze]])/(Table133[[#This Row],[PM Hi]]-Table133[[#This Row],[Prior day close]]))))</f>
        <v>#DIV/0!</v>
      </c>
      <c r="AP84" s="17">
        <f>390+Table133[[#This Row],[Time until ideal entry point (mins) from open]]</f>
        <v>390</v>
      </c>
      <c r="AQ84" s="17">
        <f>Table133[[#This Row],[Time until ideal entry + 390 (6:30)]]+Table133[[#This Row],[Duration of frontside (mins)]]</f>
        <v>390</v>
      </c>
    </row>
    <row r="85" spans="1:43" x14ac:dyDescent="0.25">
      <c r="A85" s="24" t="s">
        <v>75</v>
      </c>
      <c r="B85" s="47">
        <v>44215</v>
      </c>
      <c r="C85" s="47" t="s">
        <v>143</v>
      </c>
      <c r="D85" s="12"/>
      <c r="E85" s="13"/>
      <c r="F85" s="12"/>
      <c r="G85" s="12"/>
      <c r="H85" s="12"/>
      <c r="I85" s="12"/>
      <c r="J85" s="12"/>
      <c r="K85" s="12"/>
      <c r="N85" s="13"/>
      <c r="P85" s="37"/>
      <c r="Q85" s="46"/>
      <c r="R85" s="37"/>
      <c r="S85" s="37"/>
      <c r="T85" s="37"/>
      <c r="U85" s="38"/>
      <c r="V85" s="46"/>
      <c r="W85" s="37"/>
      <c r="X85" s="46"/>
      <c r="Y85" s="41">
        <f>Table133[[#This Row],[Time until ideal entry + 390 (6:30)]]/(1440)</f>
        <v>0.27083333333333331</v>
      </c>
      <c r="Z85" s="18" t="e">
        <f t="shared" si="8"/>
        <v>#DIV/0!</v>
      </c>
      <c r="AA85" s="18" t="e">
        <f>IF(Table133[[#This Row],[HOD AFTER PM HI]]&gt;=Table133[[#This Row],[PM Hi]],((Table133[[#This Row],[HOD AFTER PM HI]]-Table133[[#This Row],[Prior day close]])/Table133[[#This Row],[Prior day close]]),Table133[[#This Row],[Prior Close to PM Hi %]])</f>
        <v>#DIV/0!</v>
      </c>
      <c r="AB85" s="42" t="e">
        <f>(Table133[[#This Row],[Price at hi of squeeze]]-Table133[[#This Row],[MKT Open Price]])/Table133[[#This Row],[MKT Open Price]]</f>
        <v>#DIV/0!</v>
      </c>
      <c r="AC85" s="18" t="e">
        <f>(Table133[[#This Row],[Price at hi of squeeze]]-Table133[[#This Row],[PM Hi]])/Table133[[#This Row],[PM Hi]]</f>
        <v>#DIV/0!</v>
      </c>
      <c r="AD85" s="18"/>
      <c r="AE85" s="20" t="e">
        <f>Table133[[#This Row],[PM VOL]]/1000000/Table133[[#This Row],[FLOAT(M)]]</f>
        <v>#DIV/0!</v>
      </c>
      <c r="AF85" s="23" t="e">
        <f>(Table133[[#This Row],[Volume]]/1000000)/Table133[[#This Row],[FLOAT(M)]]</f>
        <v>#DIV/0!</v>
      </c>
      <c r="AH85" s="18" t="e">
        <f>(Table133[[#This Row],[PM Hi]]-Table133[[#This Row],[MKT Open Price]])/(Table133[[#This Row],[PM Hi]])</f>
        <v>#DIV/0!</v>
      </c>
      <c r="AI85" s="18" t="e">
        <f>IF(Table133[[#This Row],[PM LO]]&gt;Table133[[#This Row],[Prior day close]],(Table133[[#This Row],[PM Hi]]-Table133[[#This Row],[MKT Open Price]])/(Table133[[#This Row],[PM Hi]]-Table133[[#This Row],[Prior day close]]),(Table133[[#This Row],[PM Hi]]-Table133[[#This Row],[MKT Open Price]])/(Table133[[#This Row],[PM Hi]]-Table133[[#This Row],[PM LO]]))</f>
        <v>#DIV/0!</v>
      </c>
      <c r="AJ85" s="48" t="e">
        <f>IF(Table133[[#This Row],[Prior day close]]&lt;Table133[[#This Row],[PM LO]],(I85-K85)/(I85-Table133[[#This Row],[Prior day close]]),(I85-K85)/(I85-Table133[[#This Row],[PM LO]]))</f>
        <v>#DIV/0!</v>
      </c>
      <c r="AK85" s="48" t="e">
        <f>Table133[[#This Row],[Spike % on open before drop]]+AL85</f>
        <v>#DIV/0!</v>
      </c>
      <c r="AL85" s="16" t="e">
        <f t="shared" si="6"/>
        <v>#DIV/0!</v>
      </c>
      <c r="AM85" s="18" t="e">
        <f>IF($J85&gt;=$F85,($J85-$K85)/($J85),(IF($H85&lt;=$K85,($F85-$H85)/($F85),(Table133[[#This Row],[PM Hi]]-Table133[[#This Row],[Lowest lo from open to squeeze]])/(Table133[[#This Row],[PM Hi]]))))</f>
        <v>#DIV/0!</v>
      </c>
      <c r="AN85" s="48" t="e">
        <f>IF(Table133[[#This Row],[Prior day close]]&lt;=Table133[[#This Row],[PM LO]],IF($J85&gt;=$F85,($J85-$K85)/($J85-Table133[[#This Row],[Prior day close]]),(IF($H85&lt;=$K85,($F85-$H85)/($F85-Table133[[#This Row],[Prior day close]]),(Table133[[#This Row],[PM Hi]]-Table133[[#This Row],[Lowest lo from open to squeeze]])/(Table133[[#This Row],[PM Hi]]-Table133[[#This Row],[Prior day close]])))),IF($J85&gt;=$F85,($J85-$K85)/($J85-Table133[[#This Row],[PM LO]]),(IF($H85&lt;=$K85,($F85-$H85)/($F85-Table133[[#This Row],[PM LO]]),(Table133[[#This Row],[PM Hi]]-Table133[[#This Row],[Lowest lo from open to squeeze]])/(Table133[[#This Row],[PM Hi]]-Table133[[#This Row],[PM LO]])))))</f>
        <v>#DIV/0!</v>
      </c>
      <c r="AO85" s="18" t="e">
        <f>IF(J85&gt;=F85,(J85-K85)/(J85-D85),(IF(H85&lt;=K85,(F85-H85)/(F85-D85),(Table133[[#This Row],[PM Hi]]-Table133[[#This Row],[Lowest lo from open to squeeze]])/(Table133[[#This Row],[PM Hi]]-Table133[[#This Row],[Prior day close]]))))</f>
        <v>#DIV/0!</v>
      </c>
      <c r="AP85" s="17">
        <f>390+Table133[[#This Row],[Time until ideal entry point (mins) from open]]</f>
        <v>390</v>
      </c>
      <c r="AQ85" s="17">
        <f>Table133[[#This Row],[Time until ideal entry + 390 (6:30)]]+Table133[[#This Row],[Duration of frontside (mins)]]</f>
        <v>390</v>
      </c>
    </row>
    <row r="86" spans="1:43" x14ac:dyDescent="0.25">
      <c r="A86" s="24" t="s">
        <v>195</v>
      </c>
      <c r="B86" s="47">
        <v>43999</v>
      </c>
      <c r="C86" s="47" t="s">
        <v>71</v>
      </c>
      <c r="D86" s="12"/>
      <c r="E86" s="13">
        <f>Table133[[#This Row],[Prior day close]]</f>
        <v>0</v>
      </c>
      <c r="F86" s="12"/>
      <c r="G86" s="12"/>
      <c r="H86" s="12"/>
      <c r="I86" s="12"/>
      <c r="J86" s="12"/>
      <c r="K86" s="12"/>
      <c r="N86" s="13"/>
      <c r="P86" s="37"/>
      <c r="Q86" s="46"/>
      <c r="R86" s="37"/>
      <c r="S86" s="37"/>
      <c r="T86" s="37"/>
      <c r="U86" s="38"/>
      <c r="V86" s="46"/>
      <c r="W86" s="37"/>
      <c r="X86" s="46"/>
      <c r="Y86" s="41">
        <f>Table133[[#This Row],[Time until ideal entry + 390 (6:30)]]/(1440)</f>
        <v>0.27083333333333331</v>
      </c>
      <c r="Z86" s="18" t="e">
        <f t="shared" si="8"/>
        <v>#DIV/0!</v>
      </c>
      <c r="AA86" s="18" t="e">
        <f>IF(Table133[[#This Row],[HOD AFTER PM HI]]&gt;=Table133[[#This Row],[PM Hi]],((Table133[[#This Row],[HOD AFTER PM HI]]-Table133[[#This Row],[Prior day close]])/Table133[[#This Row],[Prior day close]]),Table133[[#This Row],[Prior Close to PM Hi %]])</f>
        <v>#DIV/0!</v>
      </c>
      <c r="AB86" s="42" t="e">
        <f>(Table133[[#This Row],[Price at hi of squeeze]]-Table133[[#This Row],[MKT Open Price]])/Table133[[#This Row],[MKT Open Price]]</f>
        <v>#DIV/0!</v>
      </c>
      <c r="AC86" s="18" t="e">
        <f>(Table133[[#This Row],[Price at hi of squeeze]]-Table133[[#This Row],[PM Hi]])/Table133[[#This Row],[PM Hi]]</f>
        <v>#DIV/0!</v>
      </c>
      <c r="AD86" s="18"/>
      <c r="AE86" s="20" t="e">
        <f>Table133[[#This Row],[PM VOL]]/1000000/Table133[[#This Row],[FLOAT(M)]]</f>
        <v>#DIV/0!</v>
      </c>
      <c r="AF86" s="23" t="e">
        <f>(Table133[[#This Row],[Volume]]/1000000)/Table133[[#This Row],[FLOAT(M)]]</f>
        <v>#DIV/0!</v>
      </c>
      <c r="AH86" s="18" t="e">
        <f>(Table133[[#This Row],[PM Hi]]-Table133[[#This Row],[MKT Open Price]])/(Table133[[#This Row],[PM Hi]])</f>
        <v>#DIV/0!</v>
      </c>
      <c r="AI86" s="18" t="e">
        <f>IF(Table133[[#This Row],[PM LO]]&gt;Table133[[#This Row],[Prior day close]],(Table133[[#This Row],[PM Hi]]-Table133[[#This Row],[MKT Open Price]])/(Table133[[#This Row],[PM Hi]]-Table133[[#This Row],[Prior day close]]),(Table133[[#This Row],[PM Hi]]-Table133[[#This Row],[MKT Open Price]])/(Table133[[#This Row],[PM Hi]]-Table133[[#This Row],[PM LO]]))</f>
        <v>#DIV/0!</v>
      </c>
      <c r="AJ86" s="48" t="e">
        <f>IF(Table133[[#This Row],[Prior day close]]&lt;Table133[[#This Row],[PM LO]],(I86-K86)/(I86-Table133[[#This Row],[Prior day close]]),(I86-K86)/(I86-Table133[[#This Row],[PM LO]]))</f>
        <v>#DIV/0!</v>
      </c>
      <c r="AK86" s="48" t="e">
        <f>Table133[[#This Row],[Spike % on open before drop]]+AL86</f>
        <v>#DIV/0!</v>
      </c>
      <c r="AL86" s="16" t="e">
        <f t="shared" si="6"/>
        <v>#DIV/0!</v>
      </c>
      <c r="AM86" s="18" t="e">
        <f>IF($J86&gt;=$F86,($J86-$K86)/($J86),(IF($H86&lt;=$K86,($F86-$H86)/($F86),(Table133[[#This Row],[PM Hi]]-Table133[[#This Row],[Lowest lo from open to squeeze]])/(Table133[[#This Row],[PM Hi]]))))</f>
        <v>#DIV/0!</v>
      </c>
      <c r="AN86" s="48" t="e">
        <f>IF(Table133[[#This Row],[Prior day close]]&lt;=Table133[[#This Row],[PM LO]],IF($J86&gt;=$F86,($J86-$K86)/($J86-Table133[[#This Row],[Prior day close]]),(IF($H86&lt;=$K86,($F86-$H86)/($F86-Table133[[#This Row],[Prior day close]]),(Table133[[#This Row],[PM Hi]]-Table133[[#This Row],[Lowest lo from open to squeeze]])/(Table133[[#This Row],[PM Hi]]-Table133[[#This Row],[Prior day close]])))),IF($J86&gt;=$F86,($J86-$K86)/($J86-Table133[[#This Row],[PM LO]]),(IF($H86&lt;=$K86,($F86-$H86)/($F86-Table133[[#This Row],[PM LO]]),(Table133[[#This Row],[PM Hi]]-Table133[[#This Row],[Lowest lo from open to squeeze]])/(Table133[[#This Row],[PM Hi]]-Table133[[#This Row],[PM LO]])))))</f>
        <v>#DIV/0!</v>
      </c>
      <c r="AO86" s="18" t="e">
        <f>IF(J86&gt;=F86,(J86-K86)/(J86-D86),(IF(H86&lt;=K86,(F86-H86)/(F86-D86),(Table133[[#This Row],[PM Hi]]-Table133[[#This Row],[Lowest lo from open to squeeze]])/(Table133[[#This Row],[PM Hi]]-Table133[[#This Row],[Prior day close]]))))</f>
        <v>#DIV/0!</v>
      </c>
      <c r="AP86" s="17">
        <f>390+Table133[[#This Row],[Time until ideal entry point (mins) from open]]</f>
        <v>390</v>
      </c>
      <c r="AQ86" s="17">
        <f>Table133[[#This Row],[Time until ideal entry + 390 (6:30)]]+Table133[[#This Row],[Duration of frontside (mins)]]</f>
        <v>390</v>
      </c>
    </row>
    <row r="87" spans="1:43" x14ac:dyDescent="0.25">
      <c r="A87" s="24" t="s">
        <v>200</v>
      </c>
      <c r="B87" s="47">
        <v>44014</v>
      </c>
      <c r="C87" s="47" t="s">
        <v>71</v>
      </c>
      <c r="D87" s="12"/>
      <c r="E87" s="13">
        <f>Table133[[#This Row],[Prior day close]]</f>
        <v>0</v>
      </c>
      <c r="F87" s="12"/>
      <c r="G87" s="12"/>
      <c r="H87" s="12"/>
      <c r="I87" s="12"/>
      <c r="J87" s="12"/>
      <c r="K87" s="12"/>
      <c r="N87" s="13"/>
      <c r="P87" s="37"/>
      <c r="Q87" s="46"/>
      <c r="R87" s="37"/>
      <c r="S87" s="37"/>
      <c r="T87" s="37"/>
      <c r="U87" s="38"/>
      <c r="V87" s="46"/>
      <c r="W87" s="37"/>
      <c r="X87" s="46"/>
      <c r="Y87" s="41">
        <f>Table133[[#This Row],[Time until ideal entry + 390 (6:30)]]/(1440)</f>
        <v>0.27083333333333331</v>
      </c>
      <c r="Z87" s="18" t="e">
        <f t="shared" si="8"/>
        <v>#DIV/0!</v>
      </c>
      <c r="AA87" s="18" t="e">
        <f>IF(Table133[[#This Row],[HOD AFTER PM HI]]&gt;=Table133[[#This Row],[PM Hi]],((Table133[[#This Row],[HOD AFTER PM HI]]-Table133[[#This Row],[Prior day close]])/Table133[[#This Row],[Prior day close]]),Table133[[#This Row],[Prior Close to PM Hi %]])</f>
        <v>#DIV/0!</v>
      </c>
      <c r="AB87" s="42" t="e">
        <f>(Table133[[#This Row],[Price at hi of squeeze]]-Table133[[#This Row],[MKT Open Price]])/Table133[[#This Row],[MKT Open Price]]</f>
        <v>#DIV/0!</v>
      </c>
      <c r="AC87" s="18" t="e">
        <f>(Table133[[#This Row],[Price at hi of squeeze]]-Table133[[#This Row],[PM Hi]])/Table133[[#This Row],[PM Hi]]</f>
        <v>#DIV/0!</v>
      </c>
      <c r="AD87" s="18"/>
      <c r="AE87" s="20" t="e">
        <f>Table133[[#This Row],[PM VOL]]/1000000/Table133[[#This Row],[FLOAT(M)]]</f>
        <v>#DIV/0!</v>
      </c>
      <c r="AF87" s="23" t="e">
        <f>(Table133[[#This Row],[Volume]]/1000000)/Table133[[#This Row],[FLOAT(M)]]</f>
        <v>#DIV/0!</v>
      </c>
      <c r="AH87" s="18" t="e">
        <f>(Table133[[#This Row],[PM Hi]]-Table133[[#This Row],[MKT Open Price]])/(Table133[[#This Row],[PM Hi]])</f>
        <v>#DIV/0!</v>
      </c>
      <c r="AI87" s="18" t="e">
        <f>IF(Table133[[#This Row],[PM LO]]&gt;Table133[[#This Row],[Prior day close]],(Table133[[#This Row],[PM Hi]]-Table133[[#This Row],[MKT Open Price]])/(Table133[[#This Row],[PM Hi]]-Table133[[#This Row],[Prior day close]]),(Table133[[#This Row],[PM Hi]]-Table133[[#This Row],[MKT Open Price]])/(Table133[[#This Row],[PM Hi]]-Table133[[#This Row],[PM LO]]))</f>
        <v>#DIV/0!</v>
      </c>
      <c r="AJ87" s="48" t="e">
        <f>IF(Table133[[#This Row],[Prior day close]]&lt;Table133[[#This Row],[PM LO]],(I87-K87)/(I87-Table133[[#This Row],[Prior day close]]),(I87-K87)/(I87-Table133[[#This Row],[PM LO]]))</f>
        <v>#DIV/0!</v>
      </c>
      <c r="AK87" s="48" t="e">
        <f>Table133[[#This Row],[Spike % on open before drop]]+AL87</f>
        <v>#DIV/0!</v>
      </c>
      <c r="AL87" s="16" t="e">
        <f t="shared" si="6"/>
        <v>#DIV/0!</v>
      </c>
      <c r="AM87" s="18" t="e">
        <f>IF($J87&gt;=$F87,($J87-$K87)/($J87),(IF($H87&lt;=$K87,($F87-$H87)/($F87),(Table133[[#This Row],[PM Hi]]-Table133[[#This Row],[Lowest lo from open to squeeze]])/(Table133[[#This Row],[PM Hi]]))))</f>
        <v>#DIV/0!</v>
      </c>
      <c r="AN87" s="48" t="e">
        <f>IF(Table133[[#This Row],[Prior day close]]&lt;=Table133[[#This Row],[PM LO]],IF($J87&gt;=$F87,($J87-$K87)/($J87-Table133[[#This Row],[Prior day close]]),(IF($H87&lt;=$K87,($F87-$H87)/($F87-Table133[[#This Row],[Prior day close]]),(Table133[[#This Row],[PM Hi]]-Table133[[#This Row],[Lowest lo from open to squeeze]])/(Table133[[#This Row],[PM Hi]]-Table133[[#This Row],[Prior day close]])))),IF($J87&gt;=$F87,($J87-$K87)/($J87-Table133[[#This Row],[PM LO]]),(IF($H87&lt;=$K87,($F87-$H87)/($F87-Table133[[#This Row],[PM LO]]),(Table133[[#This Row],[PM Hi]]-Table133[[#This Row],[Lowest lo from open to squeeze]])/(Table133[[#This Row],[PM Hi]]-Table133[[#This Row],[PM LO]])))))</f>
        <v>#DIV/0!</v>
      </c>
      <c r="AO87" s="18" t="e">
        <f>IF(J87&gt;=F87,(J87-K87)/(J87-D87),(IF(H87&lt;=K87,(F87-H87)/(F87-D87),(Table133[[#This Row],[PM Hi]]-Table133[[#This Row],[Lowest lo from open to squeeze]])/(Table133[[#This Row],[PM Hi]]-Table133[[#This Row],[Prior day close]]))))</f>
        <v>#DIV/0!</v>
      </c>
      <c r="AP87" s="17">
        <f>390+Table133[[#This Row],[Time until ideal entry point (mins) from open]]</f>
        <v>390</v>
      </c>
      <c r="AQ87" s="17">
        <f>Table133[[#This Row],[Time until ideal entry + 390 (6:30)]]+Table133[[#This Row],[Duration of frontside (mins)]]</f>
        <v>390</v>
      </c>
    </row>
    <row r="88" spans="1:43" x14ac:dyDescent="0.25">
      <c r="A88" s="24" t="s">
        <v>219</v>
      </c>
      <c r="B88" s="47">
        <v>44092</v>
      </c>
      <c r="C88" s="47" t="s">
        <v>71</v>
      </c>
      <c r="D88" s="12"/>
      <c r="E88" s="13">
        <f>Table133[[#This Row],[Prior day close]]</f>
        <v>0</v>
      </c>
      <c r="F88" s="12"/>
      <c r="G88" s="12"/>
      <c r="H88" s="12"/>
      <c r="I88" s="12"/>
      <c r="J88" s="12"/>
      <c r="K88" s="12"/>
      <c r="N88" s="13"/>
      <c r="P88" s="37"/>
      <c r="Q88" s="46"/>
      <c r="R88" s="37"/>
      <c r="S88" s="37"/>
      <c r="T88" s="37"/>
      <c r="U88" s="38"/>
      <c r="V88" s="46"/>
      <c r="W88" s="37"/>
      <c r="X88" s="46"/>
      <c r="Y88" s="41">
        <f>Table133[[#This Row],[Time until ideal entry + 390 (6:30)]]/(1440)</f>
        <v>0.27083333333333331</v>
      </c>
      <c r="Z88" s="18" t="e">
        <f t="shared" si="8"/>
        <v>#DIV/0!</v>
      </c>
      <c r="AA88" s="18" t="e">
        <f>IF(Table133[[#This Row],[HOD AFTER PM HI]]&gt;=Table133[[#This Row],[PM Hi]],((Table133[[#This Row],[HOD AFTER PM HI]]-Table133[[#This Row],[Prior day close]])/Table133[[#This Row],[Prior day close]]),Table133[[#This Row],[Prior Close to PM Hi %]])</f>
        <v>#DIV/0!</v>
      </c>
      <c r="AB88" s="42" t="e">
        <f>(Table133[[#This Row],[Price at hi of squeeze]]-Table133[[#This Row],[MKT Open Price]])/Table133[[#This Row],[MKT Open Price]]</f>
        <v>#DIV/0!</v>
      </c>
      <c r="AC88" s="18" t="e">
        <f>(Table133[[#This Row],[Price at hi of squeeze]]-Table133[[#This Row],[PM Hi]])/Table133[[#This Row],[PM Hi]]</f>
        <v>#DIV/0!</v>
      </c>
      <c r="AD88" s="18"/>
      <c r="AE88" s="20" t="e">
        <f>Table133[[#This Row],[PM VOL]]/1000000/Table133[[#This Row],[FLOAT(M)]]</f>
        <v>#DIV/0!</v>
      </c>
      <c r="AF88" s="23" t="e">
        <f>(Table133[[#This Row],[Volume]]/1000000)/Table133[[#This Row],[FLOAT(M)]]</f>
        <v>#DIV/0!</v>
      </c>
      <c r="AH88" s="18" t="e">
        <f>(Table133[[#This Row],[PM Hi]]-Table133[[#This Row],[MKT Open Price]])/(Table133[[#This Row],[PM Hi]])</f>
        <v>#DIV/0!</v>
      </c>
      <c r="AI88" s="18" t="e">
        <f>IF(Table133[[#This Row],[PM LO]]&gt;Table133[[#This Row],[Prior day close]],(Table133[[#This Row],[PM Hi]]-Table133[[#This Row],[MKT Open Price]])/(Table133[[#This Row],[PM Hi]]-Table133[[#This Row],[Prior day close]]),(Table133[[#This Row],[PM Hi]]-Table133[[#This Row],[MKT Open Price]])/(Table133[[#This Row],[PM Hi]]-Table133[[#This Row],[PM LO]]))</f>
        <v>#DIV/0!</v>
      </c>
      <c r="AJ88" s="48" t="e">
        <f>IF(Table133[[#This Row],[Prior day close]]&lt;Table133[[#This Row],[PM LO]],(I88-K88)/(I88-Table133[[#This Row],[Prior day close]]),(I88-K88)/(I88-Table133[[#This Row],[PM LO]]))</f>
        <v>#DIV/0!</v>
      </c>
      <c r="AK88" s="48" t="e">
        <f>Table133[[#This Row],[Spike % on open before drop]]+AL88</f>
        <v>#DIV/0!</v>
      </c>
      <c r="AL88" s="16" t="e">
        <f t="shared" si="6"/>
        <v>#DIV/0!</v>
      </c>
      <c r="AM88" s="18" t="e">
        <f>IF($J88&gt;=$F88,($J88-$K88)/($J88),(IF($H88&lt;=$K88,($F88-$H88)/($F88),(Table133[[#This Row],[PM Hi]]-Table133[[#This Row],[Lowest lo from open to squeeze]])/(Table133[[#This Row],[PM Hi]]))))</f>
        <v>#DIV/0!</v>
      </c>
      <c r="AN88" s="48" t="e">
        <f>IF(Table133[[#This Row],[Prior day close]]&lt;=Table133[[#This Row],[PM LO]],IF($J88&gt;=$F88,($J88-$K88)/($J88-Table133[[#This Row],[Prior day close]]),(IF($H88&lt;=$K88,($F88-$H88)/($F88-Table133[[#This Row],[Prior day close]]),(Table133[[#This Row],[PM Hi]]-Table133[[#This Row],[Lowest lo from open to squeeze]])/(Table133[[#This Row],[PM Hi]]-Table133[[#This Row],[Prior day close]])))),IF($J88&gt;=$F88,($J88-$K88)/($J88-Table133[[#This Row],[PM LO]]),(IF($H88&lt;=$K88,($F88-$H88)/($F88-Table133[[#This Row],[PM LO]]),(Table133[[#This Row],[PM Hi]]-Table133[[#This Row],[Lowest lo from open to squeeze]])/(Table133[[#This Row],[PM Hi]]-Table133[[#This Row],[PM LO]])))))</f>
        <v>#DIV/0!</v>
      </c>
      <c r="AO88" s="18" t="e">
        <f>IF(J88&gt;=F88,(J88-K88)/(J88-D88),(IF(H88&lt;=K88,(F88-H88)/(F88-D88),(Table133[[#This Row],[PM Hi]]-Table133[[#This Row],[Lowest lo from open to squeeze]])/(Table133[[#This Row],[PM Hi]]-Table133[[#This Row],[Prior day close]]))))</f>
        <v>#DIV/0!</v>
      </c>
      <c r="AP88" s="17">
        <f>390+Table133[[#This Row],[Time until ideal entry point (mins) from open]]</f>
        <v>390</v>
      </c>
      <c r="AQ88" s="17">
        <f>Table133[[#This Row],[Time until ideal entry + 390 (6:30)]]+Table133[[#This Row],[Duration of frontside (mins)]]</f>
        <v>390</v>
      </c>
    </row>
    <row r="89" spans="1:43" x14ac:dyDescent="0.25">
      <c r="A89" s="24" t="s">
        <v>210</v>
      </c>
      <c r="B89" s="47">
        <v>44096</v>
      </c>
      <c r="C89" s="47" t="s">
        <v>71</v>
      </c>
      <c r="D89" s="12"/>
      <c r="E89" s="13">
        <f>Table133[[#This Row],[Prior day close]]</f>
        <v>0</v>
      </c>
      <c r="F89" s="12"/>
      <c r="G89" s="12"/>
      <c r="H89" s="12"/>
      <c r="I89" s="12"/>
      <c r="J89" s="12"/>
      <c r="K89" s="12"/>
      <c r="N89" s="13"/>
      <c r="P89" s="37"/>
      <c r="Q89" s="46"/>
      <c r="R89" s="37"/>
      <c r="S89" s="37"/>
      <c r="T89" s="37"/>
      <c r="U89" s="38"/>
      <c r="V89" s="46"/>
      <c r="W89" s="37"/>
      <c r="X89" s="46"/>
      <c r="Y89" s="41">
        <f>Table133[[#This Row],[Time until ideal entry + 390 (6:30)]]/(1440)</f>
        <v>0.27083333333333331</v>
      </c>
      <c r="Z89" s="18" t="e">
        <f t="shared" si="8"/>
        <v>#DIV/0!</v>
      </c>
      <c r="AA89" s="18" t="e">
        <f>IF(Table133[[#This Row],[HOD AFTER PM HI]]&gt;=Table133[[#This Row],[PM Hi]],((Table133[[#This Row],[HOD AFTER PM HI]]-Table133[[#This Row],[Prior day close]])/Table133[[#This Row],[Prior day close]]),Table133[[#This Row],[Prior Close to PM Hi %]])</f>
        <v>#DIV/0!</v>
      </c>
      <c r="AB89" s="42" t="e">
        <f>(Table133[[#This Row],[Price at hi of squeeze]]-Table133[[#This Row],[MKT Open Price]])/Table133[[#This Row],[MKT Open Price]]</f>
        <v>#DIV/0!</v>
      </c>
      <c r="AC89" s="18" t="e">
        <f>(Table133[[#This Row],[Price at hi of squeeze]]-Table133[[#This Row],[PM Hi]])/Table133[[#This Row],[PM Hi]]</f>
        <v>#DIV/0!</v>
      </c>
      <c r="AD89" s="18"/>
      <c r="AE89" s="20" t="e">
        <f>Table133[[#This Row],[PM VOL]]/1000000/Table133[[#This Row],[FLOAT(M)]]</f>
        <v>#DIV/0!</v>
      </c>
      <c r="AF89" s="23" t="e">
        <f>(Table133[[#This Row],[Volume]]/1000000)/Table133[[#This Row],[FLOAT(M)]]</f>
        <v>#DIV/0!</v>
      </c>
      <c r="AH89" s="18" t="e">
        <f>(Table133[[#This Row],[PM Hi]]-Table133[[#This Row],[MKT Open Price]])/(Table133[[#This Row],[PM Hi]])</f>
        <v>#DIV/0!</v>
      </c>
      <c r="AI89" s="18" t="e">
        <f>IF(Table133[[#This Row],[PM LO]]&gt;Table133[[#This Row],[Prior day close]],(Table133[[#This Row],[PM Hi]]-Table133[[#This Row],[MKT Open Price]])/(Table133[[#This Row],[PM Hi]]-Table133[[#This Row],[Prior day close]]),(Table133[[#This Row],[PM Hi]]-Table133[[#This Row],[MKT Open Price]])/(Table133[[#This Row],[PM Hi]]-Table133[[#This Row],[PM LO]]))</f>
        <v>#DIV/0!</v>
      </c>
      <c r="AJ89" s="48" t="e">
        <f>IF(Table133[[#This Row],[Prior day close]]&lt;Table133[[#This Row],[PM LO]],(I89-K89)/(I89-Table133[[#This Row],[Prior day close]]),(I89-K89)/(I89-Table133[[#This Row],[PM LO]]))</f>
        <v>#DIV/0!</v>
      </c>
      <c r="AK89" s="48" t="e">
        <f>Table133[[#This Row],[Spike % on open before drop]]+AL89</f>
        <v>#DIV/0!</v>
      </c>
      <c r="AL89" s="16" t="e">
        <f t="shared" si="6"/>
        <v>#DIV/0!</v>
      </c>
      <c r="AM89" s="18" t="e">
        <f>IF($J89&gt;=$F89,($J89-$K89)/($J89),(IF($H89&lt;=$K89,($F89-$H89)/($F89),(Table133[[#This Row],[PM Hi]]-Table133[[#This Row],[Lowest lo from open to squeeze]])/(Table133[[#This Row],[PM Hi]]))))</f>
        <v>#DIV/0!</v>
      </c>
      <c r="AN89" s="48" t="e">
        <f>IF(Table133[[#This Row],[Prior day close]]&lt;=Table133[[#This Row],[PM LO]],IF($J89&gt;=$F89,($J89-$K89)/($J89-Table133[[#This Row],[Prior day close]]),(IF($H89&lt;=$K89,($F89-$H89)/($F89-Table133[[#This Row],[Prior day close]]),(Table133[[#This Row],[PM Hi]]-Table133[[#This Row],[Lowest lo from open to squeeze]])/(Table133[[#This Row],[PM Hi]]-Table133[[#This Row],[Prior day close]])))),IF($J89&gt;=$F89,($J89-$K89)/($J89-Table133[[#This Row],[PM LO]]),(IF($H89&lt;=$K89,($F89-$H89)/($F89-Table133[[#This Row],[PM LO]]),(Table133[[#This Row],[PM Hi]]-Table133[[#This Row],[Lowest lo from open to squeeze]])/(Table133[[#This Row],[PM Hi]]-Table133[[#This Row],[PM LO]])))))</f>
        <v>#DIV/0!</v>
      </c>
      <c r="AO89" s="18" t="e">
        <f>IF(J89&gt;=F89,(J89-K89)/(J89-D89),(IF(H89&lt;=K89,(F89-H89)/(F89-D89),(Table133[[#This Row],[PM Hi]]-Table133[[#This Row],[Lowest lo from open to squeeze]])/(Table133[[#This Row],[PM Hi]]-Table133[[#This Row],[Prior day close]]))))</f>
        <v>#DIV/0!</v>
      </c>
      <c r="AP89" s="17">
        <f>390+Table133[[#This Row],[Time until ideal entry point (mins) from open]]</f>
        <v>390</v>
      </c>
      <c r="AQ89" s="17">
        <f>Table133[[#This Row],[Time until ideal entry + 390 (6:30)]]+Table133[[#This Row],[Duration of frontside (mins)]]</f>
        <v>390</v>
      </c>
    </row>
    <row r="90" spans="1:43" x14ac:dyDescent="0.25">
      <c r="A90" s="24" t="s">
        <v>220</v>
      </c>
      <c r="B90" s="47">
        <v>44096</v>
      </c>
      <c r="C90" s="47" t="s">
        <v>71</v>
      </c>
      <c r="D90" s="12"/>
      <c r="E90" s="13">
        <f>Table133[[#This Row],[Prior day close]]</f>
        <v>0</v>
      </c>
      <c r="F90" s="12"/>
      <c r="G90" s="12"/>
      <c r="H90" s="12"/>
      <c r="I90" s="12"/>
      <c r="J90" s="12"/>
      <c r="K90" s="12"/>
      <c r="N90" s="13"/>
      <c r="P90" s="37"/>
      <c r="Q90" s="46"/>
      <c r="R90" s="37"/>
      <c r="S90" s="37"/>
      <c r="T90" s="37"/>
      <c r="U90" s="38"/>
      <c r="V90" s="46"/>
      <c r="W90" s="37"/>
      <c r="X90" s="46"/>
      <c r="Y90" s="41">
        <f>Table133[[#This Row],[Time until ideal entry + 390 (6:30)]]/(1440)</f>
        <v>0.27083333333333331</v>
      </c>
      <c r="Z90" s="18" t="e">
        <f t="shared" si="8"/>
        <v>#DIV/0!</v>
      </c>
      <c r="AA90" s="18" t="e">
        <f>IF(Table133[[#This Row],[HOD AFTER PM HI]]&gt;=Table133[[#This Row],[PM Hi]],((Table133[[#This Row],[HOD AFTER PM HI]]-Table133[[#This Row],[Prior day close]])/Table133[[#This Row],[Prior day close]]),Table133[[#This Row],[Prior Close to PM Hi %]])</f>
        <v>#DIV/0!</v>
      </c>
      <c r="AB90" s="42" t="e">
        <f>(Table133[[#This Row],[Price at hi of squeeze]]-Table133[[#This Row],[MKT Open Price]])/Table133[[#This Row],[MKT Open Price]]</f>
        <v>#DIV/0!</v>
      </c>
      <c r="AC90" s="18" t="e">
        <f>(Table133[[#This Row],[Price at hi of squeeze]]-Table133[[#This Row],[PM Hi]])/Table133[[#This Row],[PM Hi]]</f>
        <v>#DIV/0!</v>
      </c>
      <c r="AD90" s="18"/>
      <c r="AE90" s="20" t="e">
        <f>Table133[[#This Row],[PM VOL]]/1000000/Table133[[#This Row],[FLOAT(M)]]</f>
        <v>#DIV/0!</v>
      </c>
      <c r="AF90" s="23" t="e">
        <f>(Table133[[#This Row],[Volume]]/1000000)/Table133[[#This Row],[FLOAT(M)]]</f>
        <v>#DIV/0!</v>
      </c>
      <c r="AH90" s="18" t="e">
        <f>(Table133[[#This Row],[PM Hi]]-Table133[[#This Row],[MKT Open Price]])/(Table133[[#This Row],[PM Hi]])</f>
        <v>#DIV/0!</v>
      </c>
      <c r="AI90" s="18" t="e">
        <f>IF(Table133[[#This Row],[PM LO]]&gt;Table133[[#This Row],[Prior day close]],(Table133[[#This Row],[PM Hi]]-Table133[[#This Row],[MKT Open Price]])/(Table133[[#This Row],[PM Hi]]-Table133[[#This Row],[Prior day close]]),(Table133[[#This Row],[PM Hi]]-Table133[[#This Row],[MKT Open Price]])/(Table133[[#This Row],[PM Hi]]-Table133[[#This Row],[PM LO]]))</f>
        <v>#DIV/0!</v>
      </c>
      <c r="AJ90" s="48" t="e">
        <f>IF(Table133[[#This Row],[Prior day close]]&lt;Table133[[#This Row],[PM LO]],(I90-K90)/(I90-Table133[[#This Row],[Prior day close]]),(I90-K90)/(I90-Table133[[#This Row],[PM LO]]))</f>
        <v>#DIV/0!</v>
      </c>
      <c r="AK90" s="48" t="e">
        <f>Table133[[#This Row],[Spike % on open before drop]]+AL90</f>
        <v>#DIV/0!</v>
      </c>
      <c r="AL90" s="16" t="e">
        <f t="shared" si="6"/>
        <v>#DIV/0!</v>
      </c>
      <c r="AM90" s="18" t="e">
        <f>IF($J90&gt;=$F90,($J90-$K90)/($J90),(IF($H90&lt;=$K90,($F90-$H90)/($F90),(Table133[[#This Row],[PM Hi]]-Table133[[#This Row],[Lowest lo from open to squeeze]])/(Table133[[#This Row],[PM Hi]]))))</f>
        <v>#DIV/0!</v>
      </c>
      <c r="AN90" s="48" t="e">
        <f>IF(Table133[[#This Row],[Prior day close]]&lt;=Table133[[#This Row],[PM LO]],IF($J90&gt;=$F90,($J90-$K90)/($J90-Table133[[#This Row],[Prior day close]]),(IF($H90&lt;=$K90,($F90-$H90)/($F90-Table133[[#This Row],[Prior day close]]),(Table133[[#This Row],[PM Hi]]-Table133[[#This Row],[Lowest lo from open to squeeze]])/(Table133[[#This Row],[PM Hi]]-Table133[[#This Row],[Prior day close]])))),IF($J90&gt;=$F90,($J90-$K90)/($J90-Table133[[#This Row],[PM LO]]),(IF($H90&lt;=$K90,($F90-$H90)/($F90-Table133[[#This Row],[PM LO]]),(Table133[[#This Row],[PM Hi]]-Table133[[#This Row],[Lowest lo from open to squeeze]])/(Table133[[#This Row],[PM Hi]]-Table133[[#This Row],[PM LO]])))))</f>
        <v>#DIV/0!</v>
      </c>
      <c r="AO90" s="18" t="e">
        <f>IF(J90&gt;=F90,(J90-K90)/(J90-D90),(IF(H90&lt;=K90,(F90-H90)/(F90-D90),(Table133[[#This Row],[PM Hi]]-Table133[[#This Row],[Lowest lo from open to squeeze]])/(Table133[[#This Row],[PM Hi]]-Table133[[#This Row],[Prior day close]]))))</f>
        <v>#DIV/0!</v>
      </c>
      <c r="AP90" s="17">
        <f>390+Table133[[#This Row],[Time until ideal entry point (mins) from open]]</f>
        <v>390</v>
      </c>
      <c r="AQ90" s="17">
        <f>Table133[[#This Row],[Time until ideal entry + 390 (6:30)]]+Table133[[#This Row],[Duration of frontside (mins)]]</f>
        <v>390</v>
      </c>
    </row>
    <row r="91" spans="1:43" x14ac:dyDescent="0.25">
      <c r="A91" s="24" t="s">
        <v>224</v>
      </c>
      <c r="B91" s="47">
        <v>44105</v>
      </c>
      <c r="C91" s="47" t="s">
        <v>71</v>
      </c>
      <c r="D91" s="12"/>
      <c r="E91" s="13">
        <f>Table133[[#This Row],[Prior day close]]</f>
        <v>0</v>
      </c>
      <c r="F91" s="12"/>
      <c r="G91" s="12"/>
      <c r="H91" s="12"/>
      <c r="I91" s="12"/>
      <c r="J91" s="12"/>
      <c r="K91" s="12"/>
      <c r="N91" s="13"/>
      <c r="P91" s="37"/>
      <c r="Q91" s="46"/>
      <c r="R91" s="37"/>
      <c r="S91" s="37"/>
      <c r="T91" s="37"/>
      <c r="U91" s="38"/>
      <c r="V91" s="46"/>
      <c r="W91" s="37"/>
      <c r="X91" s="46"/>
      <c r="Y91" s="41">
        <f>Table133[[#This Row],[Time until ideal entry + 390 (6:30)]]/(1440)</f>
        <v>0.27083333333333331</v>
      </c>
      <c r="Z91" s="18" t="e">
        <f t="shared" si="8"/>
        <v>#DIV/0!</v>
      </c>
      <c r="AA91" s="18" t="e">
        <f>IF(Table133[[#This Row],[HOD AFTER PM HI]]&gt;=Table133[[#This Row],[PM Hi]],((Table133[[#This Row],[HOD AFTER PM HI]]-Table133[[#This Row],[Prior day close]])/Table133[[#This Row],[Prior day close]]),Table133[[#This Row],[Prior Close to PM Hi %]])</f>
        <v>#DIV/0!</v>
      </c>
      <c r="AB91" s="42" t="e">
        <f>(Table133[[#This Row],[Price at hi of squeeze]]-Table133[[#This Row],[MKT Open Price]])/Table133[[#This Row],[MKT Open Price]]</f>
        <v>#DIV/0!</v>
      </c>
      <c r="AC91" s="18" t="e">
        <f>(Table133[[#This Row],[Price at hi of squeeze]]-Table133[[#This Row],[PM Hi]])/Table133[[#This Row],[PM Hi]]</f>
        <v>#DIV/0!</v>
      </c>
      <c r="AD91" s="18"/>
      <c r="AE91" s="20" t="e">
        <f>Table133[[#This Row],[PM VOL]]/1000000/Table133[[#This Row],[FLOAT(M)]]</f>
        <v>#DIV/0!</v>
      </c>
      <c r="AF91" s="23" t="e">
        <f>(Table133[[#This Row],[Volume]]/1000000)/Table133[[#This Row],[FLOAT(M)]]</f>
        <v>#DIV/0!</v>
      </c>
      <c r="AH91" s="18" t="e">
        <f>(Table133[[#This Row],[PM Hi]]-Table133[[#This Row],[MKT Open Price]])/(Table133[[#This Row],[PM Hi]])</f>
        <v>#DIV/0!</v>
      </c>
      <c r="AI91" s="18" t="e">
        <f>IF(Table133[[#This Row],[PM LO]]&gt;Table133[[#This Row],[Prior day close]],(Table133[[#This Row],[PM Hi]]-Table133[[#This Row],[MKT Open Price]])/(Table133[[#This Row],[PM Hi]]-Table133[[#This Row],[Prior day close]]),(Table133[[#This Row],[PM Hi]]-Table133[[#This Row],[MKT Open Price]])/(Table133[[#This Row],[PM Hi]]-Table133[[#This Row],[PM LO]]))</f>
        <v>#DIV/0!</v>
      </c>
      <c r="AJ91" s="48" t="e">
        <f>IF(Table133[[#This Row],[Prior day close]]&lt;Table133[[#This Row],[PM LO]],(I91-K91)/(I91-Table133[[#This Row],[Prior day close]]),(I91-K91)/(I91-Table133[[#This Row],[PM LO]]))</f>
        <v>#DIV/0!</v>
      </c>
      <c r="AK91" s="48" t="e">
        <f>Table133[[#This Row],[Spike % on open before drop]]+AL91</f>
        <v>#DIV/0!</v>
      </c>
      <c r="AL91" s="16" t="e">
        <f t="shared" si="6"/>
        <v>#DIV/0!</v>
      </c>
      <c r="AM91" s="18" t="e">
        <f>IF($J91&gt;=$F91,($J91-$K91)/($J91),(IF($H91&lt;=$K91,($F91-$H91)/($F91),(Table133[[#This Row],[PM Hi]]-Table133[[#This Row],[Lowest lo from open to squeeze]])/(Table133[[#This Row],[PM Hi]]))))</f>
        <v>#DIV/0!</v>
      </c>
      <c r="AN91" s="48" t="e">
        <f>IF(Table133[[#This Row],[Prior day close]]&lt;=Table133[[#This Row],[PM LO]],IF($J91&gt;=$F91,($J91-$K91)/($J91-Table133[[#This Row],[Prior day close]]),(IF($H91&lt;=$K91,($F91-$H91)/($F91-Table133[[#This Row],[Prior day close]]),(Table133[[#This Row],[PM Hi]]-Table133[[#This Row],[Lowest lo from open to squeeze]])/(Table133[[#This Row],[PM Hi]]-Table133[[#This Row],[Prior day close]])))),IF($J91&gt;=$F91,($J91-$K91)/($J91-Table133[[#This Row],[PM LO]]),(IF($H91&lt;=$K91,($F91-$H91)/($F91-Table133[[#This Row],[PM LO]]),(Table133[[#This Row],[PM Hi]]-Table133[[#This Row],[Lowest lo from open to squeeze]])/(Table133[[#This Row],[PM Hi]]-Table133[[#This Row],[PM LO]])))))</f>
        <v>#DIV/0!</v>
      </c>
      <c r="AO91" s="18" t="e">
        <f>IF(J91&gt;=F91,(J91-K91)/(J91-D91),(IF(H91&lt;=K91,(F91-H91)/(F91-D91),(Table133[[#This Row],[PM Hi]]-Table133[[#This Row],[Lowest lo from open to squeeze]])/(Table133[[#This Row],[PM Hi]]-Table133[[#This Row],[Prior day close]]))))</f>
        <v>#DIV/0!</v>
      </c>
      <c r="AP91" s="17">
        <f>390+Table133[[#This Row],[Time until ideal entry point (mins) from open]]</f>
        <v>390</v>
      </c>
      <c r="AQ91" s="17">
        <f>Table133[[#This Row],[Time until ideal entry + 390 (6:30)]]+Table133[[#This Row],[Duration of frontside (mins)]]</f>
        <v>390</v>
      </c>
    </row>
    <row r="92" spans="1:43" x14ac:dyDescent="0.25">
      <c r="A92" s="24" t="s">
        <v>226</v>
      </c>
      <c r="B92" s="47">
        <v>44109</v>
      </c>
      <c r="C92" s="47" t="s">
        <v>71</v>
      </c>
      <c r="D92" s="12"/>
      <c r="E92" s="13">
        <f>Table133[[#This Row],[Prior day close]]</f>
        <v>0</v>
      </c>
      <c r="F92" s="12"/>
      <c r="G92" s="12"/>
      <c r="H92" s="12"/>
      <c r="I92" s="12"/>
      <c r="J92" s="12"/>
      <c r="K92" s="12"/>
      <c r="N92" s="13"/>
      <c r="P92" s="37"/>
      <c r="Q92" s="46"/>
      <c r="R92" s="37"/>
      <c r="S92" s="37"/>
      <c r="T92" s="37"/>
      <c r="U92" s="38"/>
      <c r="V92" s="46"/>
      <c r="W92" s="37"/>
      <c r="X92" s="46"/>
      <c r="Y92" s="41">
        <f>Table133[[#This Row],[Time until ideal entry + 390 (6:30)]]/(1440)</f>
        <v>0.27083333333333331</v>
      </c>
      <c r="Z92" s="18" t="e">
        <f t="shared" si="8"/>
        <v>#DIV/0!</v>
      </c>
      <c r="AA92" s="18" t="e">
        <f>IF(Table133[[#This Row],[HOD AFTER PM HI]]&gt;=Table133[[#This Row],[PM Hi]],((Table133[[#This Row],[HOD AFTER PM HI]]-Table133[[#This Row],[Prior day close]])/Table133[[#This Row],[Prior day close]]),Table133[[#This Row],[Prior Close to PM Hi %]])</f>
        <v>#DIV/0!</v>
      </c>
      <c r="AB92" s="42" t="e">
        <f>(Table133[[#This Row],[Price at hi of squeeze]]-Table133[[#This Row],[MKT Open Price]])/Table133[[#This Row],[MKT Open Price]]</f>
        <v>#DIV/0!</v>
      </c>
      <c r="AC92" s="18" t="e">
        <f>(Table133[[#This Row],[Price at hi of squeeze]]-Table133[[#This Row],[PM Hi]])/Table133[[#This Row],[PM Hi]]</f>
        <v>#DIV/0!</v>
      </c>
      <c r="AD92" s="18"/>
      <c r="AE92" s="20" t="e">
        <f>Table133[[#This Row],[PM VOL]]/1000000/Table133[[#This Row],[FLOAT(M)]]</f>
        <v>#DIV/0!</v>
      </c>
      <c r="AF92" s="23" t="e">
        <f>(Table133[[#This Row],[Volume]]/1000000)/Table133[[#This Row],[FLOAT(M)]]</f>
        <v>#DIV/0!</v>
      </c>
      <c r="AH92" s="18" t="e">
        <f>(Table133[[#This Row],[PM Hi]]-Table133[[#This Row],[MKT Open Price]])/(Table133[[#This Row],[PM Hi]])</f>
        <v>#DIV/0!</v>
      </c>
      <c r="AI92" s="18" t="e">
        <f>IF(Table133[[#This Row],[PM LO]]&gt;Table133[[#This Row],[Prior day close]],(Table133[[#This Row],[PM Hi]]-Table133[[#This Row],[MKT Open Price]])/(Table133[[#This Row],[PM Hi]]-Table133[[#This Row],[Prior day close]]),(Table133[[#This Row],[PM Hi]]-Table133[[#This Row],[MKT Open Price]])/(Table133[[#This Row],[PM Hi]]-Table133[[#This Row],[PM LO]]))</f>
        <v>#DIV/0!</v>
      </c>
      <c r="AJ92" s="48" t="e">
        <f>IF(Table133[[#This Row],[Prior day close]]&lt;Table133[[#This Row],[PM LO]],(I92-K92)/(I92-Table133[[#This Row],[Prior day close]]),(I92-K92)/(I92-Table133[[#This Row],[PM LO]]))</f>
        <v>#DIV/0!</v>
      </c>
      <c r="AK92" s="48" t="e">
        <f>Table133[[#This Row],[Spike % on open before drop]]+AL92</f>
        <v>#DIV/0!</v>
      </c>
      <c r="AL92" s="16" t="e">
        <f t="shared" si="6"/>
        <v>#DIV/0!</v>
      </c>
      <c r="AM92" s="18" t="e">
        <f>IF($J92&gt;=$F92,($J92-$K92)/($J92),(IF($H92&lt;=$K92,($F92-$H92)/($F92),(Table133[[#This Row],[PM Hi]]-Table133[[#This Row],[Lowest lo from open to squeeze]])/(Table133[[#This Row],[PM Hi]]))))</f>
        <v>#DIV/0!</v>
      </c>
      <c r="AN92" s="48" t="e">
        <f>IF(Table133[[#This Row],[Prior day close]]&lt;=Table133[[#This Row],[PM LO]],IF($J92&gt;=$F92,($J92-$K92)/($J92-Table133[[#This Row],[Prior day close]]),(IF($H92&lt;=$K92,($F92-$H92)/($F92-Table133[[#This Row],[Prior day close]]),(Table133[[#This Row],[PM Hi]]-Table133[[#This Row],[Lowest lo from open to squeeze]])/(Table133[[#This Row],[PM Hi]]-Table133[[#This Row],[Prior day close]])))),IF($J92&gt;=$F92,($J92-$K92)/($J92-Table133[[#This Row],[PM LO]]),(IF($H92&lt;=$K92,($F92-$H92)/($F92-Table133[[#This Row],[PM LO]]),(Table133[[#This Row],[PM Hi]]-Table133[[#This Row],[Lowest lo from open to squeeze]])/(Table133[[#This Row],[PM Hi]]-Table133[[#This Row],[PM LO]])))))</f>
        <v>#DIV/0!</v>
      </c>
      <c r="AO92" s="18" t="e">
        <f>IF(J92&gt;=F92,(J92-K92)/(J92-D92),(IF(H92&lt;=K92,(F92-H92)/(F92-D92),(Table133[[#This Row],[PM Hi]]-Table133[[#This Row],[Lowest lo from open to squeeze]])/(Table133[[#This Row],[PM Hi]]-Table133[[#This Row],[Prior day close]]))))</f>
        <v>#DIV/0!</v>
      </c>
      <c r="AP92" s="17">
        <f>390+Table133[[#This Row],[Time until ideal entry point (mins) from open]]</f>
        <v>390</v>
      </c>
      <c r="AQ92" s="17">
        <f>Table133[[#This Row],[Time until ideal entry + 390 (6:30)]]+Table133[[#This Row],[Duration of frontside (mins)]]</f>
        <v>390</v>
      </c>
    </row>
    <row r="93" spans="1:43" x14ac:dyDescent="0.25">
      <c r="A93" s="24" t="s">
        <v>227</v>
      </c>
      <c r="B93" s="47">
        <v>44113</v>
      </c>
      <c r="C93" s="47" t="s">
        <v>71</v>
      </c>
      <c r="D93" s="12"/>
      <c r="E93" s="13">
        <f>Table133[[#This Row],[Prior day close]]</f>
        <v>0</v>
      </c>
      <c r="F93" s="12"/>
      <c r="G93" s="12"/>
      <c r="H93" s="12"/>
      <c r="I93" s="12"/>
      <c r="J93" s="12"/>
      <c r="K93" s="12"/>
      <c r="N93" s="13"/>
      <c r="P93" s="37"/>
      <c r="Q93" s="46"/>
      <c r="R93" s="37"/>
      <c r="S93" s="37"/>
      <c r="T93" s="37"/>
      <c r="U93" s="38"/>
      <c r="V93" s="46"/>
      <c r="W93" s="37"/>
      <c r="X93" s="46"/>
      <c r="Y93" s="41">
        <f>Table133[[#This Row],[Time until ideal entry + 390 (6:30)]]/(1440)</f>
        <v>0.27083333333333331</v>
      </c>
      <c r="Z93" s="18" t="e">
        <f t="shared" si="8"/>
        <v>#DIV/0!</v>
      </c>
      <c r="AA93" s="18" t="e">
        <f>IF(Table133[[#This Row],[HOD AFTER PM HI]]&gt;=Table133[[#This Row],[PM Hi]],((Table133[[#This Row],[HOD AFTER PM HI]]-Table133[[#This Row],[Prior day close]])/Table133[[#This Row],[Prior day close]]),Table133[[#This Row],[Prior Close to PM Hi %]])</f>
        <v>#DIV/0!</v>
      </c>
      <c r="AB93" s="42" t="e">
        <f>(Table133[[#This Row],[Price at hi of squeeze]]-Table133[[#This Row],[MKT Open Price]])/Table133[[#This Row],[MKT Open Price]]</f>
        <v>#DIV/0!</v>
      </c>
      <c r="AC93" s="18" t="e">
        <f>(Table133[[#This Row],[Price at hi of squeeze]]-Table133[[#This Row],[PM Hi]])/Table133[[#This Row],[PM Hi]]</f>
        <v>#DIV/0!</v>
      </c>
      <c r="AD93" s="18"/>
      <c r="AE93" s="20" t="e">
        <f>Table133[[#This Row],[PM VOL]]/1000000/Table133[[#This Row],[FLOAT(M)]]</f>
        <v>#DIV/0!</v>
      </c>
      <c r="AF93" s="23" t="e">
        <f>(Table133[[#This Row],[Volume]]/1000000)/Table133[[#This Row],[FLOAT(M)]]</f>
        <v>#DIV/0!</v>
      </c>
      <c r="AH93" s="18" t="e">
        <f>(Table133[[#This Row],[PM Hi]]-Table133[[#This Row],[MKT Open Price]])/(Table133[[#This Row],[PM Hi]])</f>
        <v>#DIV/0!</v>
      </c>
      <c r="AI93" s="18" t="e">
        <f>IF(Table133[[#This Row],[PM LO]]&gt;Table133[[#This Row],[Prior day close]],(Table133[[#This Row],[PM Hi]]-Table133[[#This Row],[MKT Open Price]])/(Table133[[#This Row],[PM Hi]]-Table133[[#This Row],[Prior day close]]),(Table133[[#This Row],[PM Hi]]-Table133[[#This Row],[MKT Open Price]])/(Table133[[#This Row],[PM Hi]]-Table133[[#This Row],[PM LO]]))</f>
        <v>#DIV/0!</v>
      </c>
      <c r="AJ93" s="48" t="e">
        <f>IF(Table133[[#This Row],[Prior day close]]&lt;Table133[[#This Row],[PM LO]],(I93-K93)/(I93-Table133[[#This Row],[Prior day close]]),(I93-K93)/(I93-Table133[[#This Row],[PM LO]]))</f>
        <v>#DIV/0!</v>
      </c>
      <c r="AK93" s="48" t="e">
        <f>Table133[[#This Row],[Spike % on open before drop]]+AL93</f>
        <v>#DIV/0!</v>
      </c>
      <c r="AL93" s="16" t="e">
        <f t="shared" si="6"/>
        <v>#DIV/0!</v>
      </c>
      <c r="AM93" s="18" t="e">
        <f>IF($J93&gt;=$F93,($J93-$K93)/($J93),(IF($H93&lt;=$K93,($F93-$H93)/($F93),(Table133[[#This Row],[PM Hi]]-Table133[[#This Row],[Lowest lo from open to squeeze]])/(Table133[[#This Row],[PM Hi]]))))</f>
        <v>#DIV/0!</v>
      </c>
      <c r="AN93" s="48" t="e">
        <f>IF(Table133[[#This Row],[Prior day close]]&lt;=Table133[[#This Row],[PM LO]],IF($J93&gt;=$F93,($J93-$K93)/($J93-Table133[[#This Row],[Prior day close]]),(IF($H93&lt;=$K93,($F93-$H93)/($F93-Table133[[#This Row],[Prior day close]]),(Table133[[#This Row],[PM Hi]]-Table133[[#This Row],[Lowest lo from open to squeeze]])/(Table133[[#This Row],[PM Hi]]-Table133[[#This Row],[Prior day close]])))),IF($J93&gt;=$F93,($J93-$K93)/($J93-Table133[[#This Row],[PM LO]]),(IF($H93&lt;=$K93,($F93-$H93)/($F93-Table133[[#This Row],[PM LO]]),(Table133[[#This Row],[PM Hi]]-Table133[[#This Row],[Lowest lo from open to squeeze]])/(Table133[[#This Row],[PM Hi]]-Table133[[#This Row],[PM LO]])))))</f>
        <v>#DIV/0!</v>
      </c>
      <c r="AO93" s="18" t="e">
        <f>IF(J93&gt;=F93,(J93-K93)/(J93-D93),(IF(H93&lt;=K93,(F93-H93)/(F93-D93),(Table133[[#This Row],[PM Hi]]-Table133[[#This Row],[Lowest lo from open to squeeze]])/(Table133[[#This Row],[PM Hi]]-Table133[[#This Row],[Prior day close]]))))</f>
        <v>#DIV/0!</v>
      </c>
      <c r="AP93" s="17">
        <f>390+Table133[[#This Row],[Time until ideal entry point (mins) from open]]</f>
        <v>390</v>
      </c>
      <c r="AQ93" s="17">
        <f>Table133[[#This Row],[Time until ideal entry + 390 (6:30)]]+Table133[[#This Row],[Duration of frontside (mins)]]</f>
        <v>390</v>
      </c>
    </row>
    <row r="94" spans="1:43" x14ac:dyDescent="0.25">
      <c r="A94" s="24" t="s">
        <v>105</v>
      </c>
      <c r="B94" s="47">
        <v>44172</v>
      </c>
      <c r="C94" s="47" t="s">
        <v>71</v>
      </c>
      <c r="D94" s="12"/>
      <c r="E94" s="13">
        <f>Table133[[#This Row],[Prior day close]]</f>
        <v>0</v>
      </c>
      <c r="F94" s="12"/>
      <c r="G94" s="12"/>
      <c r="H94" s="12"/>
      <c r="I94" s="12"/>
      <c r="J94" s="12"/>
      <c r="K94" s="12"/>
      <c r="N94" s="13"/>
      <c r="P94" s="37"/>
      <c r="Q94" s="46"/>
      <c r="R94" s="37"/>
      <c r="S94" s="37"/>
      <c r="T94" s="37"/>
      <c r="U94" s="38"/>
      <c r="V94" s="46"/>
      <c r="W94" s="37"/>
      <c r="X94" s="46"/>
      <c r="Y94" s="41">
        <f>Table133[[#This Row],[Time until ideal entry + 390 (6:30)]]/(1440)</f>
        <v>0.27083333333333331</v>
      </c>
      <c r="Z94" s="18" t="e">
        <f t="shared" si="8"/>
        <v>#DIV/0!</v>
      </c>
      <c r="AA94" s="18" t="e">
        <f>IF(Table133[[#This Row],[HOD AFTER PM HI]]&gt;=Table133[[#This Row],[PM Hi]],((Table133[[#This Row],[HOD AFTER PM HI]]-Table133[[#This Row],[Prior day close]])/Table133[[#This Row],[Prior day close]]),Table133[[#This Row],[Prior Close to PM Hi %]])</f>
        <v>#DIV/0!</v>
      </c>
      <c r="AB94" s="42" t="e">
        <f>(Table133[[#This Row],[Price at hi of squeeze]]-Table133[[#This Row],[MKT Open Price]])/Table133[[#This Row],[MKT Open Price]]</f>
        <v>#DIV/0!</v>
      </c>
      <c r="AC94" s="18" t="e">
        <f>(Table133[[#This Row],[Price at hi of squeeze]]-Table133[[#This Row],[PM Hi]])/Table133[[#This Row],[PM Hi]]</f>
        <v>#DIV/0!</v>
      </c>
      <c r="AD94" s="18"/>
      <c r="AE94" s="20" t="e">
        <f>Table133[[#This Row],[PM VOL]]/1000000/Table133[[#This Row],[FLOAT(M)]]</f>
        <v>#DIV/0!</v>
      </c>
      <c r="AF94" s="23" t="e">
        <f>(Table133[[#This Row],[Volume]]/1000000)/Table133[[#This Row],[FLOAT(M)]]</f>
        <v>#DIV/0!</v>
      </c>
      <c r="AH94" s="18" t="e">
        <f>(Table133[[#This Row],[PM Hi]]-Table133[[#This Row],[MKT Open Price]])/(Table133[[#This Row],[PM Hi]])</f>
        <v>#DIV/0!</v>
      </c>
      <c r="AI94" s="18" t="e">
        <f>IF(Table133[[#This Row],[PM LO]]&gt;Table133[[#This Row],[Prior day close]],(Table133[[#This Row],[PM Hi]]-Table133[[#This Row],[MKT Open Price]])/(Table133[[#This Row],[PM Hi]]-Table133[[#This Row],[Prior day close]]),(Table133[[#This Row],[PM Hi]]-Table133[[#This Row],[MKT Open Price]])/(Table133[[#This Row],[PM Hi]]-Table133[[#This Row],[PM LO]]))</f>
        <v>#DIV/0!</v>
      </c>
      <c r="AJ94" s="48" t="e">
        <f>IF(Table133[[#This Row],[Prior day close]]&lt;Table133[[#This Row],[PM LO]],(I94-K94)/(I94-Table133[[#This Row],[Prior day close]]),(I94-K94)/(I94-Table133[[#This Row],[PM LO]]))</f>
        <v>#DIV/0!</v>
      </c>
      <c r="AK94" s="48" t="e">
        <f>Table133[[#This Row],[Spike % on open before drop]]+AL94</f>
        <v>#DIV/0!</v>
      </c>
      <c r="AL94" s="16" t="e">
        <f t="shared" si="6"/>
        <v>#DIV/0!</v>
      </c>
      <c r="AM94" s="18" t="e">
        <f>IF($J94&gt;=$F94,($J94-$K94)/($J94),(IF($H94&lt;=$K94,($F94-$H94)/($F94),(Table133[[#This Row],[PM Hi]]-Table133[[#This Row],[Lowest lo from open to squeeze]])/(Table133[[#This Row],[PM Hi]]))))</f>
        <v>#DIV/0!</v>
      </c>
      <c r="AN94" s="48" t="e">
        <f>IF(Table133[[#This Row],[Prior day close]]&lt;=Table133[[#This Row],[PM LO]],IF($J94&gt;=$F94,($J94-$K94)/($J94-Table133[[#This Row],[Prior day close]]),(IF($H94&lt;=$K94,($F94-$H94)/($F94-Table133[[#This Row],[Prior day close]]),(Table133[[#This Row],[PM Hi]]-Table133[[#This Row],[Lowest lo from open to squeeze]])/(Table133[[#This Row],[PM Hi]]-Table133[[#This Row],[Prior day close]])))),IF($J94&gt;=$F94,($J94-$K94)/($J94-Table133[[#This Row],[PM LO]]),(IF($H94&lt;=$K94,($F94-$H94)/($F94-Table133[[#This Row],[PM LO]]),(Table133[[#This Row],[PM Hi]]-Table133[[#This Row],[Lowest lo from open to squeeze]])/(Table133[[#This Row],[PM Hi]]-Table133[[#This Row],[PM LO]])))))</f>
        <v>#DIV/0!</v>
      </c>
      <c r="AO94" s="18" t="e">
        <f>IF(J94&gt;=F94,(J94-K94)/(J94-D94),(IF(H94&lt;=K94,(F94-H94)/(F94-D94),(Table133[[#This Row],[PM Hi]]-Table133[[#This Row],[Lowest lo from open to squeeze]])/(Table133[[#This Row],[PM Hi]]-Table133[[#This Row],[Prior day close]]))))</f>
        <v>#DIV/0!</v>
      </c>
      <c r="AP94" s="17">
        <f>390+Table133[[#This Row],[Time until ideal entry point (mins) from open]]</f>
        <v>390</v>
      </c>
      <c r="AQ94" s="17">
        <f>Table133[[#This Row],[Time until ideal entry + 390 (6:30)]]+Table133[[#This Row],[Duration of frontside (mins)]]</f>
        <v>390</v>
      </c>
    </row>
    <row r="95" spans="1:43" x14ac:dyDescent="0.25">
      <c r="A95" s="24" t="s">
        <v>239</v>
      </c>
      <c r="B95" s="47">
        <v>44173</v>
      </c>
      <c r="C95" s="47" t="s">
        <v>71</v>
      </c>
      <c r="D95" s="12"/>
      <c r="E95" s="13">
        <f>Table133[[#This Row],[Prior day close]]</f>
        <v>0</v>
      </c>
      <c r="F95" s="12"/>
      <c r="G95" s="12"/>
      <c r="H95" s="12"/>
      <c r="I95" s="12"/>
      <c r="J95" s="12"/>
      <c r="K95" s="12"/>
      <c r="N95" s="13"/>
      <c r="P95" s="37"/>
      <c r="Q95" s="46"/>
      <c r="R95" s="37"/>
      <c r="S95" s="37"/>
      <c r="T95" s="37"/>
      <c r="U95" s="38"/>
      <c r="V95" s="46"/>
      <c r="W95" s="37"/>
      <c r="X95" s="46"/>
      <c r="Y95" s="41">
        <f>Table133[[#This Row],[Time until ideal entry + 390 (6:30)]]/(1440)</f>
        <v>0.27083333333333331</v>
      </c>
      <c r="Z95" s="18" t="e">
        <f t="shared" si="8"/>
        <v>#DIV/0!</v>
      </c>
      <c r="AA95" s="18" t="e">
        <f>IF(Table133[[#This Row],[HOD AFTER PM HI]]&gt;=Table133[[#This Row],[PM Hi]],((Table133[[#This Row],[HOD AFTER PM HI]]-Table133[[#This Row],[Prior day close]])/Table133[[#This Row],[Prior day close]]),Table133[[#This Row],[Prior Close to PM Hi %]])</f>
        <v>#DIV/0!</v>
      </c>
      <c r="AB95" s="42" t="e">
        <f>(Table133[[#This Row],[Price at hi of squeeze]]-Table133[[#This Row],[MKT Open Price]])/Table133[[#This Row],[MKT Open Price]]</f>
        <v>#DIV/0!</v>
      </c>
      <c r="AC95" s="18" t="e">
        <f>(Table133[[#This Row],[Price at hi of squeeze]]-Table133[[#This Row],[PM Hi]])/Table133[[#This Row],[PM Hi]]</f>
        <v>#DIV/0!</v>
      </c>
      <c r="AD95" s="18"/>
      <c r="AE95" s="20" t="e">
        <f>Table133[[#This Row],[PM VOL]]/1000000/Table133[[#This Row],[FLOAT(M)]]</f>
        <v>#DIV/0!</v>
      </c>
      <c r="AF95" s="23" t="e">
        <f>(Table133[[#This Row],[Volume]]/1000000)/Table133[[#This Row],[FLOAT(M)]]</f>
        <v>#DIV/0!</v>
      </c>
      <c r="AH95" s="18" t="e">
        <f>(Table133[[#This Row],[PM Hi]]-Table133[[#This Row],[MKT Open Price]])/(Table133[[#This Row],[PM Hi]])</f>
        <v>#DIV/0!</v>
      </c>
      <c r="AI95" s="18" t="e">
        <f>IF(Table133[[#This Row],[PM LO]]&gt;Table133[[#This Row],[Prior day close]],(Table133[[#This Row],[PM Hi]]-Table133[[#This Row],[MKT Open Price]])/(Table133[[#This Row],[PM Hi]]-Table133[[#This Row],[Prior day close]]),(Table133[[#This Row],[PM Hi]]-Table133[[#This Row],[MKT Open Price]])/(Table133[[#This Row],[PM Hi]]-Table133[[#This Row],[PM LO]]))</f>
        <v>#DIV/0!</v>
      </c>
      <c r="AJ95" s="48" t="e">
        <f>IF(Table133[[#This Row],[Prior day close]]&lt;Table133[[#This Row],[PM LO]],(I95-K95)/(I95-Table133[[#This Row],[Prior day close]]),(I95-K95)/(I95-Table133[[#This Row],[PM LO]]))</f>
        <v>#DIV/0!</v>
      </c>
      <c r="AK95" s="48" t="e">
        <f>Table133[[#This Row],[Spike % on open before drop]]+AL95</f>
        <v>#DIV/0!</v>
      </c>
      <c r="AL95" s="16" t="e">
        <f t="shared" si="6"/>
        <v>#DIV/0!</v>
      </c>
      <c r="AM95" s="18" t="e">
        <f>IF($J95&gt;=$F95,($J95-$K95)/($J95),(IF($H95&lt;=$K95,($F95-$H95)/($F95),(Table133[[#This Row],[PM Hi]]-Table133[[#This Row],[Lowest lo from open to squeeze]])/(Table133[[#This Row],[PM Hi]]))))</f>
        <v>#DIV/0!</v>
      </c>
      <c r="AN95" s="48" t="e">
        <f>IF(Table133[[#This Row],[Prior day close]]&lt;=Table133[[#This Row],[PM LO]],IF($J95&gt;=$F95,($J95-$K95)/($J95-Table133[[#This Row],[Prior day close]]),(IF($H95&lt;=$K95,($F95-$H95)/($F95-Table133[[#This Row],[Prior day close]]),(Table133[[#This Row],[PM Hi]]-Table133[[#This Row],[Lowest lo from open to squeeze]])/(Table133[[#This Row],[PM Hi]]-Table133[[#This Row],[Prior day close]])))),IF($J95&gt;=$F95,($J95-$K95)/($J95-Table133[[#This Row],[PM LO]]),(IF($H95&lt;=$K95,($F95-$H95)/($F95-Table133[[#This Row],[PM LO]]),(Table133[[#This Row],[PM Hi]]-Table133[[#This Row],[Lowest lo from open to squeeze]])/(Table133[[#This Row],[PM Hi]]-Table133[[#This Row],[PM LO]])))))</f>
        <v>#DIV/0!</v>
      </c>
      <c r="AO95" s="18" t="e">
        <f>IF(J95&gt;=F95,(J95-K95)/(J95-D95),(IF(H95&lt;=K95,(F95-H95)/(F95-D95),(Table133[[#This Row],[PM Hi]]-Table133[[#This Row],[Lowest lo from open to squeeze]])/(Table133[[#This Row],[PM Hi]]-Table133[[#This Row],[Prior day close]]))))</f>
        <v>#DIV/0!</v>
      </c>
      <c r="AP95" s="17">
        <f>390+Table133[[#This Row],[Time until ideal entry point (mins) from open]]</f>
        <v>390</v>
      </c>
      <c r="AQ95" s="17">
        <f>Table133[[#This Row],[Time until ideal entry + 390 (6:30)]]+Table133[[#This Row],[Duration of frontside (mins)]]</f>
        <v>390</v>
      </c>
    </row>
    <row r="96" spans="1:43" x14ac:dyDescent="0.25">
      <c r="A96" s="24" t="s">
        <v>45</v>
      </c>
      <c r="B96" s="47">
        <v>44174</v>
      </c>
      <c r="C96" s="47" t="s">
        <v>71</v>
      </c>
      <c r="D96" s="12"/>
      <c r="E96" s="13">
        <f>Table133[[#This Row],[Prior day close]]</f>
        <v>0</v>
      </c>
      <c r="F96" s="12"/>
      <c r="G96" s="12"/>
      <c r="H96" s="12"/>
      <c r="I96" s="12"/>
      <c r="J96" s="12"/>
      <c r="K96" s="12"/>
      <c r="N96" s="13"/>
      <c r="P96" s="37"/>
      <c r="Q96" s="46"/>
      <c r="R96" s="37"/>
      <c r="S96" s="37"/>
      <c r="T96" s="37"/>
      <c r="U96" s="38"/>
      <c r="V96" s="46"/>
      <c r="W96" s="37"/>
      <c r="X96" s="46"/>
      <c r="Y96" s="41">
        <f>Table133[[#This Row],[Time until ideal entry + 390 (6:30)]]/(1440)</f>
        <v>0.27083333333333331</v>
      </c>
      <c r="Z96" s="18" t="e">
        <f t="shared" si="8"/>
        <v>#DIV/0!</v>
      </c>
      <c r="AA96" s="18" t="e">
        <f>IF(Table133[[#This Row],[HOD AFTER PM HI]]&gt;=Table133[[#This Row],[PM Hi]],((Table133[[#This Row],[HOD AFTER PM HI]]-Table133[[#This Row],[Prior day close]])/Table133[[#This Row],[Prior day close]]),Table133[[#This Row],[Prior Close to PM Hi %]])</f>
        <v>#DIV/0!</v>
      </c>
      <c r="AB96" s="42" t="e">
        <f>(Table133[[#This Row],[Price at hi of squeeze]]-Table133[[#This Row],[MKT Open Price]])/Table133[[#This Row],[MKT Open Price]]</f>
        <v>#DIV/0!</v>
      </c>
      <c r="AC96" s="18" t="e">
        <f>(Table133[[#This Row],[Price at hi of squeeze]]-Table133[[#This Row],[PM Hi]])/Table133[[#This Row],[PM Hi]]</f>
        <v>#DIV/0!</v>
      </c>
      <c r="AD96" s="18"/>
      <c r="AE96" s="20" t="e">
        <f>Table133[[#This Row],[PM VOL]]/1000000/Table133[[#This Row],[FLOAT(M)]]</f>
        <v>#DIV/0!</v>
      </c>
      <c r="AF96" s="23" t="e">
        <f>(Table133[[#This Row],[Volume]]/1000000)/Table133[[#This Row],[FLOAT(M)]]</f>
        <v>#DIV/0!</v>
      </c>
      <c r="AH96" s="18" t="e">
        <f>(Table133[[#This Row],[PM Hi]]-Table133[[#This Row],[MKT Open Price]])/(Table133[[#This Row],[PM Hi]])</f>
        <v>#DIV/0!</v>
      </c>
      <c r="AI96" s="18" t="e">
        <f>IF(Table133[[#This Row],[PM LO]]&gt;Table133[[#This Row],[Prior day close]],(Table133[[#This Row],[PM Hi]]-Table133[[#This Row],[MKT Open Price]])/(Table133[[#This Row],[PM Hi]]-Table133[[#This Row],[Prior day close]]),(Table133[[#This Row],[PM Hi]]-Table133[[#This Row],[MKT Open Price]])/(Table133[[#This Row],[PM Hi]]-Table133[[#This Row],[PM LO]]))</f>
        <v>#DIV/0!</v>
      </c>
      <c r="AJ96" s="48" t="e">
        <f>IF(Table133[[#This Row],[Prior day close]]&lt;Table133[[#This Row],[PM LO]],(I96-K96)/(I96-Table133[[#This Row],[Prior day close]]),(I96-K96)/(I96-Table133[[#This Row],[PM LO]]))</f>
        <v>#DIV/0!</v>
      </c>
      <c r="AK96" s="48" t="e">
        <f>Table133[[#This Row],[Spike % on open before drop]]+AL96</f>
        <v>#DIV/0!</v>
      </c>
      <c r="AL96" s="16" t="e">
        <f t="shared" si="6"/>
        <v>#DIV/0!</v>
      </c>
      <c r="AM96" s="18" t="e">
        <f>IF($J96&gt;=$F96,($J96-$K96)/($J96),(IF($H96&lt;=$K96,($F96-$H96)/($F96),(Table133[[#This Row],[PM Hi]]-Table133[[#This Row],[Lowest lo from open to squeeze]])/(Table133[[#This Row],[PM Hi]]))))</f>
        <v>#DIV/0!</v>
      </c>
      <c r="AN96" s="48" t="e">
        <f>IF(Table133[[#This Row],[Prior day close]]&lt;=Table133[[#This Row],[PM LO]],IF($J96&gt;=$F96,($J96-$K96)/($J96-Table133[[#This Row],[Prior day close]]),(IF($H96&lt;=$K96,($F96-$H96)/($F96-Table133[[#This Row],[Prior day close]]),(Table133[[#This Row],[PM Hi]]-Table133[[#This Row],[Lowest lo from open to squeeze]])/(Table133[[#This Row],[PM Hi]]-Table133[[#This Row],[Prior day close]])))),IF($J96&gt;=$F96,($J96-$K96)/($J96-Table133[[#This Row],[PM LO]]),(IF($H96&lt;=$K96,($F96-$H96)/($F96-Table133[[#This Row],[PM LO]]),(Table133[[#This Row],[PM Hi]]-Table133[[#This Row],[Lowest lo from open to squeeze]])/(Table133[[#This Row],[PM Hi]]-Table133[[#This Row],[PM LO]])))))</f>
        <v>#DIV/0!</v>
      </c>
      <c r="AO96" s="18" t="e">
        <f>IF(J96&gt;=F96,(J96-K96)/(J96-D96),(IF(H96&lt;=K96,(F96-H96)/(F96-D96),(Table133[[#This Row],[PM Hi]]-Table133[[#This Row],[Lowest lo from open to squeeze]])/(Table133[[#This Row],[PM Hi]]-Table133[[#This Row],[Prior day close]]))))</f>
        <v>#DIV/0!</v>
      </c>
      <c r="AP96" s="17">
        <f>390+Table133[[#This Row],[Time until ideal entry point (mins) from open]]</f>
        <v>390</v>
      </c>
      <c r="AQ96" s="17">
        <f>Table133[[#This Row],[Time until ideal entry + 390 (6:30)]]+Table133[[#This Row],[Duration of frontside (mins)]]</f>
        <v>390</v>
      </c>
    </row>
    <row r="97" spans="1:43" x14ac:dyDescent="0.25">
      <c r="A97" s="24" t="s">
        <v>205</v>
      </c>
      <c r="B97" s="47">
        <v>44181</v>
      </c>
      <c r="C97" s="47" t="s">
        <v>71</v>
      </c>
      <c r="D97" s="12"/>
      <c r="E97" s="13">
        <f>Table133[[#This Row],[Prior day close]]</f>
        <v>0</v>
      </c>
      <c r="F97" s="12"/>
      <c r="G97" s="12"/>
      <c r="H97" s="12"/>
      <c r="I97" s="12"/>
      <c r="J97" s="12"/>
      <c r="K97" s="12"/>
      <c r="N97" s="13"/>
      <c r="P97" s="37"/>
      <c r="Q97" s="46"/>
      <c r="R97" s="37"/>
      <c r="S97" s="37"/>
      <c r="T97" s="37"/>
      <c r="U97" s="38"/>
      <c r="V97" s="46"/>
      <c r="W97" s="37"/>
      <c r="X97" s="46"/>
      <c r="Y97" s="41">
        <f>Table133[[#This Row],[Time until ideal entry + 390 (6:30)]]/(1440)</f>
        <v>0.27083333333333331</v>
      </c>
      <c r="Z97" s="18" t="e">
        <f t="shared" si="8"/>
        <v>#DIV/0!</v>
      </c>
      <c r="AA97" s="18" t="e">
        <f>IF(Table133[[#This Row],[HOD AFTER PM HI]]&gt;=Table133[[#This Row],[PM Hi]],((Table133[[#This Row],[HOD AFTER PM HI]]-Table133[[#This Row],[Prior day close]])/Table133[[#This Row],[Prior day close]]),Table133[[#This Row],[Prior Close to PM Hi %]])</f>
        <v>#DIV/0!</v>
      </c>
      <c r="AB97" s="42" t="e">
        <f>(Table133[[#This Row],[Price at hi of squeeze]]-Table133[[#This Row],[MKT Open Price]])/Table133[[#This Row],[MKT Open Price]]</f>
        <v>#DIV/0!</v>
      </c>
      <c r="AC97" s="18" t="e">
        <f>(Table133[[#This Row],[Price at hi of squeeze]]-Table133[[#This Row],[PM Hi]])/Table133[[#This Row],[PM Hi]]</f>
        <v>#DIV/0!</v>
      </c>
      <c r="AD97" s="18"/>
      <c r="AE97" s="20" t="e">
        <f>Table133[[#This Row],[PM VOL]]/1000000/Table133[[#This Row],[FLOAT(M)]]</f>
        <v>#DIV/0!</v>
      </c>
      <c r="AF97" s="23" t="e">
        <f>(Table133[[#This Row],[Volume]]/1000000)/Table133[[#This Row],[FLOAT(M)]]</f>
        <v>#DIV/0!</v>
      </c>
      <c r="AH97" s="18" t="e">
        <f>(Table133[[#This Row],[PM Hi]]-Table133[[#This Row],[MKT Open Price]])/(Table133[[#This Row],[PM Hi]])</f>
        <v>#DIV/0!</v>
      </c>
      <c r="AI97" s="18" t="e">
        <f>IF(Table133[[#This Row],[PM LO]]&gt;Table133[[#This Row],[Prior day close]],(Table133[[#This Row],[PM Hi]]-Table133[[#This Row],[MKT Open Price]])/(Table133[[#This Row],[PM Hi]]-Table133[[#This Row],[Prior day close]]),(Table133[[#This Row],[PM Hi]]-Table133[[#This Row],[MKT Open Price]])/(Table133[[#This Row],[PM Hi]]-Table133[[#This Row],[PM LO]]))</f>
        <v>#DIV/0!</v>
      </c>
      <c r="AJ97" s="48" t="e">
        <f>IF(Table133[[#This Row],[Prior day close]]&lt;Table133[[#This Row],[PM LO]],(I97-K97)/(I97-Table133[[#This Row],[Prior day close]]),(I97-K97)/(I97-Table133[[#This Row],[PM LO]]))</f>
        <v>#DIV/0!</v>
      </c>
      <c r="AK97" s="48" t="e">
        <f>Table133[[#This Row],[Spike % on open before drop]]+AL97</f>
        <v>#DIV/0!</v>
      </c>
      <c r="AL97" s="16" t="e">
        <f t="shared" si="6"/>
        <v>#DIV/0!</v>
      </c>
      <c r="AM97" s="18" t="e">
        <f>IF($J97&gt;=$F97,($J97-$K97)/($J97),(IF($H97&lt;=$K97,($F97-$H97)/($F97),(Table133[[#This Row],[PM Hi]]-Table133[[#This Row],[Lowest lo from open to squeeze]])/(Table133[[#This Row],[PM Hi]]))))</f>
        <v>#DIV/0!</v>
      </c>
      <c r="AN97" s="48" t="e">
        <f>IF(Table133[[#This Row],[Prior day close]]&lt;=Table133[[#This Row],[PM LO]],IF($J97&gt;=$F97,($J97-$K97)/($J97-Table133[[#This Row],[Prior day close]]),(IF($H97&lt;=$K97,($F97-$H97)/($F97-Table133[[#This Row],[Prior day close]]),(Table133[[#This Row],[PM Hi]]-Table133[[#This Row],[Lowest lo from open to squeeze]])/(Table133[[#This Row],[PM Hi]]-Table133[[#This Row],[Prior day close]])))),IF($J97&gt;=$F97,($J97-$K97)/($J97-Table133[[#This Row],[PM LO]]),(IF($H97&lt;=$K97,($F97-$H97)/($F97-Table133[[#This Row],[PM LO]]),(Table133[[#This Row],[PM Hi]]-Table133[[#This Row],[Lowest lo from open to squeeze]])/(Table133[[#This Row],[PM Hi]]-Table133[[#This Row],[PM LO]])))))</f>
        <v>#DIV/0!</v>
      </c>
      <c r="AO97" s="18" t="e">
        <f>IF(J97&gt;=F97,(J97-K97)/(J97-D97),(IF(H97&lt;=K97,(F97-H97)/(F97-D97),(Table133[[#This Row],[PM Hi]]-Table133[[#This Row],[Lowest lo from open to squeeze]])/(Table133[[#This Row],[PM Hi]]-Table133[[#This Row],[Prior day close]]))))</f>
        <v>#DIV/0!</v>
      </c>
      <c r="AP97" s="17">
        <f>390+Table133[[#This Row],[Time until ideal entry point (mins) from open]]</f>
        <v>390</v>
      </c>
      <c r="AQ97" s="17">
        <f>Table133[[#This Row],[Time until ideal entry + 390 (6:30)]]+Table133[[#This Row],[Duration of frontside (mins)]]</f>
        <v>390</v>
      </c>
    </row>
    <row r="98" spans="1:43" x14ac:dyDescent="0.25">
      <c r="A98" s="24" t="s">
        <v>242</v>
      </c>
      <c r="B98" s="47">
        <v>44182</v>
      </c>
      <c r="C98" s="47" t="s">
        <v>71</v>
      </c>
      <c r="D98" s="12"/>
      <c r="E98" s="13">
        <f>Table133[[#This Row],[Prior day close]]</f>
        <v>0</v>
      </c>
      <c r="F98" s="12"/>
      <c r="G98" s="12"/>
      <c r="H98" s="12"/>
      <c r="I98" s="12"/>
      <c r="J98" s="12"/>
      <c r="K98" s="12"/>
      <c r="N98" s="13"/>
      <c r="P98" s="37"/>
      <c r="Q98" s="46"/>
      <c r="R98" s="37"/>
      <c r="S98" s="37"/>
      <c r="T98" s="37"/>
      <c r="U98" s="38"/>
      <c r="V98" s="46"/>
      <c r="W98" s="37"/>
      <c r="X98" s="46"/>
      <c r="Y98" s="41">
        <f>Table133[[#This Row],[Time until ideal entry + 390 (6:30)]]/(1440)</f>
        <v>0.27083333333333331</v>
      </c>
      <c r="Z98" s="18" t="e">
        <f t="shared" si="8"/>
        <v>#DIV/0!</v>
      </c>
      <c r="AA98" s="18" t="e">
        <f>IF(Table133[[#This Row],[HOD AFTER PM HI]]&gt;=Table133[[#This Row],[PM Hi]],((Table133[[#This Row],[HOD AFTER PM HI]]-Table133[[#This Row],[Prior day close]])/Table133[[#This Row],[Prior day close]]),Table133[[#This Row],[Prior Close to PM Hi %]])</f>
        <v>#DIV/0!</v>
      </c>
      <c r="AB98" s="42" t="e">
        <f>(Table133[[#This Row],[Price at hi of squeeze]]-Table133[[#This Row],[MKT Open Price]])/Table133[[#This Row],[MKT Open Price]]</f>
        <v>#DIV/0!</v>
      </c>
      <c r="AC98" s="18" t="e">
        <f>(Table133[[#This Row],[Price at hi of squeeze]]-Table133[[#This Row],[PM Hi]])/Table133[[#This Row],[PM Hi]]</f>
        <v>#DIV/0!</v>
      </c>
      <c r="AD98" s="18"/>
      <c r="AE98" s="20" t="e">
        <f>Table133[[#This Row],[PM VOL]]/1000000/Table133[[#This Row],[FLOAT(M)]]</f>
        <v>#DIV/0!</v>
      </c>
      <c r="AF98" s="23" t="e">
        <f>(Table133[[#This Row],[Volume]]/1000000)/Table133[[#This Row],[FLOAT(M)]]</f>
        <v>#DIV/0!</v>
      </c>
      <c r="AH98" s="18" t="e">
        <f>(Table133[[#This Row],[PM Hi]]-Table133[[#This Row],[MKT Open Price]])/(Table133[[#This Row],[PM Hi]])</f>
        <v>#DIV/0!</v>
      </c>
      <c r="AI98" s="18" t="e">
        <f>IF(Table133[[#This Row],[PM LO]]&gt;Table133[[#This Row],[Prior day close]],(Table133[[#This Row],[PM Hi]]-Table133[[#This Row],[MKT Open Price]])/(Table133[[#This Row],[PM Hi]]-Table133[[#This Row],[Prior day close]]),(Table133[[#This Row],[PM Hi]]-Table133[[#This Row],[MKT Open Price]])/(Table133[[#This Row],[PM Hi]]-Table133[[#This Row],[PM LO]]))</f>
        <v>#DIV/0!</v>
      </c>
      <c r="AJ98" s="48" t="e">
        <f>IF(Table133[[#This Row],[Prior day close]]&lt;Table133[[#This Row],[PM LO]],(I98-K98)/(I98-Table133[[#This Row],[Prior day close]]),(I98-K98)/(I98-Table133[[#This Row],[PM LO]]))</f>
        <v>#DIV/0!</v>
      </c>
      <c r="AK98" s="48" t="e">
        <f>Table133[[#This Row],[Spike % on open before drop]]+AL98</f>
        <v>#DIV/0!</v>
      </c>
      <c r="AL98" s="16" t="e">
        <f t="shared" ref="AL98:AL129" si="9">(I98-K98)/I98</f>
        <v>#DIV/0!</v>
      </c>
      <c r="AM98" s="18" t="e">
        <f>IF($J98&gt;=$F98,($J98-$K98)/($J98),(IF($H98&lt;=$K98,($F98-$H98)/($F98),(Table133[[#This Row],[PM Hi]]-Table133[[#This Row],[Lowest lo from open to squeeze]])/(Table133[[#This Row],[PM Hi]]))))</f>
        <v>#DIV/0!</v>
      </c>
      <c r="AN98" s="48" t="e">
        <f>IF(Table133[[#This Row],[Prior day close]]&lt;=Table133[[#This Row],[PM LO]],IF($J98&gt;=$F98,($J98-$K98)/($J98-Table133[[#This Row],[Prior day close]]),(IF($H98&lt;=$K98,($F98-$H98)/($F98-Table133[[#This Row],[Prior day close]]),(Table133[[#This Row],[PM Hi]]-Table133[[#This Row],[Lowest lo from open to squeeze]])/(Table133[[#This Row],[PM Hi]]-Table133[[#This Row],[Prior day close]])))),IF($J98&gt;=$F98,($J98-$K98)/($J98-Table133[[#This Row],[PM LO]]),(IF($H98&lt;=$K98,($F98-$H98)/($F98-Table133[[#This Row],[PM LO]]),(Table133[[#This Row],[PM Hi]]-Table133[[#This Row],[Lowest lo from open to squeeze]])/(Table133[[#This Row],[PM Hi]]-Table133[[#This Row],[PM LO]])))))</f>
        <v>#DIV/0!</v>
      </c>
      <c r="AO98" s="18" t="e">
        <f>IF(J98&gt;=F98,(J98-K98)/(J98-D98),(IF(H98&lt;=K98,(F98-H98)/(F98-D98),(Table133[[#This Row],[PM Hi]]-Table133[[#This Row],[Lowest lo from open to squeeze]])/(Table133[[#This Row],[PM Hi]]-Table133[[#This Row],[Prior day close]]))))</f>
        <v>#DIV/0!</v>
      </c>
      <c r="AP98" s="17">
        <f>390+Table133[[#This Row],[Time until ideal entry point (mins) from open]]</f>
        <v>390</v>
      </c>
      <c r="AQ98" s="17">
        <f>Table133[[#This Row],[Time until ideal entry + 390 (6:30)]]+Table133[[#This Row],[Duration of frontside (mins)]]</f>
        <v>390</v>
      </c>
    </row>
    <row r="99" spans="1:43" x14ac:dyDescent="0.25">
      <c r="A99" s="24" t="s">
        <v>59</v>
      </c>
      <c r="B99" s="47">
        <v>44195</v>
      </c>
      <c r="C99" s="47" t="s">
        <v>71</v>
      </c>
      <c r="D99" s="12"/>
      <c r="E99" s="13">
        <f>Table133[[#This Row],[Prior day close]]</f>
        <v>0</v>
      </c>
      <c r="F99" s="12"/>
      <c r="G99" s="12"/>
      <c r="H99" s="12"/>
      <c r="I99" s="12"/>
      <c r="J99" s="12"/>
      <c r="K99" s="12"/>
      <c r="N99" s="13"/>
      <c r="P99" s="37"/>
      <c r="Q99" s="46"/>
      <c r="R99" s="37"/>
      <c r="S99" s="37"/>
      <c r="T99" s="37"/>
      <c r="U99" s="38"/>
      <c r="V99" s="46"/>
      <c r="W99" s="37"/>
      <c r="X99" s="46"/>
      <c r="Y99" s="41">
        <f>Table133[[#This Row],[Time until ideal entry + 390 (6:30)]]/(1440)</f>
        <v>0.27083333333333331</v>
      </c>
      <c r="Z99" s="18" t="e">
        <f t="shared" si="8"/>
        <v>#DIV/0!</v>
      </c>
      <c r="AA99" s="18" t="e">
        <f>IF(Table133[[#This Row],[HOD AFTER PM HI]]&gt;=Table133[[#This Row],[PM Hi]],((Table133[[#This Row],[HOD AFTER PM HI]]-Table133[[#This Row],[Prior day close]])/Table133[[#This Row],[Prior day close]]),Table133[[#This Row],[Prior Close to PM Hi %]])</f>
        <v>#DIV/0!</v>
      </c>
      <c r="AB99" s="42" t="e">
        <f>(Table133[[#This Row],[Price at hi of squeeze]]-Table133[[#This Row],[MKT Open Price]])/Table133[[#This Row],[MKT Open Price]]</f>
        <v>#DIV/0!</v>
      </c>
      <c r="AC99" s="18" t="e">
        <f>(Table133[[#This Row],[Price at hi of squeeze]]-Table133[[#This Row],[PM Hi]])/Table133[[#This Row],[PM Hi]]</f>
        <v>#DIV/0!</v>
      </c>
      <c r="AD99" s="18"/>
      <c r="AE99" s="20" t="e">
        <f>Table133[[#This Row],[PM VOL]]/1000000/Table133[[#This Row],[FLOAT(M)]]</f>
        <v>#DIV/0!</v>
      </c>
      <c r="AF99" s="23" t="e">
        <f>(Table133[[#This Row],[Volume]]/1000000)/Table133[[#This Row],[FLOAT(M)]]</f>
        <v>#DIV/0!</v>
      </c>
      <c r="AH99" s="18" t="e">
        <f>(Table133[[#This Row],[PM Hi]]-Table133[[#This Row],[MKT Open Price]])/(Table133[[#This Row],[PM Hi]])</f>
        <v>#DIV/0!</v>
      </c>
      <c r="AI99" s="18" t="e">
        <f>IF(Table133[[#This Row],[PM LO]]&gt;Table133[[#This Row],[Prior day close]],(Table133[[#This Row],[PM Hi]]-Table133[[#This Row],[MKT Open Price]])/(Table133[[#This Row],[PM Hi]]-Table133[[#This Row],[Prior day close]]),(Table133[[#This Row],[PM Hi]]-Table133[[#This Row],[MKT Open Price]])/(Table133[[#This Row],[PM Hi]]-Table133[[#This Row],[PM LO]]))</f>
        <v>#DIV/0!</v>
      </c>
      <c r="AJ99" s="48" t="e">
        <f>IF(Table133[[#This Row],[Prior day close]]&lt;Table133[[#This Row],[PM LO]],(I99-K99)/(I99-Table133[[#This Row],[Prior day close]]),(I99-K99)/(I99-Table133[[#This Row],[PM LO]]))</f>
        <v>#DIV/0!</v>
      </c>
      <c r="AK99" s="48" t="e">
        <f>Table133[[#This Row],[Spike % on open before drop]]+AL99</f>
        <v>#DIV/0!</v>
      </c>
      <c r="AL99" s="16" t="e">
        <f t="shared" si="9"/>
        <v>#DIV/0!</v>
      </c>
      <c r="AM99" s="18" t="e">
        <f>IF($J99&gt;=$F99,($J99-$K99)/($J99),(IF($H99&lt;=$K99,($F99-$H99)/($F99),(Table133[[#This Row],[PM Hi]]-Table133[[#This Row],[Lowest lo from open to squeeze]])/(Table133[[#This Row],[PM Hi]]))))</f>
        <v>#DIV/0!</v>
      </c>
      <c r="AN99" s="48" t="e">
        <f>IF(Table133[[#This Row],[Prior day close]]&lt;=Table133[[#This Row],[PM LO]],IF($J99&gt;=$F99,($J99-$K99)/($J99-Table133[[#This Row],[Prior day close]]),(IF($H99&lt;=$K99,($F99-$H99)/($F99-Table133[[#This Row],[Prior day close]]),(Table133[[#This Row],[PM Hi]]-Table133[[#This Row],[Lowest lo from open to squeeze]])/(Table133[[#This Row],[PM Hi]]-Table133[[#This Row],[Prior day close]])))),IF($J99&gt;=$F99,($J99-$K99)/($J99-Table133[[#This Row],[PM LO]]),(IF($H99&lt;=$K99,($F99-$H99)/($F99-Table133[[#This Row],[PM LO]]),(Table133[[#This Row],[PM Hi]]-Table133[[#This Row],[Lowest lo from open to squeeze]])/(Table133[[#This Row],[PM Hi]]-Table133[[#This Row],[PM LO]])))))</f>
        <v>#DIV/0!</v>
      </c>
      <c r="AO99" s="18" t="e">
        <f>IF(J99&gt;=F99,(J99-K99)/(J99-D99),(IF(H99&lt;=K99,(F99-H99)/(F99-D99),(Table133[[#This Row],[PM Hi]]-Table133[[#This Row],[Lowest lo from open to squeeze]])/(Table133[[#This Row],[PM Hi]]-Table133[[#This Row],[Prior day close]]))))</f>
        <v>#DIV/0!</v>
      </c>
      <c r="AP99" s="17">
        <f>390+Table133[[#This Row],[Time until ideal entry point (mins) from open]]</f>
        <v>390</v>
      </c>
      <c r="AQ99" s="17">
        <f>Table133[[#This Row],[Time until ideal entry + 390 (6:30)]]+Table133[[#This Row],[Duration of frontside (mins)]]</f>
        <v>390</v>
      </c>
    </row>
    <row r="100" spans="1:43" x14ac:dyDescent="0.25">
      <c r="A100" s="24" t="s">
        <v>155</v>
      </c>
      <c r="B100" s="47">
        <v>44216</v>
      </c>
      <c r="C100" s="47" t="s">
        <v>71</v>
      </c>
      <c r="D100" s="12"/>
      <c r="E100" s="13">
        <f>Table133[[#This Row],[Prior day close]]</f>
        <v>0</v>
      </c>
      <c r="F100" s="12"/>
      <c r="G100" s="12"/>
      <c r="H100" s="12"/>
      <c r="I100" s="12"/>
      <c r="J100" s="12"/>
      <c r="K100" s="12"/>
      <c r="N100" s="13"/>
      <c r="P100" s="37"/>
      <c r="Q100" s="46"/>
      <c r="R100" s="37"/>
      <c r="S100" s="37"/>
      <c r="T100" s="37"/>
      <c r="U100" s="38"/>
      <c r="V100" s="46"/>
      <c r="W100" s="37"/>
      <c r="X100" s="46"/>
      <c r="Y100" s="41">
        <f>Table133[[#This Row],[Time until ideal entry + 390 (6:30)]]/(1440)</f>
        <v>0.27083333333333331</v>
      </c>
      <c r="Z100" s="18" t="e">
        <f t="shared" si="8"/>
        <v>#DIV/0!</v>
      </c>
      <c r="AA100" s="18" t="e">
        <f>IF(Table133[[#This Row],[HOD AFTER PM HI]]&gt;=Table133[[#This Row],[PM Hi]],((Table133[[#This Row],[HOD AFTER PM HI]]-Table133[[#This Row],[Prior day close]])/Table133[[#This Row],[Prior day close]]),Table133[[#This Row],[Prior Close to PM Hi %]])</f>
        <v>#DIV/0!</v>
      </c>
      <c r="AB100" s="42" t="e">
        <f>(Table133[[#This Row],[Price at hi of squeeze]]-Table133[[#This Row],[MKT Open Price]])/Table133[[#This Row],[MKT Open Price]]</f>
        <v>#DIV/0!</v>
      </c>
      <c r="AC100" s="18" t="e">
        <f>(Table133[[#This Row],[Price at hi of squeeze]]-Table133[[#This Row],[PM Hi]])/Table133[[#This Row],[PM Hi]]</f>
        <v>#DIV/0!</v>
      </c>
      <c r="AD100" s="18"/>
      <c r="AE100" s="20" t="e">
        <f>Table133[[#This Row],[PM VOL]]/1000000/Table133[[#This Row],[FLOAT(M)]]</f>
        <v>#DIV/0!</v>
      </c>
      <c r="AF100" s="23" t="e">
        <f>(Table133[[#This Row],[Volume]]/1000000)/Table133[[#This Row],[FLOAT(M)]]</f>
        <v>#DIV/0!</v>
      </c>
      <c r="AH100" s="18" t="e">
        <f>(Table133[[#This Row],[PM Hi]]-Table133[[#This Row],[MKT Open Price]])/(Table133[[#This Row],[PM Hi]])</f>
        <v>#DIV/0!</v>
      </c>
      <c r="AI100" s="18" t="e">
        <f>IF(Table133[[#This Row],[PM LO]]&gt;Table133[[#This Row],[Prior day close]],(Table133[[#This Row],[PM Hi]]-Table133[[#This Row],[MKT Open Price]])/(Table133[[#This Row],[PM Hi]]-Table133[[#This Row],[Prior day close]]),(Table133[[#This Row],[PM Hi]]-Table133[[#This Row],[MKT Open Price]])/(Table133[[#This Row],[PM Hi]]-Table133[[#This Row],[PM LO]]))</f>
        <v>#DIV/0!</v>
      </c>
      <c r="AJ100" s="48" t="e">
        <f>IF(Table133[[#This Row],[Prior day close]]&lt;Table133[[#This Row],[PM LO]],(I100-K100)/(I100-Table133[[#This Row],[Prior day close]]),(I100-K100)/(I100-Table133[[#This Row],[PM LO]]))</f>
        <v>#DIV/0!</v>
      </c>
      <c r="AK100" s="48" t="e">
        <f>Table133[[#This Row],[Spike % on open before drop]]+AL100</f>
        <v>#DIV/0!</v>
      </c>
      <c r="AL100" s="16" t="e">
        <f t="shared" si="9"/>
        <v>#DIV/0!</v>
      </c>
      <c r="AM100" s="18" t="e">
        <f>IF($J100&gt;=$F100,($J100-$K100)/($J100),(IF($H100&lt;=$K100,($F100-$H100)/($F100),(Table133[[#This Row],[PM Hi]]-Table133[[#This Row],[Lowest lo from open to squeeze]])/(Table133[[#This Row],[PM Hi]]))))</f>
        <v>#DIV/0!</v>
      </c>
      <c r="AN100" s="48" t="e">
        <f>IF(Table133[[#This Row],[Prior day close]]&lt;=Table133[[#This Row],[PM LO]],IF($J100&gt;=$F100,($J100-$K100)/($J100-Table133[[#This Row],[Prior day close]]),(IF($H100&lt;=$K100,($F100-$H100)/($F100-Table133[[#This Row],[Prior day close]]),(Table133[[#This Row],[PM Hi]]-Table133[[#This Row],[Lowest lo from open to squeeze]])/(Table133[[#This Row],[PM Hi]]-Table133[[#This Row],[Prior day close]])))),IF($J100&gt;=$F100,($J100-$K100)/($J100-Table133[[#This Row],[PM LO]]),(IF($H100&lt;=$K100,($F100-$H100)/($F100-Table133[[#This Row],[PM LO]]),(Table133[[#This Row],[PM Hi]]-Table133[[#This Row],[Lowest lo from open to squeeze]])/(Table133[[#This Row],[PM Hi]]-Table133[[#This Row],[PM LO]])))))</f>
        <v>#DIV/0!</v>
      </c>
      <c r="AO100" s="18" t="e">
        <f>IF(J100&gt;=F100,(J100-K100)/(J100-D100),(IF(H100&lt;=K100,(F100-H100)/(F100-D100),(Table133[[#This Row],[PM Hi]]-Table133[[#This Row],[Lowest lo from open to squeeze]])/(Table133[[#This Row],[PM Hi]]-Table133[[#This Row],[Prior day close]]))))</f>
        <v>#DIV/0!</v>
      </c>
      <c r="AP100" s="17">
        <f>390+Table133[[#This Row],[Time until ideal entry point (mins) from open]]</f>
        <v>390</v>
      </c>
      <c r="AQ100" s="17">
        <f>Table133[[#This Row],[Time until ideal entry + 390 (6:30)]]+Table133[[#This Row],[Duration of frontside (mins)]]</f>
        <v>390</v>
      </c>
    </row>
    <row r="101" spans="1:43" x14ac:dyDescent="0.25">
      <c r="A101" s="24" t="s">
        <v>158</v>
      </c>
      <c r="B101" s="47">
        <v>44218</v>
      </c>
      <c r="C101" s="47" t="s">
        <v>71</v>
      </c>
      <c r="D101" s="12"/>
      <c r="E101" s="13">
        <f>Table133[[#This Row],[Prior day close]]</f>
        <v>0</v>
      </c>
      <c r="F101" s="12"/>
      <c r="G101" s="12"/>
      <c r="H101" s="12"/>
      <c r="I101" s="12"/>
      <c r="J101" s="12"/>
      <c r="K101" s="12"/>
      <c r="N101" s="13"/>
      <c r="P101" s="37"/>
      <c r="Q101" s="46"/>
      <c r="R101" s="37"/>
      <c r="S101" s="37"/>
      <c r="T101" s="37"/>
      <c r="U101" s="38"/>
      <c r="V101" s="46"/>
      <c r="W101" s="37"/>
      <c r="X101" s="46"/>
      <c r="Y101" s="41">
        <f>Table133[[#This Row],[Time until ideal entry + 390 (6:30)]]/(1440)</f>
        <v>0.27083333333333331</v>
      </c>
      <c r="Z101" s="18" t="e">
        <f t="shared" si="8"/>
        <v>#DIV/0!</v>
      </c>
      <c r="AA101" s="18" t="e">
        <f>IF(Table133[[#This Row],[HOD AFTER PM HI]]&gt;=Table133[[#This Row],[PM Hi]],((Table133[[#This Row],[HOD AFTER PM HI]]-Table133[[#This Row],[Prior day close]])/Table133[[#This Row],[Prior day close]]),Table133[[#This Row],[Prior Close to PM Hi %]])</f>
        <v>#DIV/0!</v>
      </c>
      <c r="AB101" s="42" t="e">
        <f>(Table133[[#This Row],[Price at hi of squeeze]]-Table133[[#This Row],[MKT Open Price]])/Table133[[#This Row],[MKT Open Price]]</f>
        <v>#DIV/0!</v>
      </c>
      <c r="AC101" s="18" t="e">
        <f>(Table133[[#This Row],[Price at hi of squeeze]]-Table133[[#This Row],[PM Hi]])/Table133[[#This Row],[PM Hi]]</f>
        <v>#DIV/0!</v>
      </c>
      <c r="AD101" s="18"/>
      <c r="AE101" s="20" t="e">
        <f>Table133[[#This Row],[PM VOL]]/1000000/Table133[[#This Row],[FLOAT(M)]]</f>
        <v>#DIV/0!</v>
      </c>
      <c r="AF101" s="23" t="e">
        <f>(Table133[[#This Row],[Volume]]/1000000)/Table133[[#This Row],[FLOAT(M)]]</f>
        <v>#DIV/0!</v>
      </c>
      <c r="AH101" s="18" t="e">
        <f>(Table133[[#This Row],[PM Hi]]-Table133[[#This Row],[MKT Open Price]])/(Table133[[#This Row],[PM Hi]])</f>
        <v>#DIV/0!</v>
      </c>
      <c r="AI101" s="18" t="e">
        <f>IF(Table133[[#This Row],[PM LO]]&gt;Table133[[#This Row],[Prior day close]],(Table133[[#This Row],[PM Hi]]-Table133[[#This Row],[MKT Open Price]])/(Table133[[#This Row],[PM Hi]]-Table133[[#This Row],[Prior day close]]),(Table133[[#This Row],[PM Hi]]-Table133[[#This Row],[MKT Open Price]])/(Table133[[#This Row],[PM Hi]]-Table133[[#This Row],[PM LO]]))</f>
        <v>#DIV/0!</v>
      </c>
      <c r="AJ101" s="48" t="e">
        <f>IF(Table133[[#This Row],[Prior day close]]&lt;Table133[[#This Row],[PM LO]],(I101-K101)/(I101-Table133[[#This Row],[Prior day close]]),(I101-K101)/(I101-Table133[[#This Row],[PM LO]]))</f>
        <v>#DIV/0!</v>
      </c>
      <c r="AK101" s="48" t="e">
        <f>Table133[[#This Row],[Spike % on open before drop]]+AL101</f>
        <v>#DIV/0!</v>
      </c>
      <c r="AL101" s="16" t="e">
        <f t="shared" si="9"/>
        <v>#DIV/0!</v>
      </c>
      <c r="AM101" s="18" t="e">
        <f>IF($J101&gt;=$F101,($J101-$K101)/($J101),(IF($H101&lt;=$K101,($F101-$H101)/($F101),(Table133[[#This Row],[PM Hi]]-Table133[[#This Row],[Lowest lo from open to squeeze]])/(Table133[[#This Row],[PM Hi]]))))</f>
        <v>#DIV/0!</v>
      </c>
      <c r="AN101" s="48" t="e">
        <f>IF(Table133[[#This Row],[Prior day close]]&lt;=Table133[[#This Row],[PM LO]],IF($J101&gt;=$F101,($J101-$K101)/($J101-Table133[[#This Row],[Prior day close]]),(IF($H101&lt;=$K101,($F101-$H101)/($F101-Table133[[#This Row],[Prior day close]]),(Table133[[#This Row],[PM Hi]]-Table133[[#This Row],[Lowest lo from open to squeeze]])/(Table133[[#This Row],[PM Hi]]-Table133[[#This Row],[Prior day close]])))),IF($J101&gt;=$F101,($J101-$K101)/($J101-Table133[[#This Row],[PM LO]]),(IF($H101&lt;=$K101,($F101-$H101)/($F101-Table133[[#This Row],[PM LO]]),(Table133[[#This Row],[PM Hi]]-Table133[[#This Row],[Lowest lo from open to squeeze]])/(Table133[[#This Row],[PM Hi]]-Table133[[#This Row],[PM LO]])))))</f>
        <v>#DIV/0!</v>
      </c>
      <c r="AO101" s="18" t="e">
        <f>IF(J101&gt;=F101,(J101-K101)/(J101-D101),(IF(H101&lt;=K101,(F101-H101)/(F101-D101),(Table133[[#This Row],[PM Hi]]-Table133[[#This Row],[Lowest lo from open to squeeze]])/(Table133[[#This Row],[PM Hi]]-Table133[[#This Row],[Prior day close]]))))</f>
        <v>#DIV/0!</v>
      </c>
      <c r="AP101" s="17">
        <f>390+Table133[[#This Row],[Time until ideal entry point (mins) from open]]</f>
        <v>390</v>
      </c>
      <c r="AQ101" s="17">
        <f>Table133[[#This Row],[Time until ideal entry + 390 (6:30)]]+Table133[[#This Row],[Duration of frontside (mins)]]</f>
        <v>390</v>
      </c>
    </row>
    <row r="102" spans="1:43" x14ac:dyDescent="0.25">
      <c r="A102" s="24" t="s">
        <v>243</v>
      </c>
      <c r="B102" s="47">
        <v>44221</v>
      </c>
      <c r="C102" s="47" t="s">
        <v>71</v>
      </c>
      <c r="D102" s="12"/>
      <c r="E102" s="13">
        <f>Table133[[#This Row],[Prior day close]]</f>
        <v>0</v>
      </c>
      <c r="F102" s="12"/>
      <c r="G102" s="12"/>
      <c r="H102" s="12"/>
      <c r="I102" s="12"/>
      <c r="J102" s="12"/>
      <c r="K102" s="12"/>
      <c r="N102" s="13"/>
      <c r="P102" s="37"/>
      <c r="Q102" s="46"/>
      <c r="R102" s="37"/>
      <c r="S102" s="37"/>
      <c r="T102" s="37"/>
      <c r="U102" s="38"/>
      <c r="V102" s="46"/>
      <c r="W102" s="37"/>
      <c r="X102" s="46"/>
      <c r="Y102" s="41">
        <f>Table133[[#This Row],[Time until ideal entry + 390 (6:30)]]/(1440)</f>
        <v>0.27083333333333331</v>
      </c>
      <c r="Z102" s="18" t="e">
        <f t="shared" si="8"/>
        <v>#DIV/0!</v>
      </c>
      <c r="AA102" s="18" t="e">
        <f>IF(Table133[[#This Row],[HOD AFTER PM HI]]&gt;=Table133[[#This Row],[PM Hi]],((Table133[[#This Row],[HOD AFTER PM HI]]-Table133[[#This Row],[Prior day close]])/Table133[[#This Row],[Prior day close]]),Table133[[#This Row],[Prior Close to PM Hi %]])</f>
        <v>#DIV/0!</v>
      </c>
      <c r="AB102" s="42" t="e">
        <f>(Table133[[#This Row],[Price at hi of squeeze]]-Table133[[#This Row],[MKT Open Price]])/Table133[[#This Row],[MKT Open Price]]</f>
        <v>#DIV/0!</v>
      </c>
      <c r="AC102" s="18" t="e">
        <f>(Table133[[#This Row],[Price at hi of squeeze]]-Table133[[#This Row],[PM Hi]])/Table133[[#This Row],[PM Hi]]</f>
        <v>#DIV/0!</v>
      </c>
      <c r="AD102" s="18"/>
      <c r="AE102" s="20" t="e">
        <f>Table133[[#This Row],[PM VOL]]/1000000/Table133[[#This Row],[FLOAT(M)]]</f>
        <v>#DIV/0!</v>
      </c>
      <c r="AF102" s="23" t="e">
        <f>(Table133[[#This Row],[Volume]]/1000000)/Table133[[#This Row],[FLOAT(M)]]</f>
        <v>#DIV/0!</v>
      </c>
      <c r="AH102" s="18" t="e">
        <f>(Table133[[#This Row],[PM Hi]]-Table133[[#This Row],[MKT Open Price]])/(Table133[[#This Row],[PM Hi]])</f>
        <v>#DIV/0!</v>
      </c>
      <c r="AI102" s="18" t="e">
        <f>IF(Table133[[#This Row],[PM LO]]&gt;Table133[[#This Row],[Prior day close]],(Table133[[#This Row],[PM Hi]]-Table133[[#This Row],[MKT Open Price]])/(Table133[[#This Row],[PM Hi]]-Table133[[#This Row],[Prior day close]]),(Table133[[#This Row],[PM Hi]]-Table133[[#This Row],[MKT Open Price]])/(Table133[[#This Row],[PM Hi]]-Table133[[#This Row],[PM LO]]))</f>
        <v>#DIV/0!</v>
      </c>
      <c r="AJ102" s="48" t="e">
        <f>IF(Table133[[#This Row],[Prior day close]]&lt;Table133[[#This Row],[PM LO]],(I102-K102)/(I102-Table133[[#This Row],[Prior day close]]),(I102-K102)/(I102-Table133[[#This Row],[PM LO]]))</f>
        <v>#DIV/0!</v>
      </c>
      <c r="AK102" s="48" t="e">
        <f>Table133[[#This Row],[Spike % on open before drop]]+AL102</f>
        <v>#DIV/0!</v>
      </c>
      <c r="AL102" s="16" t="e">
        <f t="shared" si="9"/>
        <v>#DIV/0!</v>
      </c>
      <c r="AM102" s="18" t="e">
        <f>IF($J102&gt;=$F102,($J102-$K102)/($J102),(IF($H102&lt;=$K102,($F102-$H102)/($F102),(Table133[[#This Row],[PM Hi]]-Table133[[#This Row],[Lowest lo from open to squeeze]])/(Table133[[#This Row],[PM Hi]]))))</f>
        <v>#DIV/0!</v>
      </c>
      <c r="AN102" s="48" t="e">
        <f>IF(Table133[[#This Row],[Prior day close]]&lt;=Table133[[#This Row],[PM LO]],IF($J102&gt;=$F102,($J102-$K102)/($J102-Table133[[#This Row],[Prior day close]]),(IF($H102&lt;=$K102,($F102-$H102)/($F102-Table133[[#This Row],[Prior day close]]),(Table133[[#This Row],[PM Hi]]-Table133[[#This Row],[Lowest lo from open to squeeze]])/(Table133[[#This Row],[PM Hi]]-Table133[[#This Row],[Prior day close]])))),IF($J102&gt;=$F102,($J102-$K102)/($J102-Table133[[#This Row],[PM LO]]),(IF($H102&lt;=$K102,($F102-$H102)/($F102-Table133[[#This Row],[PM LO]]),(Table133[[#This Row],[PM Hi]]-Table133[[#This Row],[Lowest lo from open to squeeze]])/(Table133[[#This Row],[PM Hi]]-Table133[[#This Row],[PM LO]])))))</f>
        <v>#DIV/0!</v>
      </c>
      <c r="AO102" s="18" t="e">
        <f>IF(J102&gt;=F102,(J102-K102)/(J102-D102),(IF(H102&lt;=K102,(F102-H102)/(F102-D102),(Table133[[#This Row],[PM Hi]]-Table133[[#This Row],[Lowest lo from open to squeeze]])/(Table133[[#This Row],[PM Hi]]-Table133[[#This Row],[Prior day close]]))))</f>
        <v>#DIV/0!</v>
      </c>
      <c r="AP102" s="17">
        <f>390+Table133[[#This Row],[Time until ideal entry point (mins) from open]]</f>
        <v>390</v>
      </c>
      <c r="AQ102" s="17">
        <f>Table133[[#This Row],[Time until ideal entry + 390 (6:30)]]+Table133[[#This Row],[Duration of frontside (mins)]]</f>
        <v>390</v>
      </c>
    </row>
    <row r="103" spans="1:43" x14ac:dyDescent="0.25">
      <c r="A103" s="24" t="s">
        <v>255</v>
      </c>
      <c r="B103" s="47">
        <v>44225</v>
      </c>
      <c r="C103" s="47" t="s">
        <v>71</v>
      </c>
      <c r="D103" s="12"/>
      <c r="E103" s="13">
        <f>Table133[[#This Row],[Prior day close]]</f>
        <v>0</v>
      </c>
      <c r="F103" s="12"/>
      <c r="G103" s="12"/>
      <c r="H103" s="12"/>
      <c r="I103" s="12"/>
      <c r="J103" s="12"/>
      <c r="K103" s="12"/>
      <c r="N103" s="13"/>
      <c r="P103" s="37"/>
      <c r="Q103" s="46"/>
      <c r="R103" s="37"/>
      <c r="S103" s="37"/>
      <c r="T103" s="37"/>
      <c r="U103" s="38"/>
      <c r="V103" s="46"/>
      <c r="W103" s="37"/>
      <c r="X103" s="46"/>
      <c r="Y103" s="41">
        <f>Table133[[#This Row],[Time until ideal entry + 390 (6:30)]]/(1440)</f>
        <v>0.27083333333333331</v>
      </c>
      <c r="Z103" s="18" t="e">
        <f t="shared" ref="Z103:Z134" si="10">(F103-D103)/D103</f>
        <v>#DIV/0!</v>
      </c>
      <c r="AA103" s="18" t="e">
        <f>IF(Table133[[#This Row],[HOD AFTER PM HI]]&gt;=Table133[[#This Row],[PM Hi]],((Table133[[#This Row],[HOD AFTER PM HI]]-Table133[[#This Row],[Prior day close]])/Table133[[#This Row],[Prior day close]]),Table133[[#This Row],[Prior Close to PM Hi %]])</f>
        <v>#DIV/0!</v>
      </c>
      <c r="AB103" s="42" t="e">
        <f>(Table133[[#This Row],[Price at hi of squeeze]]-Table133[[#This Row],[MKT Open Price]])/Table133[[#This Row],[MKT Open Price]]</f>
        <v>#DIV/0!</v>
      </c>
      <c r="AC103" s="18" t="e">
        <f>(Table133[[#This Row],[Price at hi of squeeze]]-Table133[[#This Row],[PM Hi]])/Table133[[#This Row],[PM Hi]]</f>
        <v>#DIV/0!</v>
      </c>
      <c r="AD103" s="18"/>
      <c r="AE103" s="20" t="e">
        <f>Table133[[#This Row],[PM VOL]]/1000000/Table133[[#This Row],[FLOAT(M)]]</f>
        <v>#DIV/0!</v>
      </c>
      <c r="AF103" s="23" t="e">
        <f>(Table133[[#This Row],[Volume]]/1000000)/Table133[[#This Row],[FLOAT(M)]]</f>
        <v>#DIV/0!</v>
      </c>
      <c r="AH103" s="18" t="e">
        <f>(Table133[[#This Row],[PM Hi]]-Table133[[#This Row],[MKT Open Price]])/(Table133[[#This Row],[PM Hi]])</f>
        <v>#DIV/0!</v>
      </c>
      <c r="AI103" s="18" t="e">
        <f>IF(Table133[[#This Row],[PM LO]]&gt;Table133[[#This Row],[Prior day close]],(Table133[[#This Row],[PM Hi]]-Table133[[#This Row],[MKT Open Price]])/(Table133[[#This Row],[PM Hi]]-Table133[[#This Row],[Prior day close]]),(Table133[[#This Row],[PM Hi]]-Table133[[#This Row],[MKT Open Price]])/(Table133[[#This Row],[PM Hi]]-Table133[[#This Row],[PM LO]]))</f>
        <v>#DIV/0!</v>
      </c>
      <c r="AJ103" s="48" t="e">
        <f>IF(Table133[[#This Row],[Prior day close]]&lt;Table133[[#This Row],[PM LO]],(I103-K103)/(I103-Table133[[#This Row],[Prior day close]]),(I103-K103)/(I103-Table133[[#This Row],[PM LO]]))</f>
        <v>#DIV/0!</v>
      </c>
      <c r="AK103" s="48" t="e">
        <f>Table133[[#This Row],[Spike % on open before drop]]+AL103</f>
        <v>#DIV/0!</v>
      </c>
      <c r="AL103" s="16" t="e">
        <f t="shared" si="9"/>
        <v>#DIV/0!</v>
      </c>
      <c r="AM103" s="18" t="e">
        <f>IF($J103&gt;=$F103,($J103-$K103)/($J103),(IF($H103&lt;=$K103,($F103-$H103)/($F103),(Table133[[#This Row],[PM Hi]]-Table133[[#This Row],[Lowest lo from open to squeeze]])/(Table133[[#This Row],[PM Hi]]))))</f>
        <v>#DIV/0!</v>
      </c>
      <c r="AN103" s="48" t="e">
        <f>IF(Table133[[#This Row],[Prior day close]]&lt;=Table133[[#This Row],[PM LO]],IF($J103&gt;=$F103,($J103-$K103)/($J103-Table133[[#This Row],[Prior day close]]),(IF($H103&lt;=$K103,($F103-$H103)/($F103-Table133[[#This Row],[Prior day close]]),(Table133[[#This Row],[PM Hi]]-Table133[[#This Row],[Lowest lo from open to squeeze]])/(Table133[[#This Row],[PM Hi]]-Table133[[#This Row],[Prior day close]])))),IF($J103&gt;=$F103,($J103-$K103)/($J103-Table133[[#This Row],[PM LO]]),(IF($H103&lt;=$K103,($F103-$H103)/($F103-Table133[[#This Row],[PM LO]]),(Table133[[#This Row],[PM Hi]]-Table133[[#This Row],[Lowest lo from open to squeeze]])/(Table133[[#This Row],[PM Hi]]-Table133[[#This Row],[PM LO]])))))</f>
        <v>#DIV/0!</v>
      </c>
      <c r="AO103" s="18" t="e">
        <f>IF(J103&gt;=F103,(J103-K103)/(J103-D103),(IF(H103&lt;=K103,(F103-H103)/(F103-D103),(Table133[[#This Row],[PM Hi]]-Table133[[#This Row],[Lowest lo from open to squeeze]])/(Table133[[#This Row],[PM Hi]]-Table133[[#This Row],[Prior day close]]))))</f>
        <v>#DIV/0!</v>
      </c>
      <c r="AP103" s="17">
        <f>390+Table133[[#This Row],[Time until ideal entry point (mins) from open]]</f>
        <v>390</v>
      </c>
      <c r="AQ103" s="17">
        <f>Table133[[#This Row],[Time until ideal entry + 390 (6:30)]]+Table133[[#This Row],[Duration of frontside (mins)]]</f>
        <v>390</v>
      </c>
    </row>
    <row r="104" spans="1:43" x14ac:dyDescent="0.25">
      <c r="A104" s="24" t="s">
        <v>159</v>
      </c>
      <c r="B104" s="47">
        <v>43837</v>
      </c>
      <c r="C104" s="47" t="s">
        <v>143</v>
      </c>
      <c r="D104" s="12"/>
      <c r="E104" s="13"/>
      <c r="F104" s="12"/>
      <c r="G104" s="12"/>
      <c r="H104" s="12"/>
      <c r="I104" s="12"/>
      <c r="J104" s="12"/>
      <c r="K104" s="12"/>
      <c r="N104" s="13"/>
      <c r="P104" s="37"/>
      <c r="Q104" s="46"/>
      <c r="R104" s="37"/>
      <c r="S104" s="37"/>
      <c r="T104" s="37"/>
      <c r="U104" s="38"/>
      <c r="V104" s="46"/>
      <c r="W104" s="37"/>
      <c r="X104" s="46"/>
      <c r="Y104" s="41">
        <f>Table133[[#This Row],[Time until ideal entry + 390 (6:30)]]/(1440)</f>
        <v>0.27083333333333331</v>
      </c>
      <c r="Z104" s="18" t="e">
        <f t="shared" si="10"/>
        <v>#DIV/0!</v>
      </c>
      <c r="AA104" s="18" t="e">
        <f>IF(Table133[[#This Row],[HOD AFTER PM HI]]&gt;=Table133[[#This Row],[PM Hi]],((Table133[[#This Row],[HOD AFTER PM HI]]-Table133[[#This Row],[Prior day close]])/Table133[[#This Row],[Prior day close]]),Table133[[#This Row],[Prior Close to PM Hi %]])</f>
        <v>#DIV/0!</v>
      </c>
      <c r="AB104" s="42" t="e">
        <f>(Table133[[#This Row],[Price at hi of squeeze]]-Table133[[#This Row],[MKT Open Price]])/Table133[[#This Row],[MKT Open Price]]</f>
        <v>#DIV/0!</v>
      </c>
      <c r="AC104" s="18" t="e">
        <f>(Table133[[#This Row],[Price at hi of squeeze]]-Table133[[#This Row],[PM Hi]])/Table133[[#This Row],[PM Hi]]</f>
        <v>#DIV/0!</v>
      </c>
      <c r="AD104" s="18"/>
      <c r="AE104" s="20" t="e">
        <f>Table133[[#This Row],[PM VOL]]/1000000/Table133[[#This Row],[FLOAT(M)]]</f>
        <v>#DIV/0!</v>
      </c>
      <c r="AF104" s="23" t="e">
        <f>(Table133[[#This Row],[Volume]]/1000000)/Table133[[#This Row],[FLOAT(M)]]</f>
        <v>#DIV/0!</v>
      </c>
      <c r="AH104" s="18" t="e">
        <f>(Table133[[#This Row],[PM Hi]]-Table133[[#This Row],[MKT Open Price]])/(Table133[[#This Row],[PM Hi]])</f>
        <v>#DIV/0!</v>
      </c>
      <c r="AI104" s="18" t="e">
        <f>IF(Table133[[#This Row],[PM LO]]&gt;Table133[[#This Row],[Prior day close]],(Table133[[#This Row],[PM Hi]]-Table133[[#This Row],[MKT Open Price]])/(Table133[[#This Row],[PM Hi]]-Table133[[#This Row],[Prior day close]]),(Table133[[#This Row],[PM Hi]]-Table133[[#This Row],[MKT Open Price]])/(Table133[[#This Row],[PM Hi]]-Table133[[#This Row],[PM LO]]))</f>
        <v>#DIV/0!</v>
      </c>
      <c r="AJ104" s="48" t="e">
        <f>IF(Table133[[#This Row],[Prior day close]]&lt;Table133[[#This Row],[PM LO]],(I104-K104)/(I104-Table133[[#This Row],[Prior day close]]),(I104-K104)/(I104-Table133[[#This Row],[PM LO]]))</f>
        <v>#DIV/0!</v>
      </c>
      <c r="AK104" s="48" t="e">
        <f>Table133[[#This Row],[Spike % on open before drop]]+AL104</f>
        <v>#DIV/0!</v>
      </c>
      <c r="AL104" s="16" t="e">
        <f t="shared" si="9"/>
        <v>#DIV/0!</v>
      </c>
      <c r="AM104" s="18" t="e">
        <f>IF($J104&gt;=$F104,($J104-$K104)/($J104),(IF($H104&lt;=$K104,($F104-$H104)/($F104),(Table133[[#This Row],[PM Hi]]-Table133[[#This Row],[Lowest lo from open to squeeze]])/(Table133[[#This Row],[PM Hi]]))))</f>
        <v>#DIV/0!</v>
      </c>
      <c r="AN104" s="48" t="e">
        <f>IF(Table133[[#This Row],[Prior day close]]&lt;=Table133[[#This Row],[PM LO]],IF($J104&gt;=$F104,($J104-$K104)/($J104-Table133[[#This Row],[Prior day close]]),(IF($H104&lt;=$K104,($F104-$H104)/($F104-Table133[[#This Row],[Prior day close]]),(Table133[[#This Row],[PM Hi]]-Table133[[#This Row],[Lowest lo from open to squeeze]])/(Table133[[#This Row],[PM Hi]]-Table133[[#This Row],[Prior day close]])))),IF($J104&gt;=$F104,($J104-$K104)/($J104-Table133[[#This Row],[PM LO]]),(IF($H104&lt;=$K104,($F104-$H104)/($F104-Table133[[#This Row],[PM LO]]),(Table133[[#This Row],[PM Hi]]-Table133[[#This Row],[Lowest lo from open to squeeze]])/(Table133[[#This Row],[PM Hi]]-Table133[[#This Row],[PM LO]])))))</f>
        <v>#DIV/0!</v>
      </c>
      <c r="AO104" s="18" t="e">
        <f>IF(J104&gt;=F104,(J104-K104)/(J104-D104),(IF(H104&lt;=K104,(F104-H104)/(F104-D104),(Table133[[#This Row],[PM Hi]]-Table133[[#This Row],[Lowest lo from open to squeeze]])/(Table133[[#This Row],[PM Hi]]-Table133[[#This Row],[Prior day close]]))))</f>
        <v>#DIV/0!</v>
      </c>
      <c r="AP104" s="17">
        <f>390+Table133[[#This Row],[Time until ideal entry point (mins) from open]]</f>
        <v>390</v>
      </c>
      <c r="AQ104" s="17">
        <f>Table133[[#This Row],[Time until ideal entry + 390 (6:30)]]+Table133[[#This Row],[Duration of frontside (mins)]]</f>
        <v>390</v>
      </c>
    </row>
    <row r="105" spans="1:43" x14ac:dyDescent="0.25">
      <c r="A105" s="24" t="s">
        <v>167</v>
      </c>
      <c r="B105" s="47">
        <v>43888</v>
      </c>
      <c r="C105" s="47" t="s">
        <v>256</v>
      </c>
      <c r="D105" s="12"/>
      <c r="E105" s="13"/>
      <c r="F105" s="12"/>
      <c r="G105" s="12"/>
      <c r="H105" s="12"/>
      <c r="I105" s="12"/>
      <c r="J105" s="12"/>
      <c r="K105" s="12"/>
      <c r="N105" s="13"/>
      <c r="P105" s="37"/>
      <c r="Q105" s="46"/>
      <c r="R105" s="37"/>
      <c r="S105" s="37"/>
      <c r="T105" s="37"/>
      <c r="U105" s="38"/>
      <c r="V105" s="46"/>
      <c r="W105" s="37"/>
      <c r="X105" s="46"/>
      <c r="Y105" s="41">
        <f>Table133[[#This Row],[Time until ideal entry + 390 (6:30)]]/(1440)</f>
        <v>0.27083333333333331</v>
      </c>
      <c r="Z105" s="18" t="e">
        <f t="shared" si="10"/>
        <v>#DIV/0!</v>
      </c>
      <c r="AA105" s="18" t="e">
        <f>IF(Table133[[#This Row],[HOD AFTER PM HI]]&gt;=Table133[[#This Row],[PM Hi]],((Table133[[#This Row],[HOD AFTER PM HI]]-Table133[[#This Row],[Prior day close]])/Table133[[#This Row],[Prior day close]]),Table133[[#This Row],[Prior Close to PM Hi %]])</f>
        <v>#DIV/0!</v>
      </c>
      <c r="AB105" s="42" t="e">
        <f>(Table133[[#This Row],[Price at hi of squeeze]]-Table133[[#This Row],[MKT Open Price]])/Table133[[#This Row],[MKT Open Price]]</f>
        <v>#DIV/0!</v>
      </c>
      <c r="AC105" s="18" t="e">
        <f>(Table133[[#This Row],[Price at hi of squeeze]]-Table133[[#This Row],[PM Hi]])/Table133[[#This Row],[PM Hi]]</f>
        <v>#DIV/0!</v>
      </c>
      <c r="AD105" s="18"/>
      <c r="AE105" s="20" t="e">
        <f>Table133[[#This Row],[PM VOL]]/1000000/Table133[[#This Row],[FLOAT(M)]]</f>
        <v>#DIV/0!</v>
      </c>
      <c r="AF105" s="23" t="e">
        <f>(Table133[[#This Row],[Volume]]/1000000)/Table133[[#This Row],[FLOAT(M)]]</f>
        <v>#DIV/0!</v>
      </c>
      <c r="AH105" s="18" t="e">
        <f>(Table133[[#This Row],[PM Hi]]-Table133[[#This Row],[MKT Open Price]])/(Table133[[#This Row],[PM Hi]])</f>
        <v>#DIV/0!</v>
      </c>
      <c r="AI105" s="18" t="e">
        <f>IF(Table133[[#This Row],[PM LO]]&gt;Table133[[#This Row],[Prior day close]],(Table133[[#This Row],[PM Hi]]-Table133[[#This Row],[MKT Open Price]])/(Table133[[#This Row],[PM Hi]]-Table133[[#This Row],[Prior day close]]),(Table133[[#This Row],[PM Hi]]-Table133[[#This Row],[MKT Open Price]])/(Table133[[#This Row],[PM Hi]]-Table133[[#This Row],[PM LO]]))</f>
        <v>#DIV/0!</v>
      </c>
      <c r="AJ105" s="48" t="e">
        <f>IF(Table133[[#This Row],[Prior day close]]&lt;Table133[[#This Row],[PM LO]],(I105-K105)/(I105-Table133[[#This Row],[Prior day close]]),(I105-K105)/(I105-Table133[[#This Row],[PM LO]]))</f>
        <v>#DIV/0!</v>
      </c>
      <c r="AK105" s="48" t="e">
        <f>Table133[[#This Row],[Spike % on open before drop]]+AL105</f>
        <v>#DIV/0!</v>
      </c>
      <c r="AL105" s="16" t="e">
        <f t="shared" si="9"/>
        <v>#DIV/0!</v>
      </c>
      <c r="AM105" s="18" t="e">
        <f>IF($J105&gt;=$F105,($J105-$K105)/($J105),(IF($H105&lt;=$K105,($F105-$H105)/($F105),(Table133[[#This Row],[PM Hi]]-Table133[[#This Row],[Lowest lo from open to squeeze]])/(Table133[[#This Row],[PM Hi]]))))</f>
        <v>#DIV/0!</v>
      </c>
      <c r="AN105" s="48" t="e">
        <f>IF(Table133[[#This Row],[Prior day close]]&lt;=Table133[[#This Row],[PM LO]],IF($J105&gt;=$F105,($J105-$K105)/($J105-Table133[[#This Row],[Prior day close]]),(IF($H105&lt;=$K105,($F105-$H105)/($F105-Table133[[#This Row],[Prior day close]]),(Table133[[#This Row],[PM Hi]]-Table133[[#This Row],[Lowest lo from open to squeeze]])/(Table133[[#This Row],[PM Hi]]-Table133[[#This Row],[Prior day close]])))),IF($J105&gt;=$F105,($J105-$K105)/($J105-Table133[[#This Row],[PM LO]]),(IF($H105&lt;=$K105,($F105-$H105)/($F105-Table133[[#This Row],[PM LO]]),(Table133[[#This Row],[PM Hi]]-Table133[[#This Row],[Lowest lo from open to squeeze]])/(Table133[[#This Row],[PM Hi]]-Table133[[#This Row],[PM LO]])))))</f>
        <v>#DIV/0!</v>
      </c>
      <c r="AO105" s="18" t="e">
        <f>IF(J105&gt;=F105,(J105-K105)/(J105-D105),(IF(H105&lt;=K105,(F105-H105)/(F105-D105),(Table133[[#This Row],[PM Hi]]-Table133[[#This Row],[Lowest lo from open to squeeze]])/(Table133[[#This Row],[PM Hi]]-Table133[[#This Row],[Prior day close]]))))</f>
        <v>#DIV/0!</v>
      </c>
      <c r="AP105" s="17">
        <f>390+Table133[[#This Row],[Time until ideal entry point (mins) from open]]</f>
        <v>390</v>
      </c>
      <c r="AQ105" s="17">
        <f>Table133[[#This Row],[Time until ideal entry + 390 (6:30)]]+Table133[[#This Row],[Duration of frontside (mins)]]</f>
        <v>390</v>
      </c>
    </row>
    <row r="106" spans="1:43" x14ac:dyDescent="0.25">
      <c r="A106" s="24" t="s">
        <v>230</v>
      </c>
      <c r="B106" s="47">
        <v>44124</v>
      </c>
      <c r="C106" s="47" t="s">
        <v>143</v>
      </c>
      <c r="D106" s="12"/>
      <c r="E106" s="13"/>
      <c r="F106" s="12"/>
      <c r="G106" s="12"/>
      <c r="H106" s="12"/>
      <c r="I106" s="12"/>
      <c r="J106" s="12"/>
      <c r="K106" s="12"/>
      <c r="N106" s="13"/>
      <c r="P106" s="37"/>
      <c r="Q106" s="46"/>
      <c r="R106" s="37"/>
      <c r="S106" s="37"/>
      <c r="T106" s="37"/>
      <c r="U106" s="38"/>
      <c r="V106" s="46"/>
      <c r="W106" s="37"/>
      <c r="X106" s="46"/>
      <c r="Y106" s="41">
        <f>Table133[[#This Row],[Time until ideal entry + 390 (6:30)]]/(1440)</f>
        <v>0.27083333333333331</v>
      </c>
      <c r="Z106" s="18" t="e">
        <f t="shared" si="10"/>
        <v>#DIV/0!</v>
      </c>
      <c r="AA106" s="18" t="e">
        <f>IF(Table133[[#This Row],[HOD AFTER PM HI]]&gt;=Table133[[#This Row],[PM Hi]],((Table133[[#This Row],[HOD AFTER PM HI]]-Table133[[#This Row],[Prior day close]])/Table133[[#This Row],[Prior day close]]),Table133[[#This Row],[Prior Close to PM Hi %]])</f>
        <v>#DIV/0!</v>
      </c>
      <c r="AB106" s="42" t="e">
        <f>(Table133[[#This Row],[Price at hi of squeeze]]-Table133[[#This Row],[MKT Open Price]])/Table133[[#This Row],[MKT Open Price]]</f>
        <v>#DIV/0!</v>
      </c>
      <c r="AC106" s="18" t="e">
        <f>(Table133[[#This Row],[Price at hi of squeeze]]-Table133[[#This Row],[PM Hi]])/Table133[[#This Row],[PM Hi]]</f>
        <v>#DIV/0!</v>
      </c>
      <c r="AD106" s="18"/>
      <c r="AE106" s="20" t="e">
        <f>Table133[[#This Row],[PM VOL]]/1000000/Table133[[#This Row],[FLOAT(M)]]</f>
        <v>#DIV/0!</v>
      </c>
      <c r="AF106" s="23" t="e">
        <f>(Table133[[#This Row],[Volume]]/1000000)/Table133[[#This Row],[FLOAT(M)]]</f>
        <v>#DIV/0!</v>
      </c>
      <c r="AH106" s="18" t="e">
        <f>(Table133[[#This Row],[PM Hi]]-Table133[[#This Row],[MKT Open Price]])/(Table133[[#This Row],[PM Hi]])</f>
        <v>#DIV/0!</v>
      </c>
      <c r="AI106" s="18" t="e">
        <f>IF(Table133[[#This Row],[PM LO]]&gt;Table133[[#This Row],[Prior day close]],(Table133[[#This Row],[PM Hi]]-Table133[[#This Row],[MKT Open Price]])/(Table133[[#This Row],[PM Hi]]-Table133[[#This Row],[Prior day close]]),(Table133[[#This Row],[PM Hi]]-Table133[[#This Row],[MKT Open Price]])/(Table133[[#This Row],[PM Hi]]-Table133[[#This Row],[PM LO]]))</f>
        <v>#DIV/0!</v>
      </c>
      <c r="AJ106" s="48" t="e">
        <f>IF(Table133[[#This Row],[Prior day close]]&lt;Table133[[#This Row],[PM LO]],(I106-K106)/(I106-Table133[[#This Row],[Prior day close]]),(I106-K106)/(I106-Table133[[#This Row],[PM LO]]))</f>
        <v>#DIV/0!</v>
      </c>
      <c r="AK106" s="48" t="e">
        <f>Table133[[#This Row],[Spike % on open before drop]]+AL106</f>
        <v>#DIV/0!</v>
      </c>
      <c r="AL106" s="16" t="e">
        <f t="shared" si="9"/>
        <v>#DIV/0!</v>
      </c>
      <c r="AM106" s="18" t="e">
        <f>IF($J106&gt;=$F106,($J106-$K106)/($J106),(IF($H106&lt;=$K106,($F106-$H106)/($F106),(Table133[[#This Row],[PM Hi]]-Table133[[#This Row],[Lowest lo from open to squeeze]])/(Table133[[#This Row],[PM Hi]]))))</f>
        <v>#DIV/0!</v>
      </c>
      <c r="AN106" s="48" t="e">
        <f>IF(Table133[[#This Row],[Prior day close]]&lt;=Table133[[#This Row],[PM LO]],IF($J106&gt;=$F106,($J106-$K106)/($J106-Table133[[#This Row],[Prior day close]]),(IF($H106&lt;=$K106,($F106-$H106)/($F106-Table133[[#This Row],[Prior day close]]),(Table133[[#This Row],[PM Hi]]-Table133[[#This Row],[Lowest lo from open to squeeze]])/(Table133[[#This Row],[PM Hi]]-Table133[[#This Row],[Prior day close]])))),IF($J106&gt;=$F106,($J106-$K106)/($J106-Table133[[#This Row],[PM LO]]),(IF($H106&lt;=$K106,($F106-$H106)/($F106-Table133[[#This Row],[PM LO]]),(Table133[[#This Row],[PM Hi]]-Table133[[#This Row],[Lowest lo from open to squeeze]])/(Table133[[#This Row],[PM Hi]]-Table133[[#This Row],[PM LO]])))))</f>
        <v>#DIV/0!</v>
      </c>
      <c r="AO106" s="18" t="e">
        <f>IF(J106&gt;=F106,(J106-K106)/(J106-D106),(IF(H106&lt;=K106,(F106-H106)/(F106-D106),(Table133[[#This Row],[PM Hi]]-Table133[[#This Row],[Lowest lo from open to squeeze]])/(Table133[[#This Row],[PM Hi]]-Table133[[#This Row],[Prior day close]]))))</f>
        <v>#DIV/0!</v>
      </c>
      <c r="AP106" s="17">
        <f>390+Table133[[#This Row],[Time until ideal entry point (mins) from open]]</f>
        <v>390</v>
      </c>
      <c r="AQ106" s="17">
        <f>Table133[[#This Row],[Time until ideal entry + 390 (6:30)]]+Table133[[#This Row],[Duration of frontside (mins)]]</f>
        <v>390</v>
      </c>
    </row>
    <row r="107" spans="1:43" x14ac:dyDescent="0.25">
      <c r="A107" s="24" t="s">
        <v>174</v>
      </c>
      <c r="B107" s="47">
        <v>43936</v>
      </c>
      <c r="C107" s="47" t="s">
        <v>143</v>
      </c>
      <c r="D107" s="12"/>
      <c r="E107" s="13"/>
      <c r="F107" s="12"/>
      <c r="G107" s="12"/>
      <c r="H107" s="12"/>
      <c r="I107" s="12"/>
      <c r="J107" s="12"/>
      <c r="K107" s="12"/>
      <c r="N107" s="13"/>
      <c r="P107" s="37"/>
      <c r="Q107" s="46"/>
      <c r="R107" s="37"/>
      <c r="S107" s="37"/>
      <c r="T107" s="37"/>
      <c r="U107" s="38"/>
      <c r="V107" s="46"/>
      <c r="W107" s="37"/>
      <c r="X107" s="46"/>
      <c r="Y107" s="41">
        <f>Table133[[#This Row],[Time until ideal entry + 390 (6:30)]]/(1440)</f>
        <v>0.27083333333333331</v>
      </c>
      <c r="Z107" s="18" t="e">
        <f t="shared" si="10"/>
        <v>#DIV/0!</v>
      </c>
      <c r="AA107" s="18" t="e">
        <f>IF(Table133[[#This Row],[HOD AFTER PM HI]]&gt;=Table133[[#This Row],[PM Hi]],((Table133[[#This Row],[HOD AFTER PM HI]]-Table133[[#This Row],[Prior day close]])/Table133[[#This Row],[Prior day close]]),Table133[[#This Row],[Prior Close to PM Hi %]])</f>
        <v>#DIV/0!</v>
      </c>
      <c r="AB107" s="42" t="e">
        <f>(Table133[[#This Row],[Price at hi of squeeze]]-Table133[[#This Row],[MKT Open Price]])/Table133[[#This Row],[MKT Open Price]]</f>
        <v>#DIV/0!</v>
      </c>
      <c r="AC107" s="18" t="e">
        <f>(Table133[[#This Row],[Price at hi of squeeze]]-Table133[[#This Row],[PM Hi]])/Table133[[#This Row],[PM Hi]]</f>
        <v>#DIV/0!</v>
      </c>
      <c r="AD107" s="18"/>
      <c r="AE107" s="20" t="e">
        <f>Table133[[#This Row],[PM VOL]]/1000000/Table133[[#This Row],[FLOAT(M)]]</f>
        <v>#DIV/0!</v>
      </c>
      <c r="AF107" s="23" t="e">
        <f>(Table133[[#This Row],[Volume]]/1000000)/Table133[[#This Row],[FLOAT(M)]]</f>
        <v>#DIV/0!</v>
      </c>
      <c r="AH107" s="18" t="e">
        <f>(Table133[[#This Row],[PM Hi]]-Table133[[#This Row],[MKT Open Price]])/(Table133[[#This Row],[PM Hi]])</f>
        <v>#DIV/0!</v>
      </c>
      <c r="AI107" s="18" t="e">
        <f>IF(Table133[[#This Row],[PM LO]]&gt;Table133[[#This Row],[Prior day close]],(Table133[[#This Row],[PM Hi]]-Table133[[#This Row],[MKT Open Price]])/(Table133[[#This Row],[PM Hi]]-Table133[[#This Row],[Prior day close]]),(Table133[[#This Row],[PM Hi]]-Table133[[#This Row],[MKT Open Price]])/(Table133[[#This Row],[PM Hi]]-Table133[[#This Row],[PM LO]]))</f>
        <v>#DIV/0!</v>
      </c>
      <c r="AJ107" s="48" t="e">
        <f>IF(Table133[[#This Row],[Prior day close]]&lt;Table133[[#This Row],[PM LO]],(I107-K107)/(I107-Table133[[#This Row],[Prior day close]]),(I107-K107)/(I107-Table133[[#This Row],[PM LO]]))</f>
        <v>#DIV/0!</v>
      </c>
      <c r="AK107" s="48" t="e">
        <f>Table133[[#This Row],[Spike % on open before drop]]+AL107</f>
        <v>#DIV/0!</v>
      </c>
      <c r="AL107" s="16" t="e">
        <f t="shared" si="9"/>
        <v>#DIV/0!</v>
      </c>
      <c r="AM107" s="18" t="e">
        <f>IF($J107&gt;=$F107,($J107-$K107)/($J107),(IF($H107&lt;=$K107,($F107-$H107)/($F107),(Table133[[#This Row],[PM Hi]]-Table133[[#This Row],[Lowest lo from open to squeeze]])/(Table133[[#This Row],[PM Hi]]))))</f>
        <v>#DIV/0!</v>
      </c>
      <c r="AN107" s="48" t="e">
        <f>IF(Table133[[#This Row],[Prior day close]]&lt;=Table133[[#This Row],[PM LO]],IF($J107&gt;=$F107,($J107-$K107)/($J107-Table133[[#This Row],[Prior day close]]),(IF($H107&lt;=$K107,($F107-$H107)/($F107-Table133[[#This Row],[Prior day close]]),(Table133[[#This Row],[PM Hi]]-Table133[[#This Row],[Lowest lo from open to squeeze]])/(Table133[[#This Row],[PM Hi]]-Table133[[#This Row],[Prior day close]])))),IF($J107&gt;=$F107,($J107-$K107)/($J107-Table133[[#This Row],[PM LO]]),(IF($H107&lt;=$K107,($F107-$H107)/($F107-Table133[[#This Row],[PM LO]]),(Table133[[#This Row],[PM Hi]]-Table133[[#This Row],[Lowest lo from open to squeeze]])/(Table133[[#This Row],[PM Hi]]-Table133[[#This Row],[PM LO]])))))</f>
        <v>#DIV/0!</v>
      </c>
      <c r="AO107" s="18" t="e">
        <f>IF(J107&gt;=F107,(J107-K107)/(J107-D107),(IF(H107&lt;=K107,(F107-H107)/(F107-D107),(Table133[[#This Row],[PM Hi]]-Table133[[#This Row],[Lowest lo from open to squeeze]])/(Table133[[#This Row],[PM Hi]]-Table133[[#This Row],[Prior day close]]))))</f>
        <v>#DIV/0!</v>
      </c>
      <c r="AP107" s="17">
        <f>390+Table133[[#This Row],[Time until ideal entry point (mins) from open]]</f>
        <v>390</v>
      </c>
      <c r="AQ107" s="17">
        <f>Table133[[#This Row],[Time until ideal entry + 390 (6:30)]]+Table133[[#This Row],[Duration of frontside (mins)]]</f>
        <v>390</v>
      </c>
    </row>
    <row r="108" spans="1:43" x14ac:dyDescent="0.25">
      <c r="A108" s="24" t="s">
        <v>165</v>
      </c>
      <c r="B108" s="47">
        <v>43888</v>
      </c>
      <c r="C108" s="47" t="s">
        <v>143</v>
      </c>
      <c r="D108" s="12"/>
      <c r="E108" s="13"/>
      <c r="F108" s="12"/>
      <c r="G108" s="12"/>
      <c r="H108" s="12"/>
      <c r="I108" s="12"/>
      <c r="J108" s="12"/>
      <c r="K108" s="12"/>
      <c r="N108" s="13"/>
      <c r="P108" s="37"/>
      <c r="Q108" s="46"/>
      <c r="R108" s="37"/>
      <c r="S108" s="37"/>
      <c r="T108" s="37"/>
      <c r="U108" s="38"/>
      <c r="V108" s="46"/>
      <c r="W108" s="37"/>
      <c r="X108" s="46"/>
      <c r="Y108" s="41">
        <f>Table133[[#This Row],[Time until ideal entry + 390 (6:30)]]/(1440)</f>
        <v>0.27083333333333331</v>
      </c>
      <c r="Z108" s="18" t="e">
        <f t="shared" si="10"/>
        <v>#DIV/0!</v>
      </c>
      <c r="AA108" s="18" t="e">
        <f>IF(Table133[[#This Row],[HOD AFTER PM HI]]&gt;=Table133[[#This Row],[PM Hi]],((Table133[[#This Row],[HOD AFTER PM HI]]-Table133[[#This Row],[Prior day close]])/Table133[[#This Row],[Prior day close]]),Table133[[#This Row],[Prior Close to PM Hi %]])</f>
        <v>#DIV/0!</v>
      </c>
      <c r="AB108" s="42" t="e">
        <f>(Table133[[#This Row],[Price at hi of squeeze]]-Table133[[#This Row],[MKT Open Price]])/Table133[[#This Row],[MKT Open Price]]</f>
        <v>#DIV/0!</v>
      </c>
      <c r="AC108" s="18" t="e">
        <f>(Table133[[#This Row],[Price at hi of squeeze]]-Table133[[#This Row],[PM Hi]])/Table133[[#This Row],[PM Hi]]</f>
        <v>#DIV/0!</v>
      </c>
      <c r="AD108" s="18"/>
      <c r="AE108" s="20" t="e">
        <f>Table133[[#This Row],[PM VOL]]/1000000/Table133[[#This Row],[FLOAT(M)]]</f>
        <v>#DIV/0!</v>
      </c>
      <c r="AF108" s="23" t="e">
        <f>(Table133[[#This Row],[Volume]]/1000000)/Table133[[#This Row],[FLOAT(M)]]</f>
        <v>#DIV/0!</v>
      </c>
      <c r="AH108" s="18" t="e">
        <f>(Table133[[#This Row],[PM Hi]]-Table133[[#This Row],[MKT Open Price]])/(Table133[[#This Row],[PM Hi]])</f>
        <v>#DIV/0!</v>
      </c>
      <c r="AI108" s="18" t="e">
        <f>IF(Table133[[#This Row],[PM LO]]&gt;Table133[[#This Row],[Prior day close]],(Table133[[#This Row],[PM Hi]]-Table133[[#This Row],[MKT Open Price]])/(Table133[[#This Row],[PM Hi]]-Table133[[#This Row],[Prior day close]]),(Table133[[#This Row],[PM Hi]]-Table133[[#This Row],[MKT Open Price]])/(Table133[[#This Row],[PM Hi]]-Table133[[#This Row],[PM LO]]))</f>
        <v>#DIV/0!</v>
      </c>
      <c r="AJ108" s="48" t="e">
        <f>IF(Table133[[#This Row],[Prior day close]]&lt;Table133[[#This Row],[PM LO]],(I108-K108)/(I108-Table133[[#This Row],[Prior day close]]),(I108-K108)/(I108-Table133[[#This Row],[PM LO]]))</f>
        <v>#DIV/0!</v>
      </c>
      <c r="AK108" s="48" t="e">
        <f>Table133[[#This Row],[Spike % on open before drop]]+AL108</f>
        <v>#DIV/0!</v>
      </c>
      <c r="AL108" s="16" t="e">
        <f t="shared" si="9"/>
        <v>#DIV/0!</v>
      </c>
      <c r="AM108" s="18" t="e">
        <f>IF($J108&gt;=$F108,($J108-$K108)/($J108),(IF($H108&lt;=$K108,($F108-$H108)/($F108),(Table133[[#This Row],[PM Hi]]-Table133[[#This Row],[Lowest lo from open to squeeze]])/(Table133[[#This Row],[PM Hi]]))))</f>
        <v>#DIV/0!</v>
      </c>
      <c r="AN108" s="48" t="e">
        <f>IF(Table133[[#This Row],[Prior day close]]&lt;=Table133[[#This Row],[PM LO]],IF($J108&gt;=$F108,($J108-$K108)/($J108-Table133[[#This Row],[Prior day close]]),(IF($H108&lt;=$K108,($F108-$H108)/($F108-Table133[[#This Row],[Prior day close]]),(Table133[[#This Row],[PM Hi]]-Table133[[#This Row],[Lowest lo from open to squeeze]])/(Table133[[#This Row],[PM Hi]]-Table133[[#This Row],[Prior day close]])))),IF($J108&gt;=$F108,($J108-$K108)/($J108-Table133[[#This Row],[PM LO]]),(IF($H108&lt;=$K108,($F108-$H108)/($F108-Table133[[#This Row],[PM LO]]),(Table133[[#This Row],[PM Hi]]-Table133[[#This Row],[Lowest lo from open to squeeze]])/(Table133[[#This Row],[PM Hi]]-Table133[[#This Row],[PM LO]])))))</f>
        <v>#DIV/0!</v>
      </c>
      <c r="AO108" s="18" t="e">
        <f>IF(J108&gt;=F108,(J108-K108)/(J108-D108),(IF(H108&lt;=K108,(F108-H108)/(F108-D108),(Table133[[#This Row],[PM Hi]]-Table133[[#This Row],[Lowest lo from open to squeeze]])/(Table133[[#This Row],[PM Hi]]-Table133[[#This Row],[Prior day close]]))))</f>
        <v>#DIV/0!</v>
      </c>
      <c r="AP108" s="17">
        <f>390+Table133[[#This Row],[Time until ideal entry point (mins) from open]]</f>
        <v>390</v>
      </c>
      <c r="AQ108" s="17">
        <f>Table133[[#This Row],[Time until ideal entry + 390 (6:30)]]+Table133[[#This Row],[Duration of frontside (mins)]]</f>
        <v>390</v>
      </c>
    </row>
    <row r="109" spans="1:43" x14ac:dyDescent="0.25">
      <c r="A109" s="24" t="s">
        <v>172</v>
      </c>
      <c r="B109" s="47">
        <v>43910</v>
      </c>
      <c r="C109" s="47" t="s">
        <v>143</v>
      </c>
      <c r="D109" s="12"/>
      <c r="E109" s="13"/>
      <c r="F109" s="12"/>
      <c r="G109" s="12"/>
      <c r="H109" s="12"/>
      <c r="I109" s="12"/>
      <c r="J109" s="12"/>
      <c r="K109" s="12"/>
      <c r="N109" s="13"/>
      <c r="P109" s="37"/>
      <c r="Q109" s="46"/>
      <c r="R109" s="37"/>
      <c r="S109" s="37"/>
      <c r="T109" s="37"/>
      <c r="U109" s="38"/>
      <c r="V109" s="46"/>
      <c r="W109" s="37"/>
      <c r="X109" s="46"/>
      <c r="Y109" s="41">
        <f>Table133[[#This Row],[Time until ideal entry + 390 (6:30)]]/(1440)</f>
        <v>0.27083333333333331</v>
      </c>
      <c r="Z109" s="18" t="e">
        <f t="shared" si="10"/>
        <v>#DIV/0!</v>
      </c>
      <c r="AA109" s="18" t="e">
        <f>IF(Table133[[#This Row],[HOD AFTER PM HI]]&gt;=Table133[[#This Row],[PM Hi]],((Table133[[#This Row],[HOD AFTER PM HI]]-Table133[[#This Row],[Prior day close]])/Table133[[#This Row],[Prior day close]]),Table133[[#This Row],[Prior Close to PM Hi %]])</f>
        <v>#DIV/0!</v>
      </c>
      <c r="AB109" s="42" t="e">
        <f>(Table133[[#This Row],[Price at hi of squeeze]]-Table133[[#This Row],[MKT Open Price]])/Table133[[#This Row],[MKT Open Price]]</f>
        <v>#DIV/0!</v>
      </c>
      <c r="AC109" s="18" t="e">
        <f>(Table133[[#This Row],[Price at hi of squeeze]]-Table133[[#This Row],[PM Hi]])/Table133[[#This Row],[PM Hi]]</f>
        <v>#DIV/0!</v>
      </c>
      <c r="AD109" s="18"/>
      <c r="AE109" s="20" t="e">
        <f>Table133[[#This Row],[PM VOL]]/1000000/Table133[[#This Row],[FLOAT(M)]]</f>
        <v>#DIV/0!</v>
      </c>
      <c r="AF109" s="23" t="e">
        <f>(Table133[[#This Row],[Volume]]/1000000)/Table133[[#This Row],[FLOAT(M)]]</f>
        <v>#DIV/0!</v>
      </c>
      <c r="AH109" s="18" t="e">
        <f>(Table133[[#This Row],[PM Hi]]-Table133[[#This Row],[MKT Open Price]])/(Table133[[#This Row],[PM Hi]])</f>
        <v>#DIV/0!</v>
      </c>
      <c r="AI109" s="18" t="e">
        <f>IF(Table133[[#This Row],[PM LO]]&gt;Table133[[#This Row],[Prior day close]],(Table133[[#This Row],[PM Hi]]-Table133[[#This Row],[MKT Open Price]])/(Table133[[#This Row],[PM Hi]]-Table133[[#This Row],[Prior day close]]),(Table133[[#This Row],[PM Hi]]-Table133[[#This Row],[MKT Open Price]])/(Table133[[#This Row],[PM Hi]]-Table133[[#This Row],[PM LO]]))</f>
        <v>#DIV/0!</v>
      </c>
      <c r="AJ109" s="48" t="e">
        <f>IF(Table133[[#This Row],[Prior day close]]&lt;Table133[[#This Row],[PM LO]],(I109-K109)/(I109-Table133[[#This Row],[Prior day close]]),(I109-K109)/(I109-Table133[[#This Row],[PM LO]]))</f>
        <v>#DIV/0!</v>
      </c>
      <c r="AK109" s="48" t="e">
        <f>Table133[[#This Row],[Spike % on open before drop]]+AL109</f>
        <v>#DIV/0!</v>
      </c>
      <c r="AL109" s="16" t="e">
        <f t="shared" si="9"/>
        <v>#DIV/0!</v>
      </c>
      <c r="AM109" s="18" t="e">
        <f>IF($J109&gt;=$F109,($J109-$K109)/($J109),(IF($H109&lt;=$K109,($F109-$H109)/($F109),(Table133[[#This Row],[PM Hi]]-Table133[[#This Row],[Lowest lo from open to squeeze]])/(Table133[[#This Row],[PM Hi]]))))</f>
        <v>#DIV/0!</v>
      </c>
      <c r="AN109" s="48" t="e">
        <f>IF(Table133[[#This Row],[Prior day close]]&lt;=Table133[[#This Row],[PM LO]],IF($J109&gt;=$F109,($J109-$K109)/($J109-Table133[[#This Row],[Prior day close]]),(IF($H109&lt;=$K109,($F109-$H109)/($F109-Table133[[#This Row],[Prior day close]]),(Table133[[#This Row],[PM Hi]]-Table133[[#This Row],[Lowest lo from open to squeeze]])/(Table133[[#This Row],[PM Hi]]-Table133[[#This Row],[Prior day close]])))),IF($J109&gt;=$F109,($J109-$K109)/($J109-Table133[[#This Row],[PM LO]]),(IF($H109&lt;=$K109,($F109-$H109)/($F109-Table133[[#This Row],[PM LO]]),(Table133[[#This Row],[PM Hi]]-Table133[[#This Row],[Lowest lo from open to squeeze]])/(Table133[[#This Row],[PM Hi]]-Table133[[#This Row],[PM LO]])))))</f>
        <v>#DIV/0!</v>
      </c>
      <c r="AO109" s="18" t="e">
        <f>IF(J109&gt;=F109,(J109-K109)/(J109-D109),(IF(H109&lt;=K109,(F109-H109)/(F109-D109),(Table133[[#This Row],[PM Hi]]-Table133[[#This Row],[Lowest lo from open to squeeze]])/(Table133[[#This Row],[PM Hi]]-Table133[[#This Row],[Prior day close]]))))</f>
        <v>#DIV/0!</v>
      </c>
      <c r="AP109" s="17">
        <f>390+Table133[[#This Row],[Time until ideal entry point (mins) from open]]</f>
        <v>390</v>
      </c>
      <c r="AQ109" s="17">
        <f>Table133[[#This Row],[Time until ideal entry + 390 (6:30)]]+Table133[[#This Row],[Duration of frontside (mins)]]</f>
        <v>390</v>
      </c>
    </row>
    <row r="110" spans="1:43" x14ac:dyDescent="0.25">
      <c r="A110" s="25" t="s">
        <v>188</v>
      </c>
      <c r="B110" s="11">
        <v>43983</v>
      </c>
      <c r="C110" s="47" t="s">
        <v>143</v>
      </c>
      <c r="D110" s="12"/>
      <c r="E110" s="13"/>
      <c r="F110" s="12"/>
      <c r="G110" s="12"/>
      <c r="H110" s="12"/>
      <c r="I110" s="12"/>
      <c r="J110" s="12"/>
      <c r="K110" s="12"/>
      <c r="N110" s="13"/>
      <c r="P110" s="37"/>
      <c r="Q110" s="46"/>
      <c r="R110" s="37"/>
      <c r="S110" s="37"/>
      <c r="T110" s="37"/>
      <c r="U110" s="38"/>
      <c r="V110" s="46"/>
      <c r="W110" s="37"/>
      <c r="X110" s="46"/>
      <c r="Y110" s="41">
        <f>Table133[[#This Row],[Time until ideal entry + 390 (6:30)]]/(1440)</f>
        <v>0.27083333333333331</v>
      </c>
      <c r="Z110" s="18" t="e">
        <f t="shared" si="10"/>
        <v>#DIV/0!</v>
      </c>
      <c r="AA110" s="18" t="e">
        <f>IF(Table133[[#This Row],[HOD AFTER PM HI]]&gt;=Table133[[#This Row],[PM Hi]],((Table133[[#This Row],[HOD AFTER PM HI]]-Table133[[#This Row],[Prior day close]])/Table133[[#This Row],[Prior day close]]),Table133[[#This Row],[Prior Close to PM Hi %]])</f>
        <v>#DIV/0!</v>
      </c>
      <c r="AB110" s="42" t="e">
        <f>(Table133[[#This Row],[Price at hi of squeeze]]-Table133[[#This Row],[MKT Open Price]])/Table133[[#This Row],[MKT Open Price]]</f>
        <v>#DIV/0!</v>
      </c>
      <c r="AC110" s="18" t="e">
        <f>(Table133[[#This Row],[Price at hi of squeeze]]-Table133[[#This Row],[PM Hi]])/Table133[[#This Row],[PM Hi]]</f>
        <v>#DIV/0!</v>
      </c>
      <c r="AD110" s="18"/>
      <c r="AE110" s="20" t="e">
        <f>Table133[[#This Row],[PM VOL]]/1000000/Table133[[#This Row],[FLOAT(M)]]</f>
        <v>#DIV/0!</v>
      </c>
      <c r="AF110" s="23" t="e">
        <f>(Table133[[#This Row],[Volume]]/1000000)/Table133[[#This Row],[FLOAT(M)]]</f>
        <v>#DIV/0!</v>
      </c>
      <c r="AH110" s="18" t="e">
        <f>(Table133[[#This Row],[PM Hi]]-Table133[[#This Row],[MKT Open Price]])/(Table133[[#This Row],[PM Hi]])</f>
        <v>#DIV/0!</v>
      </c>
      <c r="AI110" s="18" t="e">
        <f>IF(Table133[[#This Row],[PM LO]]&gt;Table133[[#This Row],[Prior day close]],(Table133[[#This Row],[PM Hi]]-Table133[[#This Row],[MKT Open Price]])/(Table133[[#This Row],[PM Hi]]-Table133[[#This Row],[Prior day close]]),(Table133[[#This Row],[PM Hi]]-Table133[[#This Row],[MKT Open Price]])/(Table133[[#This Row],[PM Hi]]-Table133[[#This Row],[PM LO]]))</f>
        <v>#DIV/0!</v>
      </c>
      <c r="AJ110" s="48" t="e">
        <f>IF(Table133[[#This Row],[Prior day close]]&lt;Table133[[#This Row],[PM LO]],(I110-K110)/(I110-Table133[[#This Row],[Prior day close]]),(I110-K110)/(I110-Table133[[#This Row],[PM LO]]))</f>
        <v>#DIV/0!</v>
      </c>
      <c r="AK110" s="48" t="e">
        <f>Table133[[#This Row],[Spike % on open before drop]]+AL110</f>
        <v>#DIV/0!</v>
      </c>
      <c r="AL110" s="16" t="e">
        <f t="shared" si="9"/>
        <v>#DIV/0!</v>
      </c>
      <c r="AM110" s="18" t="e">
        <f>IF($J110&gt;=$F110,($J110-$K110)/($J110),(IF($H110&lt;=$K110,($F110-$H110)/($F110),(Table133[[#This Row],[PM Hi]]-Table133[[#This Row],[Lowest lo from open to squeeze]])/(Table133[[#This Row],[PM Hi]]))))</f>
        <v>#DIV/0!</v>
      </c>
      <c r="AN110" s="48" t="e">
        <f>IF(Table133[[#This Row],[Prior day close]]&lt;=Table133[[#This Row],[PM LO]],IF($J110&gt;=$F110,($J110-$K110)/($J110-Table133[[#This Row],[Prior day close]]),(IF($H110&lt;=$K110,($F110-$H110)/($F110-Table133[[#This Row],[Prior day close]]),(Table133[[#This Row],[PM Hi]]-Table133[[#This Row],[Lowest lo from open to squeeze]])/(Table133[[#This Row],[PM Hi]]-Table133[[#This Row],[Prior day close]])))),IF($J110&gt;=$F110,($J110-$K110)/($J110-Table133[[#This Row],[PM LO]]),(IF($H110&lt;=$K110,($F110-$H110)/($F110-Table133[[#This Row],[PM LO]]),(Table133[[#This Row],[PM Hi]]-Table133[[#This Row],[Lowest lo from open to squeeze]])/(Table133[[#This Row],[PM Hi]]-Table133[[#This Row],[PM LO]])))))</f>
        <v>#DIV/0!</v>
      </c>
      <c r="AO110" s="18" t="e">
        <f>IF(J110&gt;=F110,(J110-K110)/(J110-D110),(IF(H110&lt;=K110,(F110-H110)/(F110-D110),(Table133[[#This Row],[PM Hi]]-Table133[[#This Row],[Lowest lo from open to squeeze]])/(Table133[[#This Row],[PM Hi]]-Table133[[#This Row],[Prior day close]]))))</f>
        <v>#DIV/0!</v>
      </c>
      <c r="AP110" s="17">
        <f>390+Table133[[#This Row],[Time until ideal entry point (mins) from open]]</f>
        <v>390</v>
      </c>
      <c r="AQ110" s="17">
        <f>Table133[[#This Row],[Time until ideal entry + 390 (6:30)]]+Table133[[#This Row],[Duration of frontside (mins)]]</f>
        <v>390</v>
      </c>
    </row>
    <row r="111" spans="1:43" x14ac:dyDescent="0.25">
      <c r="A111" s="24" t="s">
        <v>40</v>
      </c>
      <c r="B111" s="47">
        <v>44217</v>
      </c>
      <c r="C111" s="47" t="s">
        <v>143</v>
      </c>
      <c r="D111" s="12"/>
      <c r="E111" s="13"/>
      <c r="F111" s="12"/>
      <c r="G111" s="12"/>
      <c r="H111" s="12"/>
      <c r="I111" s="12"/>
      <c r="J111" s="12"/>
      <c r="K111" s="12"/>
      <c r="N111" s="13"/>
      <c r="P111" s="37"/>
      <c r="Q111" s="46"/>
      <c r="R111" s="37"/>
      <c r="S111" s="37"/>
      <c r="T111" s="37"/>
      <c r="U111" s="38"/>
      <c r="V111" s="46"/>
      <c r="W111" s="37"/>
      <c r="X111" s="46"/>
      <c r="Y111" s="41">
        <f>Table133[[#This Row],[Time until ideal entry + 390 (6:30)]]/(1440)</f>
        <v>0.27083333333333331</v>
      </c>
      <c r="Z111" s="18" t="e">
        <f t="shared" si="10"/>
        <v>#DIV/0!</v>
      </c>
      <c r="AA111" s="18" t="e">
        <f>IF(Table133[[#This Row],[HOD AFTER PM HI]]&gt;=Table133[[#This Row],[PM Hi]],((Table133[[#This Row],[HOD AFTER PM HI]]-Table133[[#This Row],[Prior day close]])/Table133[[#This Row],[Prior day close]]),Table133[[#This Row],[Prior Close to PM Hi %]])</f>
        <v>#DIV/0!</v>
      </c>
      <c r="AB111" s="42" t="e">
        <f>(Table133[[#This Row],[Price at hi of squeeze]]-Table133[[#This Row],[MKT Open Price]])/Table133[[#This Row],[MKT Open Price]]</f>
        <v>#DIV/0!</v>
      </c>
      <c r="AC111" s="18" t="e">
        <f>(Table133[[#This Row],[Price at hi of squeeze]]-Table133[[#This Row],[PM Hi]])/Table133[[#This Row],[PM Hi]]</f>
        <v>#DIV/0!</v>
      </c>
      <c r="AD111" s="18"/>
      <c r="AE111" s="20" t="e">
        <f>Table133[[#This Row],[PM VOL]]/1000000/Table133[[#This Row],[FLOAT(M)]]</f>
        <v>#DIV/0!</v>
      </c>
      <c r="AF111" s="23" t="e">
        <f>(Table133[[#This Row],[Volume]]/1000000)/Table133[[#This Row],[FLOAT(M)]]</f>
        <v>#DIV/0!</v>
      </c>
      <c r="AH111" s="18" t="e">
        <f>(Table133[[#This Row],[PM Hi]]-Table133[[#This Row],[MKT Open Price]])/(Table133[[#This Row],[PM Hi]])</f>
        <v>#DIV/0!</v>
      </c>
      <c r="AI111" s="18" t="e">
        <f>IF(Table133[[#This Row],[PM LO]]&gt;Table133[[#This Row],[Prior day close]],(Table133[[#This Row],[PM Hi]]-Table133[[#This Row],[MKT Open Price]])/(Table133[[#This Row],[PM Hi]]-Table133[[#This Row],[Prior day close]]),(Table133[[#This Row],[PM Hi]]-Table133[[#This Row],[MKT Open Price]])/(Table133[[#This Row],[PM Hi]]-Table133[[#This Row],[PM LO]]))</f>
        <v>#DIV/0!</v>
      </c>
      <c r="AJ111" s="48" t="e">
        <f>IF(Table133[[#This Row],[Prior day close]]&lt;Table133[[#This Row],[PM LO]],(I111-K111)/(I111-Table133[[#This Row],[Prior day close]]),(I111-K111)/(I111-Table133[[#This Row],[PM LO]]))</f>
        <v>#DIV/0!</v>
      </c>
      <c r="AK111" s="48" t="e">
        <f>Table133[[#This Row],[Spike % on open before drop]]+AL111</f>
        <v>#DIV/0!</v>
      </c>
      <c r="AL111" s="16" t="e">
        <f t="shared" si="9"/>
        <v>#DIV/0!</v>
      </c>
      <c r="AM111" s="18" t="e">
        <f>IF($J111&gt;=$F111,($J111-$K111)/($J111),(IF($H111&lt;=$K111,($F111-$H111)/($F111),(Table133[[#This Row],[PM Hi]]-Table133[[#This Row],[Lowest lo from open to squeeze]])/(Table133[[#This Row],[PM Hi]]))))</f>
        <v>#DIV/0!</v>
      </c>
      <c r="AN111" s="48" t="e">
        <f>IF(Table133[[#This Row],[Prior day close]]&lt;=Table133[[#This Row],[PM LO]],IF($J111&gt;=$F111,($J111-$K111)/($J111-Table133[[#This Row],[Prior day close]]),(IF($H111&lt;=$K111,($F111-$H111)/($F111-Table133[[#This Row],[Prior day close]]),(Table133[[#This Row],[PM Hi]]-Table133[[#This Row],[Lowest lo from open to squeeze]])/(Table133[[#This Row],[PM Hi]]-Table133[[#This Row],[Prior day close]])))),IF($J111&gt;=$F111,($J111-$K111)/($J111-Table133[[#This Row],[PM LO]]),(IF($H111&lt;=$K111,($F111-$H111)/($F111-Table133[[#This Row],[PM LO]]),(Table133[[#This Row],[PM Hi]]-Table133[[#This Row],[Lowest lo from open to squeeze]])/(Table133[[#This Row],[PM Hi]]-Table133[[#This Row],[PM LO]])))))</f>
        <v>#DIV/0!</v>
      </c>
      <c r="AO111" s="18" t="e">
        <f>IF(J111&gt;=F111,(J111-K111)/(J111-D111),(IF(H111&lt;=K111,(F111-H111)/(F111-D111),(Table133[[#This Row],[PM Hi]]-Table133[[#This Row],[Lowest lo from open to squeeze]])/(Table133[[#This Row],[PM Hi]]-Table133[[#This Row],[Prior day close]]))))</f>
        <v>#DIV/0!</v>
      </c>
      <c r="AP111" s="17">
        <f>390+Table133[[#This Row],[Time until ideal entry point (mins) from open]]</f>
        <v>390</v>
      </c>
      <c r="AQ111" s="17">
        <f>Table133[[#This Row],[Time until ideal entry + 390 (6:30)]]+Table133[[#This Row],[Duration of frontside (mins)]]</f>
        <v>390</v>
      </c>
    </row>
    <row r="112" spans="1:43" x14ac:dyDescent="0.25">
      <c r="A112" s="24" t="s">
        <v>144</v>
      </c>
      <c r="B112" s="47">
        <v>43978</v>
      </c>
      <c r="C112" s="47" t="s">
        <v>143</v>
      </c>
      <c r="D112" s="12"/>
      <c r="E112" s="13"/>
      <c r="F112" s="12"/>
      <c r="G112" s="12"/>
      <c r="H112" s="12"/>
      <c r="I112" s="12"/>
      <c r="J112" s="12"/>
      <c r="K112" s="12"/>
      <c r="N112" s="13"/>
      <c r="P112" s="37"/>
      <c r="Q112" s="46"/>
      <c r="R112" s="37"/>
      <c r="S112" s="37"/>
      <c r="T112" s="37"/>
      <c r="U112" s="38"/>
      <c r="V112" s="46"/>
      <c r="W112" s="37"/>
      <c r="X112" s="46"/>
      <c r="Y112" s="41">
        <f>Table133[[#This Row],[Time until ideal entry + 390 (6:30)]]/(1440)</f>
        <v>0.27083333333333331</v>
      </c>
      <c r="Z112" s="18" t="e">
        <f t="shared" si="10"/>
        <v>#DIV/0!</v>
      </c>
      <c r="AA112" s="18" t="e">
        <f>IF(Table133[[#This Row],[HOD AFTER PM HI]]&gt;=Table133[[#This Row],[PM Hi]],((Table133[[#This Row],[HOD AFTER PM HI]]-Table133[[#This Row],[Prior day close]])/Table133[[#This Row],[Prior day close]]),Table133[[#This Row],[Prior Close to PM Hi %]])</f>
        <v>#DIV/0!</v>
      </c>
      <c r="AB112" s="42" t="e">
        <f>(Table133[[#This Row],[Price at hi of squeeze]]-Table133[[#This Row],[MKT Open Price]])/Table133[[#This Row],[MKT Open Price]]</f>
        <v>#DIV/0!</v>
      </c>
      <c r="AC112" s="18" t="e">
        <f>(Table133[[#This Row],[Price at hi of squeeze]]-Table133[[#This Row],[PM Hi]])/Table133[[#This Row],[PM Hi]]</f>
        <v>#DIV/0!</v>
      </c>
      <c r="AD112" s="18"/>
      <c r="AE112" s="20" t="e">
        <f>Table133[[#This Row],[PM VOL]]/1000000/Table133[[#This Row],[FLOAT(M)]]</f>
        <v>#DIV/0!</v>
      </c>
      <c r="AF112" s="23" t="e">
        <f>(Table133[[#This Row],[Volume]]/1000000)/Table133[[#This Row],[FLOAT(M)]]</f>
        <v>#DIV/0!</v>
      </c>
      <c r="AH112" s="18" t="e">
        <f>(Table133[[#This Row],[PM Hi]]-Table133[[#This Row],[MKT Open Price]])/(Table133[[#This Row],[PM Hi]])</f>
        <v>#DIV/0!</v>
      </c>
      <c r="AI112" s="18" t="e">
        <f>IF(Table133[[#This Row],[PM LO]]&gt;Table133[[#This Row],[Prior day close]],(Table133[[#This Row],[PM Hi]]-Table133[[#This Row],[MKT Open Price]])/(Table133[[#This Row],[PM Hi]]-Table133[[#This Row],[Prior day close]]),(Table133[[#This Row],[PM Hi]]-Table133[[#This Row],[MKT Open Price]])/(Table133[[#This Row],[PM Hi]]-Table133[[#This Row],[PM LO]]))</f>
        <v>#DIV/0!</v>
      </c>
      <c r="AJ112" s="48" t="e">
        <f>IF(Table133[[#This Row],[Prior day close]]&lt;Table133[[#This Row],[PM LO]],(I112-K112)/(I112-Table133[[#This Row],[Prior day close]]),(I112-K112)/(I112-Table133[[#This Row],[PM LO]]))</f>
        <v>#DIV/0!</v>
      </c>
      <c r="AK112" s="48" t="e">
        <f>Table133[[#This Row],[Spike % on open before drop]]+AL112</f>
        <v>#DIV/0!</v>
      </c>
      <c r="AL112" s="16" t="e">
        <f t="shared" si="9"/>
        <v>#DIV/0!</v>
      </c>
      <c r="AM112" s="18" t="e">
        <f>IF($J112&gt;=$F112,($J112-$K112)/($J112),(IF($H112&lt;=$K112,($F112-$H112)/($F112),(Table133[[#This Row],[PM Hi]]-Table133[[#This Row],[Lowest lo from open to squeeze]])/(Table133[[#This Row],[PM Hi]]))))</f>
        <v>#DIV/0!</v>
      </c>
      <c r="AN112" s="48" t="e">
        <f>IF(Table133[[#This Row],[Prior day close]]&lt;=Table133[[#This Row],[PM LO]],IF($J112&gt;=$F112,($J112-$K112)/($J112-Table133[[#This Row],[Prior day close]]),(IF($H112&lt;=$K112,($F112-$H112)/($F112-Table133[[#This Row],[Prior day close]]),(Table133[[#This Row],[PM Hi]]-Table133[[#This Row],[Lowest lo from open to squeeze]])/(Table133[[#This Row],[PM Hi]]-Table133[[#This Row],[Prior day close]])))),IF($J112&gt;=$F112,($J112-$K112)/($J112-Table133[[#This Row],[PM LO]]),(IF($H112&lt;=$K112,($F112-$H112)/($F112-Table133[[#This Row],[PM LO]]),(Table133[[#This Row],[PM Hi]]-Table133[[#This Row],[Lowest lo from open to squeeze]])/(Table133[[#This Row],[PM Hi]]-Table133[[#This Row],[PM LO]])))))</f>
        <v>#DIV/0!</v>
      </c>
      <c r="AO112" s="18" t="e">
        <f>IF(J112&gt;=F112,(J112-K112)/(J112-D112),(IF(H112&lt;=K112,(F112-H112)/(F112-D112),(Table133[[#This Row],[PM Hi]]-Table133[[#This Row],[Lowest lo from open to squeeze]])/(Table133[[#This Row],[PM Hi]]-Table133[[#This Row],[Prior day close]]))))</f>
        <v>#DIV/0!</v>
      </c>
      <c r="AP112" s="17">
        <f>390+Table133[[#This Row],[Time until ideal entry point (mins) from open]]</f>
        <v>390</v>
      </c>
      <c r="AQ112" s="17">
        <f>Table133[[#This Row],[Time until ideal entry + 390 (6:30)]]+Table133[[#This Row],[Duration of frontside (mins)]]</f>
        <v>390</v>
      </c>
    </row>
    <row r="113" spans="1:43" x14ac:dyDescent="0.25">
      <c r="A113" s="24" t="s">
        <v>160</v>
      </c>
      <c r="B113" s="47">
        <v>44213</v>
      </c>
      <c r="C113" s="47" t="s">
        <v>143</v>
      </c>
      <c r="D113" s="12"/>
      <c r="E113" s="13"/>
      <c r="F113" s="12"/>
      <c r="G113" s="12"/>
      <c r="H113" s="12"/>
      <c r="I113" s="12"/>
      <c r="J113" s="12"/>
      <c r="K113" s="12"/>
      <c r="N113" s="13"/>
      <c r="P113" s="37"/>
      <c r="Q113" s="46"/>
      <c r="R113" s="37"/>
      <c r="S113" s="37"/>
      <c r="T113" s="37"/>
      <c r="U113" s="38"/>
      <c r="V113" s="46"/>
      <c r="W113" s="37"/>
      <c r="X113" s="46"/>
      <c r="Y113" s="41">
        <f>Table133[[#This Row],[Time until ideal entry + 390 (6:30)]]/(1440)</f>
        <v>0.27083333333333331</v>
      </c>
      <c r="Z113" s="18" t="e">
        <f t="shared" si="10"/>
        <v>#DIV/0!</v>
      </c>
      <c r="AA113" s="18" t="e">
        <f>IF(Table133[[#This Row],[HOD AFTER PM HI]]&gt;=Table133[[#This Row],[PM Hi]],((Table133[[#This Row],[HOD AFTER PM HI]]-Table133[[#This Row],[Prior day close]])/Table133[[#This Row],[Prior day close]]),Table133[[#This Row],[Prior Close to PM Hi %]])</f>
        <v>#DIV/0!</v>
      </c>
      <c r="AB113" s="42" t="e">
        <f>(Table133[[#This Row],[Price at hi of squeeze]]-Table133[[#This Row],[MKT Open Price]])/Table133[[#This Row],[MKT Open Price]]</f>
        <v>#DIV/0!</v>
      </c>
      <c r="AC113" s="18" t="e">
        <f>(Table133[[#This Row],[Price at hi of squeeze]]-Table133[[#This Row],[PM Hi]])/Table133[[#This Row],[PM Hi]]</f>
        <v>#DIV/0!</v>
      </c>
      <c r="AD113" s="18"/>
      <c r="AE113" s="20" t="e">
        <f>Table133[[#This Row],[PM VOL]]/1000000/Table133[[#This Row],[FLOAT(M)]]</f>
        <v>#DIV/0!</v>
      </c>
      <c r="AF113" s="23" t="e">
        <f>(Table133[[#This Row],[Volume]]/1000000)/Table133[[#This Row],[FLOAT(M)]]</f>
        <v>#DIV/0!</v>
      </c>
      <c r="AH113" s="18" t="e">
        <f>(Table133[[#This Row],[PM Hi]]-Table133[[#This Row],[MKT Open Price]])/(Table133[[#This Row],[PM Hi]])</f>
        <v>#DIV/0!</v>
      </c>
      <c r="AI113" s="18" t="e">
        <f>IF(Table133[[#This Row],[PM LO]]&gt;Table133[[#This Row],[Prior day close]],(Table133[[#This Row],[PM Hi]]-Table133[[#This Row],[MKT Open Price]])/(Table133[[#This Row],[PM Hi]]-Table133[[#This Row],[Prior day close]]),(Table133[[#This Row],[PM Hi]]-Table133[[#This Row],[MKT Open Price]])/(Table133[[#This Row],[PM Hi]]-Table133[[#This Row],[PM LO]]))</f>
        <v>#DIV/0!</v>
      </c>
      <c r="AJ113" s="48" t="e">
        <f>IF(Table133[[#This Row],[Prior day close]]&lt;Table133[[#This Row],[PM LO]],(I113-K113)/(I113-Table133[[#This Row],[Prior day close]]),(I113-K113)/(I113-Table133[[#This Row],[PM LO]]))</f>
        <v>#DIV/0!</v>
      </c>
      <c r="AK113" s="48" t="e">
        <f>Table133[[#This Row],[Spike % on open before drop]]+AL113</f>
        <v>#DIV/0!</v>
      </c>
      <c r="AL113" s="16" t="e">
        <f t="shared" si="9"/>
        <v>#DIV/0!</v>
      </c>
      <c r="AM113" s="18" t="e">
        <f>IF($J113&gt;=$F113,($J113-$K113)/($J113),(IF($H113&lt;=$K113,($F113-$H113)/($F113),(Table133[[#This Row],[PM Hi]]-Table133[[#This Row],[Lowest lo from open to squeeze]])/(Table133[[#This Row],[PM Hi]]))))</f>
        <v>#DIV/0!</v>
      </c>
      <c r="AN113" s="48" t="e">
        <f>IF(Table133[[#This Row],[Prior day close]]&lt;=Table133[[#This Row],[PM LO]],IF($J113&gt;=$F113,($J113-$K113)/($J113-Table133[[#This Row],[Prior day close]]),(IF($H113&lt;=$K113,($F113-$H113)/($F113-Table133[[#This Row],[Prior day close]]),(Table133[[#This Row],[PM Hi]]-Table133[[#This Row],[Lowest lo from open to squeeze]])/(Table133[[#This Row],[PM Hi]]-Table133[[#This Row],[Prior day close]])))),IF($J113&gt;=$F113,($J113-$K113)/($J113-Table133[[#This Row],[PM LO]]),(IF($H113&lt;=$K113,($F113-$H113)/($F113-Table133[[#This Row],[PM LO]]),(Table133[[#This Row],[PM Hi]]-Table133[[#This Row],[Lowest lo from open to squeeze]])/(Table133[[#This Row],[PM Hi]]-Table133[[#This Row],[PM LO]])))))</f>
        <v>#DIV/0!</v>
      </c>
      <c r="AO113" s="18" t="e">
        <f>IF(J113&gt;=F113,(J113-K113)/(J113-D113),(IF(H113&lt;=K113,(F113-H113)/(F113-D113),(Table133[[#This Row],[PM Hi]]-Table133[[#This Row],[Lowest lo from open to squeeze]])/(Table133[[#This Row],[PM Hi]]-Table133[[#This Row],[Prior day close]]))))</f>
        <v>#DIV/0!</v>
      </c>
      <c r="AP113" s="17">
        <f>390+Table133[[#This Row],[Time until ideal entry point (mins) from open]]</f>
        <v>390</v>
      </c>
      <c r="AQ113" s="17">
        <f>Table133[[#This Row],[Time until ideal entry + 390 (6:30)]]+Table133[[#This Row],[Duration of frontside (mins)]]</f>
        <v>390</v>
      </c>
    </row>
    <row r="114" spans="1:43" x14ac:dyDescent="0.25">
      <c r="A114" s="24" t="s">
        <v>171</v>
      </c>
      <c r="B114" s="47">
        <v>43902</v>
      </c>
      <c r="C114" s="47" t="s">
        <v>143</v>
      </c>
      <c r="D114" s="12"/>
      <c r="E114" s="13"/>
      <c r="F114" s="12"/>
      <c r="G114" s="12"/>
      <c r="H114" s="12"/>
      <c r="I114" s="12"/>
      <c r="J114" s="12"/>
      <c r="K114" s="12"/>
      <c r="N114" s="13"/>
      <c r="P114" s="37"/>
      <c r="Q114" s="46"/>
      <c r="R114" s="37"/>
      <c r="S114" s="37"/>
      <c r="T114" s="37"/>
      <c r="U114" s="38"/>
      <c r="V114" s="46"/>
      <c r="W114" s="37"/>
      <c r="X114" s="46"/>
      <c r="Y114" s="41">
        <f>Table133[[#This Row],[Time until ideal entry + 390 (6:30)]]/(1440)</f>
        <v>0.27083333333333331</v>
      </c>
      <c r="Z114" s="18" t="e">
        <f t="shared" si="10"/>
        <v>#DIV/0!</v>
      </c>
      <c r="AA114" s="18" t="e">
        <f>IF(Table133[[#This Row],[HOD AFTER PM HI]]&gt;=Table133[[#This Row],[PM Hi]],((Table133[[#This Row],[HOD AFTER PM HI]]-Table133[[#This Row],[Prior day close]])/Table133[[#This Row],[Prior day close]]),Table133[[#This Row],[Prior Close to PM Hi %]])</f>
        <v>#DIV/0!</v>
      </c>
      <c r="AB114" s="42" t="e">
        <f>(Table133[[#This Row],[Price at hi of squeeze]]-Table133[[#This Row],[MKT Open Price]])/Table133[[#This Row],[MKT Open Price]]</f>
        <v>#DIV/0!</v>
      </c>
      <c r="AC114" s="18" t="e">
        <f>(Table133[[#This Row],[Price at hi of squeeze]]-Table133[[#This Row],[PM Hi]])/Table133[[#This Row],[PM Hi]]</f>
        <v>#DIV/0!</v>
      </c>
      <c r="AD114" s="18"/>
      <c r="AE114" s="20" t="e">
        <f>Table133[[#This Row],[PM VOL]]/1000000/Table133[[#This Row],[FLOAT(M)]]</f>
        <v>#DIV/0!</v>
      </c>
      <c r="AF114" s="23" t="e">
        <f>(Table133[[#This Row],[Volume]]/1000000)/Table133[[#This Row],[FLOAT(M)]]</f>
        <v>#DIV/0!</v>
      </c>
      <c r="AH114" s="18" t="e">
        <f>(Table133[[#This Row],[PM Hi]]-Table133[[#This Row],[MKT Open Price]])/(Table133[[#This Row],[PM Hi]])</f>
        <v>#DIV/0!</v>
      </c>
      <c r="AI114" s="18" t="e">
        <f>IF(Table133[[#This Row],[PM LO]]&gt;Table133[[#This Row],[Prior day close]],(Table133[[#This Row],[PM Hi]]-Table133[[#This Row],[MKT Open Price]])/(Table133[[#This Row],[PM Hi]]-Table133[[#This Row],[Prior day close]]),(Table133[[#This Row],[PM Hi]]-Table133[[#This Row],[MKT Open Price]])/(Table133[[#This Row],[PM Hi]]-Table133[[#This Row],[PM LO]]))</f>
        <v>#DIV/0!</v>
      </c>
      <c r="AJ114" s="48" t="e">
        <f>IF(Table133[[#This Row],[Prior day close]]&lt;Table133[[#This Row],[PM LO]],(I114-K114)/(I114-Table133[[#This Row],[Prior day close]]),(I114-K114)/(I114-Table133[[#This Row],[PM LO]]))</f>
        <v>#DIV/0!</v>
      </c>
      <c r="AK114" s="48" t="e">
        <f>Table133[[#This Row],[Spike % on open before drop]]+AL114</f>
        <v>#DIV/0!</v>
      </c>
      <c r="AL114" s="16" t="e">
        <f t="shared" si="9"/>
        <v>#DIV/0!</v>
      </c>
      <c r="AM114" s="18" t="e">
        <f>IF($J114&gt;=$F114,($J114-$K114)/($J114),(IF($H114&lt;=$K114,($F114-$H114)/($F114),(Table133[[#This Row],[PM Hi]]-Table133[[#This Row],[Lowest lo from open to squeeze]])/(Table133[[#This Row],[PM Hi]]))))</f>
        <v>#DIV/0!</v>
      </c>
      <c r="AN114" s="48" t="e">
        <f>IF(Table133[[#This Row],[Prior day close]]&lt;=Table133[[#This Row],[PM LO]],IF($J114&gt;=$F114,($J114-$K114)/($J114-Table133[[#This Row],[Prior day close]]),(IF($H114&lt;=$K114,($F114-$H114)/($F114-Table133[[#This Row],[Prior day close]]),(Table133[[#This Row],[PM Hi]]-Table133[[#This Row],[Lowest lo from open to squeeze]])/(Table133[[#This Row],[PM Hi]]-Table133[[#This Row],[Prior day close]])))),IF($J114&gt;=$F114,($J114-$K114)/($J114-Table133[[#This Row],[PM LO]]),(IF($H114&lt;=$K114,($F114-$H114)/($F114-Table133[[#This Row],[PM LO]]),(Table133[[#This Row],[PM Hi]]-Table133[[#This Row],[Lowest lo from open to squeeze]])/(Table133[[#This Row],[PM Hi]]-Table133[[#This Row],[PM LO]])))))</f>
        <v>#DIV/0!</v>
      </c>
      <c r="AO114" s="18" t="e">
        <f>IF(J114&gt;=F114,(J114-K114)/(J114-D114),(IF(H114&lt;=K114,(F114-H114)/(F114-D114),(Table133[[#This Row],[PM Hi]]-Table133[[#This Row],[Lowest lo from open to squeeze]])/(Table133[[#This Row],[PM Hi]]-Table133[[#This Row],[Prior day close]]))))</f>
        <v>#DIV/0!</v>
      </c>
      <c r="AP114" s="17">
        <f>390+Table133[[#This Row],[Time until ideal entry point (mins) from open]]</f>
        <v>390</v>
      </c>
      <c r="AQ114" s="17">
        <f>Table133[[#This Row],[Time until ideal entry + 390 (6:30)]]+Table133[[#This Row],[Duration of frontside (mins)]]</f>
        <v>390</v>
      </c>
    </row>
    <row r="115" spans="1:43" x14ac:dyDescent="0.25">
      <c r="A115" s="24" t="s">
        <v>215</v>
      </c>
      <c r="B115" s="47">
        <v>44070</v>
      </c>
      <c r="C115" s="47" t="s">
        <v>143</v>
      </c>
      <c r="D115" s="12"/>
      <c r="E115" s="13"/>
      <c r="F115" s="12"/>
      <c r="G115" s="12"/>
      <c r="H115" s="12"/>
      <c r="I115" s="12"/>
      <c r="J115" s="12"/>
      <c r="K115" s="12"/>
      <c r="N115" s="13"/>
      <c r="P115" s="37"/>
      <c r="Q115" s="46"/>
      <c r="R115" s="37"/>
      <c r="S115" s="37"/>
      <c r="T115" s="37"/>
      <c r="U115" s="38"/>
      <c r="V115" s="46"/>
      <c r="W115" s="37"/>
      <c r="X115" s="46"/>
      <c r="Y115" s="41">
        <f>Table133[[#This Row],[Time until ideal entry + 390 (6:30)]]/(1440)</f>
        <v>0.27083333333333331</v>
      </c>
      <c r="Z115" s="18" t="e">
        <f t="shared" si="10"/>
        <v>#DIV/0!</v>
      </c>
      <c r="AA115" s="18" t="e">
        <f>IF(Table133[[#This Row],[HOD AFTER PM HI]]&gt;=Table133[[#This Row],[PM Hi]],((Table133[[#This Row],[HOD AFTER PM HI]]-Table133[[#This Row],[Prior day close]])/Table133[[#This Row],[Prior day close]]),Table133[[#This Row],[Prior Close to PM Hi %]])</f>
        <v>#DIV/0!</v>
      </c>
      <c r="AB115" s="42" t="e">
        <f>(Table133[[#This Row],[Price at hi of squeeze]]-Table133[[#This Row],[MKT Open Price]])/Table133[[#This Row],[MKT Open Price]]</f>
        <v>#DIV/0!</v>
      </c>
      <c r="AC115" s="18" t="e">
        <f>(Table133[[#This Row],[Price at hi of squeeze]]-Table133[[#This Row],[PM Hi]])/Table133[[#This Row],[PM Hi]]</f>
        <v>#DIV/0!</v>
      </c>
      <c r="AD115" s="18"/>
      <c r="AE115" s="20" t="e">
        <f>Table133[[#This Row],[PM VOL]]/1000000/Table133[[#This Row],[FLOAT(M)]]</f>
        <v>#DIV/0!</v>
      </c>
      <c r="AF115" s="23" t="e">
        <f>(Table133[[#This Row],[Volume]]/1000000)/Table133[[#This Row],[FLOAT(M)]]</f>
        <v>#DIV/0!</v>
      </c>
      <c r="AH115" s="18" t="e">
        <f>(Table133[[#This Row],[PM Hi]]-Table133[[#This Row],[MKT Open Price]])/(Table133[[#This Row],[PM Hi]])</f>
        <v>#DIV/0!</v>
      </c>
      <c r="AI115" s="18" t="e">
        <f>IF(Table133[[#This Row],[PM LO]]&gt;Table133[[#This Row],[Prior day close]],(Table133[[#This Row],[PM Hi]]-Table133[[#This Row],[MKT Open Price]])/(Table133[[#This Row],[PM Hi]]-Table133[[#This Row],[Prior day close]]),(Table133[[#This Row],[PM Hi]]-Table133[[#This Row],[MKT Open Price]])/(Table133[[#This Row],[PM Hi]]-Table133[[#This Row],[PM LO]]))</f>
        <v>#DIV/0!</v>
      </c>
      <c r="AJ115" s="48" t="e">
        <f>IF(Table133[[#This Row],[Prior day close]]&lt;Table133[[#This Row],[PM LO]],(I115-K115)/(I115-Table133[[#This Row],[Prior day close]]),(I115-K115)/(I115-Table133[[#This Row],[PM LO]]))</f>
        <v>#DIV/0!</v>
      </c>
      <c r="AK115" s="48" t="e">
        <f>Table133[[#This Row],[Spike % on open before drop]]+AL115</f>
        <v>#DIV/0!</v>
      </c>
      <c r="AL115" s="16" t="e">
        <f t="shared" si="9"/>
        <v>#DIV/0!</v>
      </c>
      <c r="AM115" s="18" t="e">
        <f>IF($J115&gt;=$F115,($J115-$K115)/($J115),(IF($H115&lt;=$K115,($F115-$H115)/($F115),(Table133[[#This Row],[PM Hi]]-Table133[[#This Row],[Lowest lo from open to squeeze]])/(Table133[[#This Row],[PM Hi]]))))</f>
        <v>#DIV/0!</v>
      </c>
      <c r="AN115" s="48" t="e">
        <f>IF(Table133[[#This Row],[Prior day close]]&lt;=Table133[[#This Row],[PM LO]],IF($J115&gt;=$F115,($J115-$K115)/($J115-Table133[[#This Row],[Prior day close]]),(IF($H115&lt;=$K115,($F115-$H115)/($F115-Table133[[#This Row],[Prior day close]]),(Table133[[#This Row],[PM Hi]]-Table133[[#This Row],[Lowest lo from open to squeeze]])/(Table133[[#This Row],[PM Hi]]-Table133[[#This Row],[Prior day close]])))),IF($J115&gt;=$F115,($J115-$K115)/($J115-Table133[[#This Row],[PM LO]]),(IF($H115&lt;=$K115,($F115-$H115)/($F115-Table133[[#This Row],[PM LO]]),(Table133[[#This Row],[PM Hi]]-Table133[[#This Row],[Lowest lo from open to squeeze]])/(Table133[[#This Row],[PM Hi]]-Table133[[#This Row],[PM LO]])))))</f>
        <v>#DIV/0!</v>
      </c>
      <c r="AO115" s="18" t="e">
        <f>IF(J115&gt;=F115,(J115-K115)/(J115-D115),(IF(H115&lt;=K115,(F115-H115)/(F115-D115),(Table133[[#This Row],[PM Hi]]-Table133[[#This Row],[Lowest lo from open to squeeze]])/(Table133[[#This Row],[PM Hi]]-Table133[[#This Row],[Prior day close]]))))</f>
        <v>#DIV/0!</v>
      </c>
      <c r="AP115" s="17">
        <f>390+Table133[[#This Row],[Time until ideal entry point (mins) from open]]</f>
        <v>390</v>
      </c>
      <c r="AQ115" s="17">
        <f>Table133[[#This Row],[Time until ideal entry + 390 (6:30)]]+Table133[[#This Row],[Duration of frontside (mins)]]</f>
        <v>390</v>
      </c>
    </row>
    <row r="116" spans="1:43" x14ac:dyDescent="0.25">
      <c r="A116" s="24" t="s">
        <v>251</v>
      </c>
      <c r="B116" s="47">
        <v>43849</v>
      </c>
      <c r="C116" s="47" t="s">
        <v>143</v>
      </c>
      <c r="D116" s="12"/>
      <c r="E116" s="13"/>
      <c r="F116" s="12"/>
      <c r="G116" s="12"/>
      <c r="H116" s="12"/>
      <c r="I116" s="12"/>
      <c r="J116" s="12"/>
      <c r="K116" s="12"/>
      <c r="N116" s="13"/>
      <c r="P116" s="37"/>
      <c r="Q116" s="46"/>
      <c r="R116" s="37"/>
      <c r="S116" s="37"/>
      <c r="T116" s="37"/>
      <c r="U116" s="38"/>
      <c r="V116" s="46"/>
      <c r="W116" s="37"/>
      <c r="X116" s="46"/>
      <c r="Y116" s="41">
        <f>Table133[[#This Row],[Time until ideal entry + 390 (6:30)]]/(1440)</f>
        <v>0.27083333333333331</v>
      </c>
      <c r="Z116" s="18" t="e">
        <f t="shared" si="10"/>
        <v>#DIV/0!</v>
      </c>
      <c r="AA116" s="18" t="e">
        <f>IF(Table133[[#This Row],[HOD AFTER PM HI]]&gt;=Table133[[#This Row],[PM Hi]],((Table133[[#This Row],[HOD AFTER PM HI]]-Table133[[#This Row],[Prior day close]])/Table133[[#This Row],[Prior day close]]),Table133[[#This Row],[Prior Close to PM Hi %]])</f>
        <v>#DIV/0!</v>
      </c>
      <c r="AB116" s="42" t="e">
        <f>(Table133[[#This Row],[Price at hi of squeeze]]-Table133[[#This Row],[MKT Open Price]])/Table133[[#This Row],[MKT Open Price]]</f>
        <v>#DIV/0!</v>
      </c>
      <c r="AC116" s="18" t="e">
        <f>(Table133[[#This Row],[Price at hi of squeeze]]-Table133[[#This Row],[PM Hi]])/Table133[[#This Row],[PM Hi]]</f>
        <v>#DIV/0!</v>
      </c>
      <c r="AD116" s="18"/>
      <c r="AE116" s="20" t="e">
        <f>Table133[[#This Row],[PM VOL]]/1000000/Table133[[#This Row],[FLOAT(M)]]</f>
        <v>#DIV/0!</v>
      </c>
      <c r="AF116" s="23" t="e">
        <f>(Table133[[#This Row],[Volume]]/1000000)/Table133[[#This Row],[FLOAT(M)]]</f>
        <v>#DIV/0!</v>
      </c>
      <c r="AH116" s="18" t="e">
        <f>(Table133[[#This Row],[PM Hi]]-Table133[[#This Row],[MKT Open Price]])/(Table133[[#This Row],[PM Hi]])</f>
        <v>#DIV/0!</v>
      </c>
      <c r="AI116" s="18" t="e">
        <f>IF(Table133[[#This Row],[PM LO]]&gt;Table133[[#This Row],[Prior day close]],(Table133[[#This Row],[PM Hi]]-Table133[[#This Row],[MKT Open Price]])/(Table133[[#This Row],[PM Hi]]-Table133[[#This Row],[Prior day close]]),(Table133[[#This Row],[PM Hi]]-Table133[[#This Row],[MKT Open Price]])/(Table133[[#This Row],[PM Hi]]-Table133[[#This Row],[PM LO]]))</f>
        <v>#DIV/0!</v>
      </c>
      <c r="AJ116" s="48" t="e">
        <f>IF(Table133[[#This Row],[Prior day close]]&lt;Table133[[#This Row],[PM LO]],(I116-K116)/(I116-Table133[[#This Row],[Prior day close]]),(I116-K116)/(I116-Table133[[#This Row],[PM LO]]))</f>
        <v>#DIV/0!</v>
      </c>
      <c r="AK116" s="48" t="e">
        <f>Table133[[#This Row],[Spike % on open before drop]]+AL116</f>
        <v>#DIV/0!</v>
      </c>
      <c r="AL116" s="16" t="e">
        <f t="shared" si="9"/>
        <v>#DIV/0!</v>
      </c>
      <c r="AM116" s="18" t="e">
        <f>IF($J116&gt;=$F116,($J116-$K116)/($J116),(IF($H116&lt;=$K116,($F116-$H116)/($F116),(Table133[[#This Row],[PM Hi]]-Table133[[#This Row],[Lowest lo from open to squeeze]])/(Table133[[#This Row],[PM Hi]]))))</f>
        <v>#DIV/0!</v>
      </c>
      <c r="AN116" s="48" t="e">
        <f>IF(Table133[[#This Row],[Prior day close]]&lt;=Table133[[#This Row],[PM LO]],IF($J116&gt;=$F116,($J116-$K116)/($J116-Table133[[#This Row],[Prior day close]]),(IF($H116&lt;=$K116,($F116-$H116)/($F116-Table133[[#This Row],[Prior day close]]),(Table133[[#This Row],[PM Hi]]-Table133[[#This Row],[Lowest lo from open to squeeze]])/(Table133[[#This Row],[PM Hi]]-Table133[[#This Row],[Prior day close]])))),IF($J116&gt;=$F116,($J116-$K116)/($J116-Table133[[#This Row],[PM LO]]),(IF($H116&lt;=$K116,($F116-$H116)/($F116-Table133[[#This Row],[PM LO]]),(Table133[[#This Row],[PM Hi]]-Table133[[#This Row],[Lowest lo from open to squeeze]])/(Table133[[#This Row],[PM Hi]]-Table133[[#This Row],[PM LO]])))))</f>
        <v>#DIV/0!</v>
      </c>
      <c r="AO116" s="18" t="e">
        <f>IF(J116&gt;=F116,(J116-K116)/(J116-D116),(IF(H116&lt;=K116,(F116-H116)/(F116-D116),(Table133[[#This Row],[PM Hi]]-Table133[[#This Row],[Lowest lo from open to squeeze]])/(Table133[[#This Row],[PM Hi]]-Table133[[#This Row],[Prior day close]]))))</f>
        <v>#DIV/0!</v>
      </c>
      <c r="AP116" s="17">
        <f>390+Table133[[#This Row],[Time until ideal entry point (mins) from open]]</f>
        <v>390</v>
      </c>
      <c r="AQ116" s="17">
        <f>Table133[[#This Row],[Time until ideal entry + 390 (6:30)]]+Table133[[#This Row],[Duration of frontside (mins)]]</f>
        <v>390</v>
      </c>
    </row>
    <row r="117" spans="1:43" x14ac:dyDescent="0.25">
      <c r="A117" s="24" t="s">
        <v>161</v>
      </c>
      <c r="B117" s="47">
        <v>44217</v>
      </c>
      <c r="C117" s="47" t="s">
        <v>143</v>
      </c>
      <c r="D117" s="12"/>
      <c r="E117" s="13"/>
      <c r="F117" s="12"/>
      <c r="G117" s="12"/>
      <c r="H117" s="12"/>
      <c r="I117" s="12"/>
      <c r="J117" s="12"/>
      <c r="K117" s="12"/>
      <c r="N117" s="13"/>
      <c r="P117" s="37"/>
      <c r="Q117" s="46"/>
      <c r="R117" s="37"/>
      <c r="S117" s="37"/>
      <c r="T117" s="37"/>
      <c r="U117" s="38"/>
      <c r="V117" s="46"/>
      <c r="W117" s="37"/>
      <c r="X117" s="46"/>
      <c r="Y117" s="41">
        <f>Table133[[#This Row],[Time until ideal entry + 390 (6:30)]]/(1440)</f>
        <v>0.27083333333333331</v>
      </c>
      <c r="Z117" s="18" t="e">
        <f t="shared" si="10"/>
        <v>#DIV/0!</v>
      </c>
      <c r="AA117" s="18" t="e">
        <f>IF(Table133[[#This Row],[HOD AFTER PM HI]]&gt;=Table133[[#This Row],[PM Hi]],((Table133[[#This Row],[HOD AFTER PM HI]]-Table133[[#This Row],[Prior day close]])/Table133[[#This Row],[Prior day close]]),Table133[[#This Row],[Prior Close to PM Hi %]])</f>
        <v>#DIV/0!</v>
      </c>
      <c r="AB117" s="42" t="e">
        <f>(Table133[[#This Row],[Price at hi of squeeze]]-Table133[[#This Row],[MKT Open Price]])/Table133[[#This Row],[MKT Open Price]]</f>
        <v>#DIV/0!</v>
      </c>
      <c r="AC117" s="18" t="e">
        <f>(Table133[[#This Row],[Price at hi of squeeze]]-Table133[[#This Row],[PM Hi]])/Table133[[#This Row],[PM Hi]]</f>
        <v>#DIV/0!</v>
      </c>
      <c r="AD117" s="18"/>
      <c r="AE117" s="20" t="e">
        <f>Table133[[#This Row],[PM VOL]]/1000000/Table133[[#This Row],[FLOAT(M)]]</f>
        <v>#DIV/0!</v>
      </c>
      <c r="AF117" s="23" t="e">
        <f>(Table133[[#This Row],[Volume]]/1000000)/Table133[[#This Row],[FLOAT(M)]]</f>
        <v>#DIV/0!</v>
      </c>
      <c r="AH117" s="18" t="e">
        <f>(Table133[[#This Row],[PM Hi]]-Table133[[#This Row],[MKT Open Price]])/(Table133[[#This Row],[PM Hi]])</f>
        <v>#DIV/0!</v>
      </c>
      <c r="AI117" s="18" t="e">
        <f>IF(Table133[[#This Row],[PM LO]]&gt;Table133[[#This Row],[Prior day close]],(Table133[[#This Row],[PM Hi]]-Table133[[#This Row],[MKT Open Price]])/(Table133[[#This Row],[PM Hi]]-Table133[[#This Row],[Prior day close]]),(Table133[[#This Row],[PM Hi]]-Table133[[#This Row],[MKT Open Price]])/(Table133[[#This Row],[PM Hi]]-Table133[[#This Row],[PM LO]]))</f>
        <v>#DIV/0!</v>
      </c>
      <c r="AJ117" s="48" t="e">
        <f>IF(Table133[[#This Row],[Prior day close]]&lt;Table133[[#This Row],[PM LO]],(I117-K117)/(I117-Table133[[#This Row],[Prior day close]]),(I117-K117)/(I117-Table133[[#This Row],[PM LO]]))</f>
        <v>#DIV/0!</v>
      </c>
      <c r="AK117" s="48" t="e">
        <f>Table133[[#This Row],[Spike % on open before drop]]+AL117</f>
        <v>#DIV/0!</v>
      </c>
      <c r="AL117" s="16" t="e">
        <f t="shared" si="9"/>
        <v>#DIV/0!</v>
      </c>
      <c r="AM117" s="18" t="e">
        <f>IF($J117&gt;=$F117,($J117-$K117)/($J117),(IF($H117&lt;=$K117,($F117-$H117)/($F117),(Table133[[#This Row],[PM Hi]]-Table133[[#This Row],[Lowest lo from open to squeeze]])/(Table133[[#This Row],[PM Hi]]))))</f>
        <v>#DIV/0!</v>
      </c>
      <c r="AN117" s="48" t="e">
        <f>IF(Table133[[#This Row],[Prior day close]]&lt;=Table133[[#This Row],[PM LO]],IF($J117&gt;=$F117,($J117-$K117)/($J117-Table133[[#This Row],[Prior day close]]),(IF($H117&lt;=$K117,($F117-$H117)/($F117-Table133[[#This Row],[Prior day close]]),(Table133[[#This Row],[PM Hi]]-Table133[[#This Row],[Lowest lo from open to squeeze]])/(Table133[[#This Row],[PM Hi]]-Table133[[#This Row],[Prior day close]])))),IF($J117&gt;=$F117,($J117-$K117)/($J117-Table133[[#This Row],[PM LO]]),(IF($H117&lt;=$K117,($F117-$H117)/($F117-Table133[[#This Row],[PM LO]]),(Table133[[#This Row],[PM Hi]]-Table133[[#This Row],[Lowest lo from open to squeeze]])/(Table133[[#This Row],[PM Hi]]-Table133[[#This Row],[PM LO]])))))</f>
        <v>#DIV/0!</v>
      </c>
      <c r="AO117" s="18" t="e">
        <f>IF(J117&gt;=F117,(J117-K117)/(J117-D117),(IF(H117&lt;=K117,(F117-H117)/(F117-D117),(Table133[[#This Row],[PM Hi]]-Table133[[#This Row],[Lowest lo from open to squeeze]])/(Table133[[#This Row],[PM Hi]]-Table133[[#This Row],[Prior day close]]))))</f>
        <v>#DIV/0!</v>
      </c>
      <c r="AP117" s="17">
        <f>390+Table133[[#This Row],[Time until ideal entry point (mins) from open]]</f>
        <v>390</v>
      </c>
      <c r="AQ117" s="17">
        <f>Table133[[#This Row],[Time until ideal entry + 390 (6:30)]]+Table133[[#This Row],[Duration of frontside (mins)]]</f>
        <v>390</v>
      </c>
    </row>
    <row r="118" spans="1:43" x14ac:dyDescent="0.25">
      <c r="A118" s="24" t="s">
        <v>162</v>
      </c>
      <c r="B118" s="47">
        <v>43902</v>
      </c>
      <c r="C118" s="47" t="s">
        <v>256</v>
      </c>
      <c r="D118" s="12"/>
      <c r="E118" s="13"/>
      <c r="F118" s="12"/>
      <c r="G118" s="12"/>
      <c r="H118" s="12"/>
      <c r="I118" s="12"/>
      <c r="J118" s="12"/>
      <c r="K118" s="12"/>
      <c r="N118" s="13"/>
      <c r="P118" s="37"/>
      <c r="Q118" s="46"/>
      <c r="R118" s="37"/>
      <c r="S118" s="37"/>
      <c r="T118" s="37"/>
      <c r="U118" s="38"/>
      <c r="V118" s="46"/>
      <c r="W118" s="37"/>
      <c r="X118" s="46"/>
      <c r="Y118" s="41">
        <f>Table133[[#This Row],[Time until ideal entry + 390 (6:30)]]/(1440)</f>
        <v>0.27083333333333331</v>
      </c>
      <c r="Z118" s="18" t="e">
        <f t="shared" si="10"/>
        <v>#DIV/0!</v>
      </c>
      <c r="AA118" s="18" t="e">
        <f>IF(Table133[[#This Row],[HOD AFTER PM HI]]&gt;=Table133[[#This Row],[PM Hi]],((Table133[[#This Row],[HOD AFTER PM HI]]-Table133[[#This Row],[Prior day close]])/Table133[[#This Row],[Prior day close]]),Table133[[#This Row],[Prior Close to PM Hi %]])</f>
        <v>#DIV/0!</v>
      </c>
      <c r="AB118" s="42" t="e">
        <f>(Table133[[#This Row],[Price at hi of squeeze]]-Table133[[#This Row],[MKT Open Price]])/Table133[[#This Row],[MKT Open Price]]</f>
        <v>#DIV/0!</v>
      </c>
      <c r="AC118" s="18" t="e">
        <f>(Table133[[#This Row],[Price at hi of squeeze]]-Table133[[#This Row],[PM Hi]])/Table133[[#This Row],[PM Hi]]</f>
        <v>#DIV/0!</v>
      </c>
      <c r="AD118" s="18"/>
      <c r="AE118" s="20" t="e">
        <f>Table133[[#This Row],[PM VOL]]/1000000/Table133[[#This Row],[FLOAT(M)]]</f>
        <v>#DIV/0!</v>
      </c>
      <c r="AF118" s="23" t="e">
        <f>(Table133[[#This Row],[Volume]]/1000000)/Table133[[#This Row],[FLOAT(M)]]</f>
        <v>#DIV/0!</v>
      </c>
      <c r="AH118" s="18" t="e">
        <f>(Table133[[#This Row],[PM Hi]]-Table133[[#This Row],[MKT Open Price]])/(Table133[[#This Row],[PM Hi]])</f>
        <v>#DIV/0!</v>
      </c>
      <c r="AI118" s="18" t="e">
        <f>IF(Table133[[#This Row],[PM LO]]&gt;Table133[[#This Row],[Prior day close]],(Table133[[#This Row],[PM Hi]]-Table133[[#This Row],[MKT Open Price]])/(Table133[[#This Row],[PM Hi]]-Table133[[#This Row],[Prior day close]]),(Table133[[#This Row],[PM Hi]]-Table133[[#This Row],[MKT Open Price]])/(Table133[[#This Row],[PM Hi]]-Table133[[#This Row],[PM LO]]))</f>
        <v>#DIV/0!</v>
      </c>
      <c r="AJ118" s="48" t="e">
        <f>IF(Table133[[#This Row],[Prior day close]]&lt;Table133[[#This Row],[PM LO]],(I118-K118)/(I118-Table133[[#This Row],[Prior day close]]),(I118-K118)/(I118-Table133[[#This Row],[PM LO]]))</f>
        <v>#DIV/0!</v>
      </c>
      <c r="AK118" s="48" t="e">
        <f>Table133[[#This Row],[Spike % on open before drop]]+AL118</f>
        <v>#DIV/0!</v>
      </c>
      <c r="AL118" s="16" t="e">
        <f t="shared" si="9"/>
        <v>#DIV/0!</v>
      </c>
      <c r="AM118" s="18" t="e">
        <f>IF($J118&gt;=$F118,($J118-$K118)/($J118),(IF($H118&lt;=$K118,($F118-$H118)/($F118),(Table133[[#This Row],[PM Hi]]-Table133[[#This Row],[Lowest lo from open to squeeze]])/(Table133[[#This Row],[PM Hi]]))))</f>
        <v>#DIV/0!</v>
      </c>
      <c r="AN118" s="48" t="e">
        <f>IF(Table133[[#This Row],[Prior day close]]&lt;=Table133[[#This Row],[PM LO]],IF($J118&gt;=$F118,($J118-$K118)/($J118-Table133[[#This Row],[Prior day close]]),(IF($H118&lt;=$K118,($F118-$H118)/($F118-Table133[[#This Row],[Prior day close]]),(Table133[[#This Row],[PM Hi]]-Table133[[#This Row],[Lowest lo from open to squeeze]])/(Table133[[#This Row],[PM Hi]]-Table133[[#This Row],[Prior day close]])))),IF($J118&gt;=$F118,($J118-$K118)/($J118-Table133[[#This Row],[PM LO]]),(IF($H118&lt;=$K118,($F118-$H118)/($F118-Table133[[#This Row],[PM LO]]),(Table133[[#This Row],[PM Hi]]-Table133[[#This Row],[Lowest lo from open to squeeze]])/(Table133[[#This Row],[PM Hi]]-Table133[[#This Row],[PM LO]])))))</f>
        <v>#DIV/0!</v>
      </c>
      <c r="AO118" s="18" t="e">
        <f>IF(J118&gt;=F118,(J118-K118)/(J118-D118),(IF(H118&lt;=K118,(F118-H118)/(F118-D118),(Table133[[#This Row],[PM Hi]]-Table133[[#This Row],[Lowest lo from open to squeeze]])/(Table133[[#This Row],[PM Hi]]-Table133[[#This Row],[Prior day close]]))))</f>
        <v>#DIV/0!</v>
      </c>
      <c r="AP118" s="17">
        <f>390+Table133[[#This Row],[Time until ideal entry point (mins) from open]]</f>
        <v>390</v>
      </c>
      <c r="AQ118" s="17">
        <f>Table133[[#This Row],[Time until ideal entry + 390 (6:30)]]+Table133[[#This Row],[Duration of frontside (mins)]]</f>
        <v>390</v>
      </c>
    </row>
    <row r="119" spans="1:43" x14ac:dyDescent="0.25">
      <c r="A119" s="24" t="s">
        <v>171</v>
      </c>
      <c r="B119" s="47">
        <v>43914</v>
      </c>
      <c r="C119" s="47" t="s">
        <v>256</v>
      </c>
      <c r="D119" s="12"/>
      <c r="E119" s="13"/>
      <c r="F119" s="12"/>
      <c r="G119" s="12"/>
      <c r="H119" s="12"/>
      <c r="I119" s="12"/>
      <c r="J119" s="12"/>
      <c r="K119" s="12"/>
      <c r="N119" s="13"/>
      <c r="P119" s="37"/>
      <c r="Q119" s="46"/>
      <c r="R119" s="37"/>
      <c r="S119" s="37"/>
      <c r="T119" s="37"/>
      <c r="U119" s="38"/>
      <c r="V119" s="46"/>
      <c r="W119" s="37"/>
      <c r="X119" s="46"/>
      <c r="Y119" s="41">
        <f>Table133[[#This Row],[Time until ideal entry + 390 (6:30)]]/(1440)</f>
        <v>0.27083333333333331</v>
      </c>
      <c r="Z119" s="18" t="e">
        <f t="shared" si="10"/>
        <v>#DIV/0!</v>
      </c>
      <c r="AA119" s="18" t="e">
        <f>IF(Table133[[#This Row],[HOD AFTER PM HI]]&gt;=Table133[[#This Row],[PM Hi]],((Table133[[#This Row],[HOD AFTER PM HI]]-Table133[[#This Row],[Prior day close]])/Table133[[#This Row],[Prior day close]]),Table133[[#This Row],[Prior Close to PM Hi %]])</f>
        <v>#DIV/0!</v>
      </c>
      <c r="AB119" s="42" t="e">
        <f>(Table133[[#This Row],[Price at hi of squeeze]]-Table133[[#This Row],[MKT Open Price]])/Table133[[#This Row],[MKT Open Price]]</f>
        <v>#DIV/0!</v>
      </c>
      <c r="AC119" s="18" t="e">
        <f>(Table133[[#This Row],[Price at hi of squeeze]]-Table133[[#This Row],[PM Hi]])/Table133[[#This Row],[PM Hi]]</f>
        <v>#DIV/0!</v>
      </c>
      <c r="AD119" s="18"/>
      <c r="AE119" s="20" t="e">
        <f>Table133[[#This Row],[PM VOL]]/1000000/Table133[[#This Row],[FLOAT(M)]]</f>
        <v>#DIV/0!</v>
      </c>
      <c r="AF119" s="23" t="e">
        <f>(Table133[[#This Row],[Volume]]/1000000)/Table133[[#This Row],[FLOAT(M)]]</f>
        <v>#DIV/0!</v>
      </c>
      <c r="AH119" s="18" t="e">
        <f>(Table133[[#This Row],[PM Hi]]-Table133[[#This Row],[MKT Open Price]])/(Table133[[#This Row],[PM Hi]])</f>
        <v>#DIV/0!</v>
      </c>
      <c r="AI119" s="18" t="e">
        <f>IF(Table133[[#This Row],[PM LO]]&gt;Table133[[#This Row],[Prior day close]],(Table133[[#This Row],[PM Hi]]-Table133[[#This Row],[MKT Open Price]])/(Table133[[#This Row],[PM Hi]]-Table133[[#This Row],[Prior day close]]),(Table133[[#This Row],[PM Hi]]-Table133[[#This Row],[MKT Open Price]])/(Table133[[#This Row],[PM Hi]]-Table133[[#This Row],[PM LO]]))</f>
        <v>#DIV/0!</v>
      </c>
      <c r="AJ119" s="48" t="e">
        <f>IF(Table133[[#This Row],[Prior day close]]&lt;Table133[[#This Row],[PM LO]],(I119-K119)/(I119-Table133[[#This Row],[Prior day close]]),(I119-K119)/(I119-Table133[[#This Row],[PM LO]]))</f>
        <v>#DIV/0!</v>
      </c>
      <c r="AK119" s="48" t="e">
        <f>Table133[[#This Row],[Spike % on open before drop]]+AL119</f>
        <v>#DIV/0!</v>
      </c>
      <c r="AL119" s="16" t="e">
        <f t="shared" si="9"/>
        <v>#DIV/0!</v>
      </c>
      <c r="AM119" s="18" t="e">
        <f>IF($J119&gt;=$F119,($J119-$K119)/($J119),(IF($H119&lt;=$K119,($F119-$H119)/($F119),(Table133[[#This Row],[PM Hi]]-Table133[[#This Row],[Lowest lo from open to squeeze]])/(Table133[[#This Row],[PM Hi]]))))</f>
        <v>#DIV/0!</v>
      </c>
      <c r="AN119" s="48" t="e">
        <f>IF(Table133[[#This Row],[Prior day close]]&lt;=Table133[[#This Row],[PM LO]],IF($J119&gt;=$F119,($J119-$K119)/($J119-Table133[[#This Row],[Prior day close]]),(IF($H119&lt;=$K119,($F119-$H119)/($F119-Table133[[#This Row],[Prior day close]]),(Table133[[#This Row],[PM Hi]]-Table133[[#This Row],[Lowest lo from open to squeeze]])/(Table133[[#This Row],[PM Hi]]-Table133[[#This Row],[Prior day close]])))),IF($J119&gt;=$F119,($J119-$K119)/($J119-Table133[[#This Row],[PM LO]]),(IF($H119&lt;=$K119,($F119-$H119)/($F119-Table133[[#This Row],[PM LO]]),(Table133[[#This Row],[PM Hi]]-Table133[[#This Row],[Lowest lo from open to squeeze]])/(Table133[[#This Row],[PM Hi]]-Table133[[#This Row],[PM LO]])))))</f>
        <v>#DIV/0!</v>
      </c>
      <c r="AO119" s="18" t="e">
        <f>IF(J119&gt;=F119,(J119-K119)/(J119-D119),(IF(H119&lt;=K119,(F119-H119)/(F119-D119),(Table133[[#This Row],[PM Hi]]-Table133[[#This Row],[Lowest lo from open to squeeze]])/(Table133[[#This Row],[PM Hi]]-Table133[[#This Row],[Prior day close]]))))</f>
        <v>#DIV/0!</v>
      </c>
      <c r="AP119" s="17">
        <f>390+Table133[[#This Row],[Time until ideal entry point (mins) from open]]</f>
        <v>390</v>
      </c>
      <c r="AQ119" s="17">
        <f>Table133[[#This Row],[Time until ideal entry + 390 (6:30)]]+Table133[[#This Row],[Duration of frontside (mins)]]</f>
        <v>390</v>
      </c>
    </row>
    <row r="120" spans="1:43" x14ac:dyDescent="0.25">
      <c r="A120" s="24" t="s">
        <v>228</v>
      </c>
      <c r="B120" s="47">
        <v>44118</v>
      </c>
      <c r="C120" s="47" t="s">
        <v>143</v>
      </c>
      <c r="D120" s="12"/>
      <c r="E120" s="13"/>
      <c r="F120" s="12"/>
      <c r="G120" s="12"/>
      <c r="H120" s="12"/>
      <c r="I120" s="12"/>
      <c r="J120" s="12"/>
      <c r="K120" s="12"/>
      <c r="N120" s="13"/>
      <c r="P120" s="37"/>
      <c r="Q120" s="46"/>
      <c r="R120" s="37"/>
      <c r="S120" s="37"/>
      <c r="T120" s="37"/>
      <c r="U120" s="38"/>
      <c r="V120" s="46"/>
      <c r="W120" s="37"/>
      <c r="X120" s="46"/>
      <c r="Y120" s="41">
        <f>Table133[[#This Row],[Time until ideal entry + 390 (6:30)]]/(1440)</f>
        <v>0.27083333333333331</v>
      </c>
      <c r="Z120" s="18" t="e">
        <f t="shared" si="10"/>
        <v>#DIV/0!</v>
      </c>
      <c r="AA120" s="18" t="e">
        <f>IF(Table133[[#This Row],[HOD AFTER PM HI]]&gt;=Table133[[#This Row],[PM Hi]],((Table133[[#This Row],[HOD AFTER PM HI]]-Table133[[#This Row],[Prior day close]])/Table133[[#This Row],[Prior day close]]),Table133[[#This Row],[Prior Close to PM Hi %]])</f>
        <v>#DIV/0!</v>
      </c>
      <c r="AB120" s="42" t="e">
        <f>(Table133[[#This Row],[Price at hi of squeeze]]-Table133[[#This Row],[MKT Open Price]])/Table133[[#This Row],[MKT Open Price]]</f>
        <v>#DIV/0!</v>
      </c>
      <c r="AC120" s="18" t="e">
        <f>(Table133[[#This Row],[Price at hi of squeeze]]-Table133[[#This Row],[PM Hi]])/Table133[[#This Row],[PM Hi]]</f>
        <v>#DIV/0!</v>
      </c>
      <c r="AD120" s="18"/>
      <c r="AE120" s="20" t="e">
        <f>Table133[[#This Row],[PM VOL]]/1000000/Table133[[#This Row],[FLOAT(M)]]</f>
        <v>#DIV/0!</v>
      </c>
      <c r="AF120" s="23" t="e">
        <f>(Table133[[#This Row],[Volume]]/1000000)/Table133[[#This Row],[FLOAT(M)]]</f>
        <v>#DIV/0!</v>
      </c>
      <c r="AH120" s="18" t="e">
        <f>(Table133[[#This Row],[PM Hi]]-Table133[[#This Row],[MKT Open Price]])/(Table133[[#This Row],[PM Hi]])</f>
        <v>#DIV/0!</v>
      </c>
      <c r="AI120" s="18" t="e">
        <f>IF(Table133[[#This Row],[PM LO]]&gt;Table133[[#This Row],[Prior day close]],(Table133[[#This Row],[PM Hi]]-Table133[[#This Row],[MKT Open Price]])/(Table133[[#This Row],[PM Hi]]-Table133[[#This Row],[Prior day close]]),(Table133[[#This Row],[PM Hi]]-Table133[[#This Row],[MKT Open Price]])/(Table133[[#This Row],[PM Hi]]-Table133[[#This Row],[PM LO]]))</f>
        <v>#DIV/0!</v>
      </c>
      <c r="AJ120" s="48" t="e">
        <f>IF(Table133[[#This Row],[Prior day close]]&lt;Table133[[#This Row],[PM LO]],(I120-K120)/(I120-Table133[[#This Row],[Prior day close]]),(I120-K120)/(I120-Table133[[#This Row],[PM LO]]))</f>
        <v>#DIV/0!</v>
      </c>
      <c r="AK120" s="48" t="e">
        <f>Table133[[#This Row],[Spike % on open before drop]]+AL120</f>
        <v>#DIV/0!</v>
      </c>
      <c r="AL120" s="16" t="e">
        <f t="shared" si="9"/>
        <v>#DIV/0!</v>
      </c>
      <c r="AM120" s="18" t="e">
        <f>IF($J120&gt;=$F120,($J120-$K120)/($J120),(IF($H120&lt;=$K120,($F120-$H120)/($F120),(Table133[[#This Row],[PM Hi]]-Table133[[#This Row],[Lowest lo from open to squeeze]])/(Table133[[#This Row],[PM Hi]]))))</f>
        <v>#DIV/0!</v>
      </c>
      <c r="AN120" s="48" t="e">
        <f>IF(Table133[[#This Row],[Prior day close]]&lt;=Table133[[#This Row],[PM LO]],IF($J120&gt;=$F120,($J120-$K120)/($J120-Table133[[#This Row],[Prior day close]]),(IF($H120&lt;=$K120,($F120-$H120)/($F120-Table133[[#This Row],[Prior day close]]),(Table133[[#This Row],[PM Hi]]-Table133[[#This Row],[Lowest lo from open to squeeze]])/(Table133[[#This Row],[PM Hi]]-Table133[[#This Row],[Prior day close]])))),IF($J120&gt;=$F120,($J120-$K120)/($J120-Table133[[#This Row],[PM LO]]),(IF($H120&lt;=$K120,($F120-$H120)/($F120-Table133[[#This Row],[PM LO]]),(Table133[[#This Row],[PM Hi]]-Table133[[#This Row],[Lowest lo from open to squeeze]])/(Table133[[#This Row],[PM Hi]]-Table133[[#This Row],[PM LO]])))))</f>
        <v>#DIV/0!</v>
      </c>
      <c r="AO120" s="18" t="e">
        <f>IF(J120&gt;=F120,(J120-K120)/(J120-D120),(IF(H120&lt;=K120,(F120-H120)/(F120-D120),(Table133[[#This Row],[PM Hi]]-Table133[[#This Row],[Lowest lo from open to squeeze]])/(Table133[[#This Row],[PM Hi]]-Table133[[#This Row],[Prior day close]]))))</f>
        <v>#DIV/0!</v>
      </c>
      <c r="AP120" s="17">
        <f>390+Table133[[#This Row],[Time until ideal entry point (mins) from open]]</f>
        <v>390</v>
      </c>
      <c r="AQ120" s="17">
        <f>Table133[[#This Row],[Time until ideal entry + 390 (6:30)]]+Table133[[#This Row],[Duration of frontside (mins)]]</f>
        <v>390</v>
      </c>
    </row>
    <row r="121" spans="1:43" x14ac:dyDescent="0.25">
      <c r="A121" s="24" t="s">
        <v>228</v>
      </c>
      <c r="B121" s="47">
        <v>44180</v>
      </c>
      <c r="C121" s="47" t="s">
        <v>143</v>
      </c>
      <c r="D121" s="12"/>
      <c r="E121" s="13"/>
      <c r="F121" s="12"/>
      <c r="G121" s="12"/>
      <c r="H121" s="12"/>
      <c r="I121" s="12"/>
      <c r="J121" s="12"/>
      <c r="K121" s="12"/>
      <c r="N121" s="13"/>
      <c r="P121" s="37"/>
      <c r="Q121" s="46"/>
      <c r="R121" s="37"/>
      <c r="S121" s="37"/>
      <c r="T121" s="37"/>
      <c r="U121" s="38"/>
      <c r="V121" s="46"/>
      <c r="W121" s="37"/>
      <c r="X121" s="46"/>
      <c r="Y121" s="41">
        <f>Table133[[#This Row],[Time until ideal entry + 390 (6:30)]]/(1440)</f>
        <v>0.27083333333333331</v>
      </c>
      <c r="Z121" s="18" t="e">
        <f t="shared" si="10"/>
        <v>#DIV/0!</v>
      </c>
      <c r="AA121" s="18" t="e">
        <f>IF(Table133[[#This Row],[HOD AFTER PM HI]]&gt;=Table133[[#This Row],[PM Hi]],((Table133[[#This Row],[HOD AFTER PM HI]]-Table133[[#This Row],[Prior day close]])/Table133[[#This Row],[Prior day close]]),Table133[[#This Row],[Prior Close to PM Hi %]])</f>
        <v>#DIV/0!</v>
      </c>
      <c r="AB121" s="42" t="e">
        <f>(Table133[[#This Row],[Price at hi of squeeze]]-Table133[[#This Row],[MKT Open Price]])/Table133[[#This Row],[MKT Open Price]]</f>
        <v>#DIV/0!</v>
      </c>
      <c r="AC121" s="18" t="e">
        <f>(Table133[[#This Row],[Price at hi of squeeze]]-Table133[[#This Row],[PM Hi]])/Table133[[#This Row],[PM Hi]]</f>
        <v>#DIV/0!</v>
      </c>
      <c r="AD121" s="18"/>
      <c r="AE121" s="20" t="e">
        <f>Table133[[#This Row],[PM VOL]]/1000000/Table133[[#This Row],[FLOAT(M)]]</f>
        <v>#DIV/0!</v>
      </c>
      <c r="AF121" s="23" t="e">
        <f>(Table133[[#This Row],[Volume]]/1000000)/Table133[[#This Row],[FLOAT(M)]]</f>
        <v>#DIV/0!</v>
      </c>
      <c r="AH121" s="18" t="e">
        <f>(Table133[[#This Row],[PM Hi]]-Table133[[#This Row],[MKT Open Price]])/(Table133[[#This Row],[PM Hi]])</f>
        <v>#DIV/0!</v>
      </c>
      <c r="AI121" s="18" t="e">
        <f>IF(Table133[[#This Row],[PM LO]]&gt;Table133[[#This Row],[Prior day close]],(Table133[[#This Row],[PM Hi]]-Table133[[#This Row],[MKT Open Price]])/(Table133[[#This Row],[PM Hi]]-Table133[[#This Row],[Prior day close]]),(Table133[[#This Row],[PM Hi]]-Table133[[#This Row],[MKT Open Price]])/(Table133[[#This Row],[PM Hi]]-Table133[[#This Row],[PM LO]]))</f>
        <v>#DIV/0!</v>
      </c>
      <c r="AJ121" s="48" t="e">
        <f>IF(Table133[[#This Row],[Prior day close]]&lt;Table133[[#This Row],[PM LO]],(I121-K121)/(I121-Table133[[#This Row],[Prior day close]]),(I121-K121)/(I121-Table133[[#This Row],[PM LO]]))</f>
        <v>#DIV/0!</v>
      </c>
      <c r="AK121" s="48" t="e">
        <f>Table133[[#This Row],[Spike % on open before drop]]+AL121</f>
        <v>#DIV/0!</v>
      </c>
      <c r="AL121" s="16" t="e">
        <f t="shared" si="9"/>
        <v>#DIV/0!</v>
      </c>
      <c r="AM121" s="18" t="e">
        <f>IF($J121&gt;=$F121,($J121-$K121)/($J121),(IF($H121&lt;=$K121,($F121-$H121)/($F121),(Table133[[#This Row],[PM Hi]]-Table133[[#This Row],[Lowest lo from open to squeeze]])/(Table133[[#This Row],[PM Hi]]))))</f>
        <v>#DIV/0!</v>
      </c>
      <c r="AN121" s="48" t="e">
        <f>IF(Table133[[#This Row],[Prior day close]]&lt;=Table133[[#This Row],[PM LO]],IF($J121&gt;=$F121,($J121-$K121)/($J121-Table133[[#This Row],[Prior day close]]),(IF($H121&lt;=$K121,($F121-$H121)/($F121-Table133[[#This Row],[Prior day close]]),(Table133[[#This Row],[PM Hi]]-Table133[[#This Row],[Lowest lo from open to squeeze]])/(Table133[[#This Row],[PM Hi]]-Table133[[#This Row],[Prior day close]])))),IF($J121&gt;=$F121,($J121-$K121)/($J121-Table133[[#This Row],[PM LO]]),(IF($H121&lt;=$K121,($F121-$H121)/($F121-Table133[[#This Row],[PM LO]]),(Table133[[#This Row],[PM Hi]]-Table133[[#This Row],[Lowest lo from open to squeeze]])/(Table133[[#This Row],[PM Hi]]-Table133[[#This Row],[PM LO]])))))</f>
        <v>#DIV/0!</v>
      </c>
      <c r="AO121" s="18" t="e">
        <f>IF(J121&gt;=F121,(J121-K121)/(J121-D121),(IF(H121&lt;=K121,(F121-H121)/(F121-D121),(Table133[[#This Row],[PM Hi]]-Table133[[#This Row],[Lowest lo from open to squeeze]])/(Table133[[#This Row],[PM Hi]]-Table133[[#This Row],[Prior day close]]))))</f>
        <v>#DIV/0!</v>
      </c>
      <c r="AP121" s="17">
        <f>390+Table133[[#This Row],[Time until ideal entry point (mins) from open]]</f>
        <v>390</v>
      </c>
      <c r="AQ121" s="17">
        <f>Table133[[#This Row],[Time until ideal entry + 390 (6:30)]]+Table133[[#This Row],[Duration of frontside (mins)]]</f>
        <v>390</v>
      </c>
    </row>
    <row r="122" spans="1:43" x14ac:dyDescent="0.25">
      <c r="A122" s="24" t="s">
        <v>175</v>
      </c>
      <c r="B122" s="47">
        <v>43937</v>
      </c>
      <c r="C122" s="47" t="s">
        <v>256</v>
      </c>
      <c r="D122" s="12"/>
      <c r="E122" s="13"/>
      <c r="F122" s="12"/>
      <c r="G122" s="12"/>
      <c r="H122" s="12"/>
      <c r="I122" s="12"/>
      <c r="J122" s="12"/>
      <c r="K122" s="12"/>
      <c r="N122" s="13"/>
      <c r="P122" s="37"/>
      <c r="Q122" s="46"/>
      <c r="R122" s="37"/>
      <c r="S122" s="37"/>
      <c r="T122" s="37"/>
      <c r="U122" s="38"/>
      <c r="V122" s="46"/>
      <c r="W122" s="37"/>
      <c r="X122" s="46"/>
      <c r="Y122" s="41">
        <f>Table133[[#This Row],[Time until ideal entry + 390 (6:30)]]/(1440)</f>
        <v>0.27083333333333331</v>
      </c>
      <c r="Z122" s="18" t="e">
        <f t="shared" si="10"/>
        <v>#DIV/0!</v>
      </c>
      <c r="AA122" s="18" t="e">
        <f>IF(Table133[[#This Row],[HOD AFTER PM HI]]&gt;=Table133[[#This Row],[PM Hi]],((Table133[[#This Row],[HOD AFTER PM HI]]-Table133[[#This Row],[Prior day close]])/Table133[[#This Row],[Prior day close]]),Table133[[#This Row],[Prior Close to PM Hi %]])</f>
        <v>#DIV/0!</v>
      </c>
      <c r="AB122" s="42" t="e">
        <f>(Table133[[#This Row],[Price at hi of squeeze]]-Table133[[#This Row],[MKT Open Price]])/Table133[[#This Row],[MKT Open Price]]</f>
        <v>#DIV/0!</v>
      </c>
      <c r="AC122" s="18" t="e">
        <f>(Table133[[#This Row],[Price at hi of squeeze]]-Table133[[#This Row],[PM Hi]])/Table133[[#This Row],[PM Hi]]</f>
        <v>#DIV/0!</v>
      </c>
      <c r="AD122" s="18"/>
      <c r="AE122" s="20" t="e">
        <f>Table133[[#This Row],[PM VOL]]/1000000/Table133[[#This Row],[FLOAT(M)]]</f>
        <v>#DIV/0!</v>
      </c>
      <c r="AF122" s="23" t="e">
        <f>(Table133[[#This Row],[Volume]]/1000000)/Table133[[#This Row],[FLOAT(M)]]</f>
        <v>#DIV/0!</v>
      </c>
      <c r="AH122" s="18" t="e">
        <f>(Table133[[#This Row],[PM Hi]]-Table133[[#This Row],[MKT Open Price]])/(Table133[[#This Row],[PM Hi]])</f>
        <v>#DIV/0!</v>
      </c>
      <c r="AI122" s="18" t="e">
        <f>IF(Table133[[#This Row],[PM LO]]&gt;Table133[[#This Row],[Prior day close]],(Table133[[#This Row],[PM Hi]]-Table133[[#This Row],[MKT Open Price]])/(Table133[[#This Row],[PM Hi]]-Table133[[#This Row],[Prior day close]]),(Table133[[#This Row],[PM Hi]]-Table133[[#This Row],[MKT Open Price]])/(Table133[[#This Row],[PM Hi]]-Table133[[#This Row],[PM LO]]))</f>
        <v>#DIV/0!</v>
      </c>
      <c r="AJ122" s="48" t="e">
        <f>IF(Table133[[#This Row],[Prior day close]]&lt;Table133[[#This Row],[PM LO]],(I122-K122)/(I122-Table133[[#This Row],[Prior day close]]),(I122-K122)/(I122-Table133[[#This Row],[PM LO]]))</f>
        <v>#DIV/0!</v>
      </c>
      <c r="AK122" s="48" t="e">
        <f>Table133[[#This Row],[Spike % on open before drop]]+AL122</f>
        <v>#DIV/0!</v>
      </c>
      <c r="AL122" s="16" t="e">
        <f t="shared" si="9"/>
        <v>#DIV/0!</v>
      </c>
      <c r="AM122" s="18" t="e">
        <f>IF($J122&gt;=$F122,($J122-$K122)/($J122),(IF($H122&lt;=$K122,($F122-$H122)/($F122),(Table133[[#This Row],[PM Hi]]-Table133[[#This Row],[Lowest lo from open to squeeze]])/(Table133[[#This Row],[PM Hi]]))))</f>
        <v>#DIV/0!</v>
      </c>
      <c r="AN122" s="48" t="e">
        <f>IF(Table133[[#This Row],[Prior day close]]&lt;=Table133[[#This Row],[PM LO]],IF($J122&gt;=$F122,($J122-$K122)/($J122-Table133[[#This Row],[Prior day close]]),(IF($H122&lt;=$K122,($F122-$H122)/($F122-Table133[[#This Row],[Prior day close]]),(Table133[[#This Row],[PM Hi]]-Table133[[#This Row],[Lowest lo from open to squeeze]])/(Table133[[#This Row],[PM Hi]]-Table133[[#This Row],[Prior day close]])))),IF($J122&gt;=$F122,($J122-$K122)/($J122-Table133[[#This Row],[PM LO]]),(IF($H122&lt;=$K122,($F122-$H122)/($F122-Table133[[#This Row],[PM LO]]),(Table133[[#This Row],[PM Hi]]-Table133[[#This Row],[Lowest lo from open to squeeze]])/(Table133[[#This Row],[PM Hi]]-Table133[[#This Row],[PM LO]])))))</f>
        <v>#DIV/0!</v>
      </c>
      <c r="AO122" s="18" t="e">
        <f>IF(J122&gt;=F122,(J122-K122)/(J122-D122),(IF(H122&lt;=K122,(F122-H122)/(F122-D122),(Table133[[#This Row],[PM Hi]]-Table133[[#This Row],[Lowest lo from open to squeeze]])/(Table133[[#This Row],[PM Hi]]-Table133[[#This Row],[Prior day close]]))))</f>
        <v>#DIV/0!</v>
      </c>
      <c r="AP122" s="17">
        <f>390+Table133[[#This Row],[Time until ideal entry point (mins) from open]]</f>
        <v>390</v>
      </c>
      <c r="AQ122" s="17">
        <f>Table133[[#This Row],[Time until ideal entry + 390 (6:30)]]+Table133[[#This Row],[Duration of frontside (mins)]]</f>
        <v>390</v>
      </c>
    </row>
    <row r="123" spans="1:43" x14ac:dyDescent="0.25">
      <c r="A123" s="24" t="s">
        <v>194</v>
      </c>
      <c r="B123" s="47">
        <v>43999</v>
      </c>
      <c r="C123" s="47" t="s">
        <v>143</v>
      </c>
      <c r="D123" s="12"/>
      <c r="E123" s="13"/>
      <c r="F123" s="12"/>
      <c r="G123" s="12"/>
      <c r="H123" s="12"/>
      <c r="I123" s="12"/>
      <c r="J123" s="12"/>
      <c r="K123" s="12"/>
      <c r="N123" s="13"/>
      <c r="P123" s="37"/>
      <c r="Q123" s="46"/>
      <c r="R123" s="37"/>
      <c r="S123" s="37"/>
      <c r="T123" s="37"/>
      <c r="U123" s="38"/>
      <c r="V123" s="46"/>
      <c r="W123" s="37"/>
      <c r="X123" s="46"/>
      <c r="Y123" s="41">
        <f>Table133[[#This Row],[Time until ideal entry + 390 (6:30)]]/(1440)</f>
        <v>0.27083333333333331</v>
      </c>
      <c r="Z123" s="18" t="e">
        <f t="shared" si="10"/>
        <v>#DIV/0!</v>
      </c>
      <c r="AA123" s="18" t="e">
        <f>IF(Table133[[#This Row],[HOD AFTER PM HI]]&gt;=Table133[[#This Row],[PM Hi]],((Table133[[#This Row],[HOD AFTER PM HI]]-Table133[[#This Row],[Prior day close]])/Table133[[#This Row],[Prior day close]]),Table133[[#This Row],[Prior Close to PM Hi %]])</f>
        <v>#DIV/0!</v>
      </c>
      <c r="AB123" s="42" t="e">
        <f>(Table133[[#This Row],[Price at hi of squeeze]]-Table133[[#This Row],[MKT Open Price]])/Table133[[#This Row],[MKT Open Price]]</f>
        <v>#DIV/0!</v>
      </c>
      <c r="AC123" s="18" t="e">
        <f>(Table133[[#This Row],[Price at hi of squeeze]]-Table133[[#This Row],[PM Hi]])/Table133[[#This Row],[PM Hi]]</f>
        <v>#DIV/0!</v>
      </c>
      <c r="AD123" s="18"/>
      <c r="AE123" s="20" t="e">
        <f>Table133[[#This Row],[PM VOL]]/1000000/Table133[[#This Row],[FLOAT(M)]]</f>
        <v>#DIV/0!</v>
      </c>
      <c r="AF123" s="23" t="e">
        <f>(Table133[[#This Row],[Volume]]/1000000)/Table133[[#This Row],[FLOAT(M)]]</f>
        <v>#DIV/0!</v>
      </c>
      <c r="AH123" s="18" t="e">
        <f>(Table133[[#This Row],[PM Hi]]-Table133[[#This Row],[MKT Open Price]])/(Table133[[#This Row],[PM Hi]])</f>
        <v>#DIV/0!</v>
      </c>
      <c r="AI123" s="18" t="e">
        <f>IF(Table133[[#This Row],[PM LO]]&gt;Table133[[#This Row],[Prior day close]],(Table133[[#This Row],[PM Hi]]-Table133[[#This Row],[MKT Open Price]])/(Table133[[#This Row],[PM Hi]]-Table133[[#This Row],[Prior day close]]),(Table133[[#This Row],[PM Hi]]-Table133[[#This Row],[MKT Open Price]])/(Table133[[#This Row],[PM Hi]]-Table133[[#This Row],[PM LO]]))</f>
        <v>#DIV/0!</v>
      </c>
      <c r="AJ123" s="48" t="e">
        <f>IF(Table133[[#This Row],[Prior day close]]&lt;Table133[[#This Row],[PM LO]],(I123-K123)/(I123-Table133[[#This Row],[Prior day close]]),(I123-K123)/(I123-Table133[[#This Row],[PM LO]]))</f>
        <v>#DIV/0!</v>
      </c>
      <c r="AK123" s="48" t="e">
        <f>Table133[[#This Row],[Spike % on open before drop]]+AL123</f>
        <v>#DIV/0!</v>
      </c>
      <c r="AL123" s="16" t="e">
        <f t="shared" si="9"/>
        <v>#DIV/0!</v>
      </c>
      <c r="AM123" s="18" t="e">
        <f>IF($J123&gt;=$F123,($J123-$K123)/($J123),(IF($H123&lt;=$K123,($F123-$H123)/($F123),(Table133[[#This Row],[PM Hi]]-Table133[[#This Row],[Lowest lo from open to squeeze]])/(Table133[[#This Row],[PM Hi]]))))</f>
        <v>#DIV/0!</v>
      </c>
      <c r="AN123" s="48" t="e">
        <f>IF(Table133[[#This Row],[Prior day close]]&lt;=Table133[[#This Row],[PM LO]],IF($J123&gt;=$F123,($J123-$K123)/($J123-Table133[[#This Row],[Prior day close]]),(IF($H123&lt;=$K123,($F123-$H123)/($F123-Table133[[#This Row],[Prior day close]]),(Table133[[#This Row],[PM Hi]]-Table133[[#This Row],[Lowest lo from open to squeeze]])/(Table133[[#This Row],[PM Hi]]-Table133[[#This Row],[Prior day close]])))),IF($J123&gt;=$F123,($J123-$K123)/($J123-Table133[[#This Row],[PM LO]]),(IF($H123&lt;=$K123,($F123-$H123)/($F123-Table133[[#This Row],[PM LO]]),(Table133[[#This Row],[PM Hi]]-Table133[[#This Row],[Lowest lo from open to squeeze]])/(Table133[[#This Row],[PM Hi]]-Table133[[#This Row],[PM LO]])))))</f>
        <v>#DIV/0!</v>
      </c>
      <c r="AO123" s="18" t="e">
        <f>IF(J123&gt;=F123,(J123-K123)/(J123-D123),(IF(H123&lt;=K123,(F123-H123)/(F123-D123),(Table133[[#This Row],[PM Hi]]-Table133[[#This Row],[Lowest lo from open to squeeze]])/(Table133[[#This Row],[PM Hi]]-Table133[[#This Row],[Prior day close]]))))</f>
        <v>#DIV/0!</v>
      </c>
      <c r="AP123" s="17">
        <f>390+Table133[[#This Row],[Time until ideal entry point (mins) from open]]</f>
        <v>390</v>
      </c>
      <c r="AQ123" s="17">
        <f>Table133[[#This Row],[Time until ideal entry + 390 (6:30)]]+Table133[[#This Row],[Duration of frontside (mins)]]</f>
        <v>390</v>
      </c>
    </row>
    <row r="124" spans="1:43" x14ac:dyDescent="0.25">
      <c r="A124" s="24" t="s">
        <v>97</v>
      </c>
      <c r="B124" s="47">
        <v>43941</v>
      </c>
      <c r="C124" s="47" t="s">
        <v>256</v>
      </c>
      <c r="D124" s="12"/>
      <c r="E124" s="13"/>
      <c r="F124" s="12"/>
      <c r="G124" s="12"/>
      <c r="H124" s="12"/>
      <c r="I124" s="12"/>
      <c r="J124" s="12"/>
      <c r="K124" s="12"/>
      <c r="N124" s="13"/>
      <c r="P124" s="37"/>
      <c r="Q124" s="46"/>
      <c r="R124" s="37"/>
      <c r="S124" s="37"/>
      <c r="T124" s="37"/>
      <c r="U124" s="38"/>
      <c r="V124" s="46"/>
      <c r="W124" s="37"/>
      <c r="X124" s="46"/>
      <c r="Y124" s="41">
        <f>Table133[[#This Row],[Time until ideal entry + 390 (6:30)]]/(1440)</f>
        <v>0.27083333333333331</v>
      </c>
      <c r="Z124" s="18" t="e">
        <f t="shared" si="10"/>
        <v>#DIV/0!</v>
      </c>
      <c r="AA124" s="18" t="e">
        <f>IF(Table133[[#This Row],[HOD AFTER PM HI]]&gt;=Table133[[#This Row],[PM Hi]],((Table133[[#This Row],[HOD AFTER PM HI]]-Table133[[#This Row],[Prior day close]])/Table133[[#This Row],[Prior day close]]),Table133[[#This Row],[Prior Close to PM Hi %]])</f>
        <v>#DIV/0!</v>
      </c>
      <c r="AB124" s="42" t="e">
        <f>(Table133[[#This Row],[Price at hi of squeeze]]-Table133[[#This Row],[MKT Open Price]])/Table133[[#This Row],[MKT Open Price]]</f>
        <v>#DIV/0!</v>
      </c>
      <c r="AC124" s="18" t="e">
        <f>(Table133[[#This Row],[Price at hi of squeeze]]-Table133[[#This Row],[PM Hi]])/Table133[[#This Row],[PM Hi]]</f>
        <v>#DIV/0!</v>
      </c>
      <c r="AD124" s="18"/>
      <c r="AE124" s="20" t="e">
        <f>Table133[[#This Row],[PM VOL]]/1000000/Table133[[#This Row],[FLOAT(M)]]</f>
        <v>#DIV/0!</v>
      </c>
      <c r="AF124" s="23" t="e">
        <f>(Table133[[#This Row],[Volume]]/1000000)/Table133[[#This Row],[FLOAT(M)]]</f>
        <v>#DIV/0!</v>
      </c>
      <c r="AH124" s="18" t="e">
        <f>(Table133[[#This Row],[PM Hi]]-Table133[[#This Row],[MKT Open Price]])/(Table133[[#This Row],[PM Hi]])</f>
        <v>#DIV/0!</v>
      </c>
      <c r="AI124" s="18" t="e">
        <f>IF(Table133[[#This Row],[PM LO]]&gt;Table133[[#This Row],[Prior day close]],(Table133[[#This Row],[PM Hi]]-Table133[[#This Row],[MKT Open Price]])/(Table133[[#This Row],[PM Hi]]-Table133[[#This Row],[Prior day close]]),(Table133[[#This Row],[PM Hi]]-Table133[[#This Row],[MKT Open Price]])/(Table133[[#This Row],[PM Hi]]-Table133[[#This Row],[PM LO]]))</f>
        <v>#DIV/0!</v>
      </c>
      <c r="AJ124" s="48" t="e">
        <f>IF(Table133[[#This Row],[Prior day close]]&lt;Table133[[#This Row],[PM LO]],(I124-K124)/(I124-Table133[[#This Row],[Prior day close]]),(I124-K124)/(I124-Table133[[#This Row],[PM LO]]))</f>
        <v>#DIV/0!</v>
      </c>
      <c r="AK124" s="48" t="e">
        <f>Table133[[#This Row],[Spike % on open before drop]]+AL124</f>
        <v>#DIV/0!</v>
      </c>
      <c r="AL124" s="16" t="e">
        <f t="shared" si="9"/>
        <v>#DIV/0!</v>
      </c>
      <c r="AM124" s="18" t="e">
        <f>IF($J124&gt;=$F124,($J124-$K124)/($J124),(IF($H124&lt;=$K124,($F124-$H124)/($F124),(Table133[[#This Row],[PM Hi]]-Table133[[#This Row],[Lowest lo from open to squeeze]])/(Table133[[#This Row],[PM Hi]]))))</f>
        <v>#DIV/0!</v>
      </c>
      <c r="AN124" s="48" t="e">
        <f>IF(Table133[[#This Row],[Prior day close]]&lt;=Table133[[#This Row],[PM LO]],IF($J124&gt;=$F124,($J124-$K124)/($J124-Table133[[#This Row],[Prior day close]]),(IF($H124&lt;=$K124,($F124-$H124)/($F124-Table133[[#This Row],[Prior day close]]),(Table133[[#This Row],[PM Hi]]-Table133[[#This Row],[Lowest lo from open to squeeze]])/(Table133[[#This Row],[PM Hi]]-Table133[[#This Row],[Prior day close]])))),IF($J124&gt;=$F124,($J124-$K124)/($J124-Table133[[#This Row],[PM LO]]),(IF($H124&lt;=$K124,($F124-$H124)/($F124-Table133[[#This Row],[PM LO]]),(Table133[[#This Row],[PM Hi]]-Table133[[#This Row],[Lowest lo from open to squeeze]])/(Table133[[#This Row],[PM Hi]]-Table133[[#This Row],[PM LO]])))))</f>
        <v>#DIV/0!</v>
      </c>
      <c r="AO124" s="18" t="e">
        <f>IF(J124&gt;=F124,(J124-K124)/(J124-D124),(IF(H124&lt;=K124,(F124-H124)/(F124-D124),(Table133[[#This Row],[PM Hi]]-Table133[[#This Row],[Lowest lo from open to squeeze]])/(Table133[[#This Row],[PM Hi]]-Table133[[#This Row],[Prior day close]]))))</f>
        <v>#DIV/0!</v>
      </c>
      <c r="AP124" s="17">
        <f>390+Table133[[#This Row],[Time until ideal entry point (mins) from open]]</f>
        <v>390</v>
      </c>
      <c r="AQ124" s="17">
        <f>Table133[[#This Row],[Time until ideal entry + 390 (6:30)]]+Table133[[#This Row],[Duration of frontside (mins)]]</f>
        <v>390</v>
      </c>
    </row>
    <row r="125" spans="1:43" x14ac:dyDescent="0.25">
      <c r="A125" s="24" t="s">
        <v>179</v>
      </c>
      <c r="B125" s="47">
        <v>43944</v>
      </c>
      <c r="C125" s="47" t="s">
        <v>256</v>
      </c>
      <c r="D125" s="12"/>
      <c r="E125" s="13"/>
      <c r="F125" s="12"/>
      <c r="G125" s="12"/>
      <c r="H125" s="12"/>
      <c r="I125" s="12"/>
      <c r="J125" s="12"/>
      <c r="K125" s="12"/>
      <c r="N125" s="13"/>
      <c r="P125" s="37"/>
      <c r="Q125" s="46"/>
      <c r="R125" s="37"/>
      <c r="S125" s="37"/>
      <c r="T125" s="37"/>
      <c r="U125" s="38"/>
      <c r="V125" s="46"/>
      <c r="W125" s="37"/>
      <c r="X125" s="46"/>
      <c r="Y125" s="41">
        <f>Table133[[#This Row],[Time until ideal entry + 390 (6:30)]]/(1440)</f>
        <v>0.27083333333333331</v>
      </c>
      <c r="Z125" s="18" t="e">
        <f t="shared" si="10"/>
        <v>#DIV/0!</v>
      </c>
      <c r="AA125" s="18" t="e">
        <f>IF(Table133[[#This Row],[HOD AFTER PM HI]]&gt;=Table133[[#This Row],[PM Hi]],((Table133[[#This Row],[HOD AFTER PM HI]]-Table133[[#This Row],[Prior day close]])/Table133[[#This Row],[Prior day close]]),Table133[[#This Row],[Prior Close to PM Hi %]])</f>
        <v>#DIV/0!</v>
      </c>
      <c r="AB125" s="42" t="e">
        <f>(Table133[[#This Row],[Price at hi of squeeze]]-Table133[[#This Row],[MKT Open Price]])/Table133[[#This Row],[MKT Open Price]]</f>
        <v>#DIV/0!</v>
      </c>
      <c r="AC125" s="18" t="e">
        <f>(Table133[[#This Row],[Price at hi of squeeze]]-Table133[[#This Row],[PM Hi]])/Table133[[#This Row],[PM Hi]]</f>
        <v>#DIV/0!</v>
      </c>
      <c r="AD125" s="18"/>
      <c r="AE125" s="20" t="e">
        <f>Table133[[#This Row],[PM VOL]]/1000000/Table133[[#This Row],[FLOAT(M)]]</f>
        <v>#DIV/0!</v>
      </c>
      <c r="AF125" s="23" t="e">
        <f>(Table133[[#This Row],[Volume]]/1000000)/Table133[[#This Row],[FLOAT(M)]]</f>
        <v>#DIV/0!</v>
      </c>
      <c r="AH125" s="18" t="e">
        <f>(Table133[[#This Row],[PM Hi]]-Table133[[#This Row],[MKT Open Price]])/(Table133[[#This Row],[PM Hi]])</f>
        <v>#DIV/0!</v>
      </c>
      <c r="AI125" s="18" t="e">
        <f>IF(Table133[[#This Row],[PM LO]]&gt;Table133[[#This Row],[Prior day close]],(Table133[[#This Row],[PM Hi]]-Table133[[#This Row],[MKT Open Price]])/(Table133[[#This Row],[PM Hi]]-Table133[[#This Row],[Prior day close]]),(Table133[[#This Row],[PM Hi]]-Table133[[#This Row],[MKT Open Price]])/(Table133[[#This Row],[PM Hi]]-Table133[[#This Row],[PM LO]]))</f>
        <v>#DIV/0!</v>
      </c>
      <c r="AJ125" s="48" t="e">
        <f>IF(Table133[[#This Row],[Prior day close]]&lt;Table133[[#This Row],[PM LO]],(I125-K125)/(I125-Table133[[#This Row],[Prior day close]]),(I125-K125)/(I125-Table133[[#This Row],[PM LO]]))</f>
        <v>#DIV/0!</v>
      </c>
      <c r="AK125" s="48" t="e">
        <f>Table133[[#This Row],[Spike % on open before drop]]+AL125</f>
        <v>#DIV/0!</v>
      </c>
      <c r="AL125" s="16" t="e">
        <f t="shared" si="9"/>
        <v>#DIV/0!</v>
      </c>
      <c r="AM125" s="18" t="e">
        <f>IF($J125&gt;=$F125,($J125-$K125)/($J125),(IF($H125&lt;=$K125,($F125-$H125)/($F125),(Table133[[#This Row],[PM Hi]]-Table133[[#This Row],[Lowest lo from open to squeeze]])/(Table133[[#This Row],[PM Hi]]))))</f>
        <v>#DIV/0!</v>
      </c>
      <c r="AN125" s="48" t="e">
        <f>IF(Table133[[#This Row],[Prior day close]]&lt;=Table133[[#This Row],[PM LO]],IF($J125&gt;=$F125,($J125-$K125)/($J125-Table133[[#This Row],[Prior day close]]),(IF($H125&lt;=$K125,($F125-$H125)/($F125-Table133[[#This Row],[Prior day close]]),(Table133[[#This Row],[PM Hi]]-Table133[[#This Row],[Lowest lo from open to squeeze]])/(Table133[[#This Row],[PM Hi]]-Table133[[#This Row],[Prior day close]])))),IF($J125&gt;=$F125,($J125-$K125)/($J125-Table133[[#This Row],[PM LO]]),(IF($H125&lt;=$K125,($F125-$H125)/($F125-Table133[[#This Row],[PM LO]]),(Table133[[#This Row],[PM Hi]]-Table133[[#This Row],[Lowest lo from open to squeeze]])/(Table133[[#This Row],[PM Hi]]-Table133[[#This Row],[PM LO]])))))</f>
        <v>#DIV/0!</v>
      </c>
      <c r="AO125" s="18" t="e">
        <f>IF(J125&gt;=F125,(J125-K125)/(J125-D125),(IF(H125&lt;=K125,(F125-H125)/(F125-D125),(Table133[[#This Row],[PM Hi]]-Table133[[#This Row],[Lowest lo from open to squeeze]])/(Table133[[#This Row],[PM Hi]]-Table133[[#This Row],[Prior day close]]))))</f>
        <v>#DIV/0!</v>
      </c>
      <c r="AP125" s="17">
        <f>390+Table133[[#This Row],[Time until ideal entry point (mins) from open]]</f>
        <v>390</v>
      </c>
      <c r="AQ125" s="17">
        <f>Table133[[#This Row],[Time until ideal entry + 390 (6:30)]]+Table133[[#This Row],[Duration of frontside (mins)]]</f>
        <v>390</v>
      </c>
    </row>
    <row r="126" spans="1:43" x14ac:dyDescent="0.25">
      <c r="A126" s="24" t="s">
        <v>67</v>
      </c>
      <c r="B126" s="47">
        <v>43948</v>
      </c>
      <c r="C126" s="47" t="s">
        <v>256</v>
      </c>
      <c r="D126" s="12"/>
      <c r="E126" s="13"/>
      <c r="F126" s="12"/>
      <c r="G126" s="12"/>
      <c r="H126" s="12"/>
      <c r="I126" s="12"/>
      <c r="J126" s="12"/>
      <c r="K126" s="12"/>
      <c r="N126" s="13"/>
      <c r="P126" s="37"/>
      <c r="Q126" s="46"/>
      <c r="R126" s="37"/>
      <c r="S126" s="37"/>
      <c r="T126" s="37"/>
      <c r="U126" s="38"/>
      <c r="V126" s="46"/>
      <c r="W126" s="37"/>
      <c r="X126" s="46"/>
      <c r="Y126" s="41">
        <f>Table133[[#This Row],[Time until ideal entry + 390 (6:30)]]/(1440)</f>
        <v>0.27083333333333331</v>
      </c>
      <c r="Z126" s="18" t="e">
        <f t="shared" si="10"/>
        <v>#DIV/0!</v>
      </c>
      <c r="AA126" s="18" t="e">
        <f>IF(Table133[[#This Row],[HOD AFTER PM HI]]&gt;=Table133[[#This Row],[PM Hi]],((Table133[[#This Row],[HOD AFTER PM HI]]-Table133[[#This Row],[Prior day close]])/Table133[[#This Row],[Prior day close]]),Table133[[#This Row],[Prior Close to PM Hi %]])</f>
        <v>#DIV/0!</v>
      </c>
      <c r="AB126" s="42" t="e">
        <f>(Table133[[#This Row],[Price at hi of squeeze]]-Table133[[#This Row],[MKT Open Price]])/Table133[[#This Row],[MKT Open Price]]</f>
        <v>#DIV/0!</v>
      </c>
      <c r="AC126" s="18" t="e">
        <f>(Table133[[#This Row],[Price at hi of squeeze]]-Table133[[#This Row],[PM Hi]])/Table133[[#This Row],[PM Hi]]</f>
        <v>#DIV/0!</v>
      </c>
      <c r="AD126" s="18"/>
      <c r="AE126" s="20" t="e">
        <f>Table133[[#This Row],[PM VOL]]/1000000/Table133[[#This Row],[FLOAT(M)]]</f>
        <v>#DIV/0!</v>
      </c>
      <c r="AF126" s="23" t="e">
        <f>(Table133[[#This Row],[Volume]]/1000000)/Table133[[#This Row],[FLOAT(M)]]</f>
        <v>#DIV/0!</v>
      </c>
      <c r="AH126" s="18" t="e">
        <f>(Table133[[#This Row],[PM Hi]]-Table133[[#This Row],[MKT Open Price]])/(Table133[[#This Row],[PM Hi]])</f>
        <v>#DIV/0!</v>
      </c>
      <c r="AI126" s="18" t="e">
        <f>IF(Table133[[#This Row],[PM LO]]&gt;Table133[[#This Row],[Prior day close]],(Table133[[#This Row],[PM Hi]]-Table133[[#This Row],[MKT Open Price]])/(Table133[[#This Row],[PM Hi]]-Table133[[#This Row],[Prior day close]]),(Table133[[#This Row],[PM Hi]]-Table133[[#This Row],[MKT Open Price]])/(Table133[[#This Row],[PM Hi]]-Table133[[#This Row],[PM LO]]))</f>
        <v>#DIV/0!</v>
      </c>
      <c r="AJ126" s="48" t="e">
        <f>IF(Table133[[#This Row],[Prior day close]]&lt;Table133[[#This Row],[PM LO]],(I126-K126)/(I126-Table133[[#This Row],[Prior day close]]),(I126-K126)/(I126-Table133[[#This Row],[PM LO]]))</f>
        <v>#DIV/0!</v>
      </c>
      <c r="AK126" s="48" t="e">
        <f>Table133[[#This Row],[Spike % on open before drop]]+AL126</f>
        <v>#DIV/0!</v>
      </c>
      <c r="AL126" s="16" t="e">
        <f t="shared" si="9"/>
        <v>#DIV/0!</v>
      </c>
      <c r="AM126" s="18" t="e">
        <f>IF($J126&gt;=$F126,($J126-$K126)/($J126),(IF($H126&lt;=$K126,($F126-$H126)/($F126),(Table133[[#This Row],[PM Hi]]-Table133[[#This Row],[Lowest lo from open to squeeze]])/(Table133[[#This Row],[PM Hi]]))))</f>
        <v>#DIV/0!</v>
      </c>
      <c r="AN126" s="48" t="e">
        <f>IF(Table133[[#This Row],[Prior day close]]&lt;=Table133[[#This Row],[PM LO]],IF($J126&gt;=$F126,($J126-$K126)/($J126-Table133[[#This Row],[Prior day close]]),(IF($H126&lt;=$K126,($F126-$H126)/($F126-Table133[[#This Row],[Prior day close]]),(Table133[[#This Row],[PM Hi]]-Table133[[#This Row],[Lowest lo from open to squeeze]])/(Table133[[#This Row],[PM Hi]]-Table133[[#This Row],[Prior day close]])))),IF($J126&gt;=$F126,($J126-$K126)/($J126-Table133[[#This Row],[PM LO]]),(IF($H126&lt;=$K126,($F126-$H126)/($F126-Table133[[#This Row],[PM LO]]),(Table133[[#This Row],[PM Hi]]-Table133[[#This Row],[Lowest lo from open to squeeze]])/(Table133[[#This Row],[PM Hi]]-Table133[[#This Row],[PM LO]])))))</f>
        <v>#DIV/0!</v>
      </c>
      <c r="AO126" s="18" t="e">
        <f>IF(J126&gt;=F126,(J126-K126)/(J126-D126),(IF(H126&lt;=K126,(F126-H126)/(F126-D126),(Table133[[#This Row],[PM Hi]]-Table133[[#This Row],[Lowest lo from open to squeeze]])/(Table133[[#This Row],[PM Hi]]-Table133[[#This Row],[Prior day close]]))))</f>
        <v>#DIV/0!</v>
      </c>
      <c r="AP126" s="17">
        <f>390+Table133[[#This Row],[Time until ideal entry point (mins) from open]]</f>
        <v>390</v>
      </c>
      <c r="AQ126" s="17">
        <f>Table133[[#This Row],[Time until ideal entry + 390 (6:30)]]+Table133[[#This Row],[Duration of frontside (mins)]]</f>
        <v>390</v>
      </c>
    </row>
    <row r="127" spans="1:43" x14ac:dyDescent="0.25">
      <c r="A127" s="24" t="s">
        <v>221</v>
      </c>
      <c r="B127" s="47">
        <v>44102</v>
      </c>
      <c r="C127" s="47" t="s">
        <v>143</v>
      </c>
      <c r="D127" s="12"/>
      <c r="E127" s="13"/>
      <c r="F127" s="12"/>
      <c r="G127" s="12"/>
      <c r="H127" s="12"/>
      <c r="I127" s="12"/>
      <c r="J127" s="12"/>
      <c r="K127" s="12"/>
      <c r="N127" s="13"/>
      <c r="P127" s="37"/>
      <c r="Q127" s="46"/>
      <c r="R127" s="37"/>
      <c r="S127" s="37"/>
      <c r="T127" s="37"/>
      <c r="U127" s="38"/>
      <c r="V127" s="46"/>
      <c r="W127" s="37"/>
      <c r="X127" s="46"/>
      <c r="Y127" s="41">
        <f>Table133[[#This Row],[Time until ideal entry + 390 (6:30)]]/(1440)</f>
        <v>0.27083333333333331</v>
      </c>
      <c r="Z127" s="18" t="e">
        <f t="shared" si="10"/>
        <v>#DIV/0!</v>
      </c>
      <c r="AA127" s="18" t="e">
        <f>IF(Table133[[#This Row],[HOD AFTER PM HI]]&gt;=Table133[[#This Row],[PM Hi]],((Table133[[#This Row],[HOD AFTER PM HI]]-Table133[[#This Row],[Prior day close]])/Table133[[#This Row],[Prior day close]]),Table133[[#This Row],[Prior Close to PM Hi %]])</f>
        <v>#DIV/0!</v>
      </c>
      <c r="AB127" s="42" t="e">
        <f>(Table133[[#This Row],[Price at hi of squeeze]]-Table133[[#This Row],[MKT Open Price]])/Table133[[#This Row],[MKT Open Price]]</f>
        <v>#DIV/0!</v>
      </c>
      <c r="AC127" s="18" t="e">
        <f>(Table133[[#This Row],[Price at hi of squeeze]]-Table133[[#This Row],[PM Hi]])/Table133[[#This Row],[PM Hi]]</f>
        <v>#DIV/0!</v>
      </c>
      <c r="AD127" s="18"/>
      <c r="AE127" s="20" t="e">
        <f>Table133[[#This Row],[PM VOL]]/1000000/Table133[[#This Row],[FLOAT(M)]]</f>
        <v>#DIV/0!</v>
      </c>
      <c r="AF127" s="23" t="e">
        <f>(Table133[[#This Row],[Volume]]/1000000)/Table133[[#This Row],[FLOAT(M)]]</f>
        <v>#DIV/0!</v>
      </c>
      <c r="AH127" s="18" t="e">
        <f>(Table133[[#This Row],[PM Hi]]-Table133[[#This Row],[MKT Open Price]])/(Table133[[#This Row],[PM Hi]])</f>
        <v>#DIV/0!</v>
      </c>
      <c r="AI127" s="18" t="e">
        <f>IF(Table133[[#This Row],[PM LO]]&gt;Table133[[#This Row],[Prior day close]],(Table133[[#This Row],[PM Hi]]-Table133[[#This Row],[MKT Open Price]])/(Table133[[#This Row],[PM Hi]]-Table133[[#This Row],[Prior day close]]),(Table133[[#This Row],[PM Hi]]-Table133[[#This Row],[MKT Open Price]])/(Table133[[#This Row],[PM Hi]]-Table133[[#This Row],[PM LO]]))</f>
        <v>#DIV/0!</v>
      </c>
      <c r="AJ127" s="48" t="e">
        <f>IF(Table133[[#This Row],[Prior day close]]&lt;Table133[[#This Row],[PM LO]],(I127-K127)/(I127-Table133[[#This Row],[Prior day close]]),(I127-K127)/(I127-Table133[[#This Row],[PM LO]]))</f>
        <v>#DIV/0!</v>
      </c>
      <c r="AK127" s="48" t="e">
        <f>Table133[[#This Row],[Spike % on open before drop]]+AL127</f>
        <v>#DIV/0!</v>
      </c>
      <c r="AL127" s="16" t="e">
        <f t="shared" si="9"/>
        <v>#DIV/0!</v>
      </c>
      <c r="AM127" s="18" t="e">
        <f>IF($J127&gt;=$F127,($J127-$K127)/($J127),(IF($H127&lt;=$K127,($F127-$H127)/($F127),(Table133[[#This Row],[PM Hi]]-Table133[[#This Row],[Lowest lo from open to squeeze]])/(Table133[[#This Row],[PM Hi]]))))</f>
        <v>#DIV/0!</v>
      </c>
      <c r="AN127" s="48" t="e">
        <f>IF(Table133[[#This Row],[Prior day close]]&lt;=Table133[[#This Row],[PM LO]],IF($J127&gt;=$F127,($J127-$K127)/($J127-Table133[[#This Row],[Prior day close]]),(IF($H127&lt;=$K127,($F127-$H127)/($F127-Table133[[#This Row],[Prior day close]]),(Table133[[#This Row],[PM Hi]]-Table133[[#This Row],[Lowest lo from open to squeeze]])/(Table133[[#This Row],[PM Hi]]-Table133[[#This Row],[Prior day close]])))),IF($J127&gt;=$F127,($J127-$K127)/($J127-Table133[[#This Row],[PM LO]]),(IF($H127&lt;=$K127,($F127-$H127)/($F127-Table133[[#This Row],[PM LO]]),(Table133[[#This Row],[PM Hi]]-Table133[[#This Row],[Lowest lo from open to squeeze]])/(Table133[[#This Row],[PM Hi]]-Table133[[#This Row],[PM LO]])))))</f>
        <v>#DIV/0!</v>
      </c>
      <c r="AO127" s="18" t="e">
        <f>IF(J127&gt;=F127,(J127-K127)/(J127-D127),(IF(H127&lt;=K127,(F127-H127)/(F127-D127),(Table133[[#This Row],[PM Hi]]-Table133[[#This Row],[Lowest lo from open to squeeze]])/(Table133[[#This Row],[PM Hi]]-Table133[[#This Row],[Prior day close]]))))</f>
        <v>#DIV/0!</v>
      </c>
      <c r="AP127" s="17">
        <f>390+Table133[[#This Row],[Time until ideal entry point (mins) from open]]</f>
        <v>390</v>
      </c>
      <c r="AQ127" s="17">
        <f>Table133[[#This Row],[Time until ideal entry + 390 (6:30)]]+Table133[[#This Row],[Duration of frontside (mins)]]</f>
        <v>390</v>
      </c>
    </row>
    <row r="128" spans="1:43" x14ac:dyDescent="0.25">
      <c r="A128" s="24" t="s">
        <v>236</v>
      </c>
      <c r="B128" s="47">
        <v>44146</v>
      </c>
      <c r="C128" s="47" t="s">
        <v>143</v>
      </c>
      <c r="D128" s="12"/>
      <c r="E128" s="13"/>
      <c r="F128" s="12"/>
      <c r="G128" s="12"/>
      <c r="H128" s="12"/>
      <c r="I128" s="12"/>
      <c r="J128" s="12"/>
      <c r="K128" s="12"/>
      <c r="N128" s="13"/>
      <c r="P128" s="37"/>
      <c r="Q128" s="46"/>
      <c r="R128" s="37"/>
      <c r="S128" s="37"/>
      <c r="T128" s="37"/>
      <c r="U128" s="38"/>
      <c r="V128" s="46"/>
      <c r="W128" s="37"/>
      <c r="X128" s="46"/>
      <c r="Y128" s="41">
        <f>Table133[[#This Row],[Time until ideal entry + 390 (6:30)]]/(1440)</f>
        <v>0.27083333333333331</v>
      </c>
      <c r="Z128" s="18" t="e">
        <f t="shared" si="10"/>
        <v>#DIV/0!</v>
      </c>
      <c r="AA128" s="18" t="e">
        <f>IF(Table133[[#This Row],[HOD AFTER PM HI]]&gt;=Table133[[#This Row],[PM Hi]],((Table133[[#This Row],[HOD AFTER PM HI]]-Table133[[#This Row],[Prior day close]])/Table133[[#This Row],[Prior day close]]),Table133[[#This Row],[Prior Close to PM Hi %]])</f>
        <v>#DIV/0!</v>
      </c>
      <c r="AB128" s="42" t="e">
        <f>(Table133[[#This Row],[Price at hi of squeeze]]-Table133[[#This Row],[MKT Open Price]])/Table133[[#This Row],[MKT Open Price]]</f>
        <v>#DIV/0!</v>
      </c>
      <c r="AC128" s="18" t="e">
        <f>(Table133[[#This Row],[Price at hi of squeeze]]-Table133[[#This Row],[PM Hi]])/Table133[[#This Row],[PM Hi]]</f>
        <v>#DIV/0!</v>
      </c>
      <c r="AD128" s="18"/>
      <c r="AE128" s="20" t="e">
        <f>Table133[[#This Row],[PM VOL]]/1000000/Table133[[#This Row],[FLOAT(M)]]</f>
        <v>#DIV/0!</v>
      </c>
      <c r="AF128" s="23" t="e">
        <f>(Table133[[#This Row],[Volume]]/1000000)/Table133[[#This Row],[FLOAT(M)]]</f>
        <v>#DIV/0!</v>
      </c>
      <c r="AH128" s="18" t="e">
        <f>(Table133[[#This Row],[PM Hi]]-Table133[[#This Row],[MKT Open Price]])/(Table133[[#This Row],[PM Hi]])</f>
        <v>#DIV/0!</v>
      </c>
      <c r="AI128" s="18" t="e">
        <f>IF(Table133[[#This Row],[PM LO]]&gt;Table133[[#This Row],[Prior day close]],(Table133[[#This Row],[PM Hi]]-Table133[[#This Row],[MKT Open Price]])/(Table133[[#This Row],[PM Hi]]-Table133[[#This Row],[Prior day close]]),(Table133[[#This Row],[PM Hi]]-Table133[[#This Row],[MKT Open Price]])/(Table133[[#This Row],[PM Hi]]-Table133[[#This Row],[PM LO]]))</f>
        <v>#DIV/0!</v>
      </c>
      <c r="AJ128" s="48" t="e">
        <f>IF(Table133[[#This Row],[Prior day close]]&lt;Table133[[#This Row],[PM LO]],(I128-K128)/(I128-Table133[[#This Row],[Prior day close]]),(I128-K128)/(I128-Table133[[#This Row],[PM LO]]))</f>
        <v>#DIV/0!</v>
      </c>
      <c r="AK128" s="48" t="e">
        <f>Table133[[#This Row],[Spike % on open before drop]]+AL128</f>
        <v>#DIV/0!</v>
      </c>
      <c r="AL128" s="16" t="e">
        <f t="shared" si="9"/>
        <v>#DIV/0!</v>
      </c>
      <c r="AM128" s="18" t="e">
        <f>IF($J128&gt;=$F128,($J128-$K128)/($J128),(IF($H128&lt;=$K128,($F128-$H128)/($F128),(Table133[[#This Row],[PM Hi]]-Table133[[#This Row],[Lowest lo from open to squeeze]])/(Table133[[#This Row],[PM Hi]]))))</f>
        <v>#DIV/0!</v>
      </c>
      <c r="AN128" s="48" t="e">
        <f>IF(Table133[[#This Row],[Prior day close]]&lt;=Table133[[#This Row],[PM LO]],IF($J128&gt;=$F128,($J128-$K128)/($J128-Table133[[#This Row],[Prior day close]]),(IF($H128&lt;=$K128,($F128-$H128)/($F128-Table133[[#This Row],[Prior day close]]),(Table133[[#This Row],[PM Hi]]-Table133[[#This Row],[Lowest lo from open to squeeze]])/(Table133[[#This Row],[PM Hi]]-Table133[[#This Row],[Prior day close]])))),IF($J128&gt;=$F128,($J128-$K128)/($J128-Table133[[#This Row],[PM LO]]),(IF($H128&lt;=$K128,($F128-$H128)/($F128-Table133[[#This Row],[PM LO]]),(Table133[[#This Row],[PM Hi]]-Table133[[#This Row],[Lowest lo from open to squeeze]])/(Table133[[#This Row],[PM Hi]]-Table133[[#This Row],[PM LO]])))))</f>
        <v>#DIV/0!</v>
      </c>
      <c r="AO128" s="18" t="e">
        <f>IF(J128&gt;=F128,(J128-K128)/(J128-D128),(IF(H128&lt;=K128,(F128-H128)/(F128-D128),(Table133[[#This Row],[PM Hi]]-Table133[[#This Row],[Lowest lo from open to squeeze]])/(Table133[[#This Row],[PM Hi]]-Table133[[#This Row],[Prior day close]]))))</f>
        <v>#DIV/0!</v>
      </c>
      <c r="AP128" s="17">
        <f>390+Table133[[#This Row],[Time until ideal entry point (mins) from open]]</f>
        <v>390</v>
      </c>
      <c r="AQ128" s="17">
        <f>Table133[[#This Row],[Time until ideal entry + 390 (6:30)]]+Table133[[#This Row],[Duration of frontside (mins)]]</f>
        <v>390</v>
      </c>
    </row>
    <row r="129" spans="1:43" x14ac:dyDescent="0.25">
      <c r="A129" s="24" t="s">
        <v>204</v>
      </c>
      <c r="B129" s="47">
        <v>44039</v>
      </c>
      <c r="C129" s="47" t="s">
        <v>143</v>
      </c>
      <c r="D129" s="12"/>
      <c r="E129" s="13"/>
      <c r="F129" s="12"/>
      <c r="G129" s="12"/>
      <c r="H129" s="12"/>
      <c r="I129" s="12"/>
      <c r="J129" s="12"/>
      <c r="K129" s="12"/>
      <c r="N129" s="13"/>
      <c r="P129" s="37"/>
      <c r="Q129" s="46"/>
      <c r="R129" s="37"/>
      <c r="S129" s="37"/>
      <c r="T129" s="37"/>
      <c r="U129" s="38"/>
      <c r="V129" s="46"/>
      <c r="W129" s="37"/>
      <c r="X129" s="46"/>
      <c r="Y129" s="41">
        <f>Table133[[#This Row],[Time until ideal entry + 390 (6:30)]]/(1440)</f>
        <v>0.27083333333333331</v>
      </c>
      <c r="Z129" s="18" t="e">
        <f t="shared" si="10"/>
        <v>#DIV/0!</v>
      </c>
      <c r="AA129" s="18" t="e">
        <f>IF(Table133[[#This Row],[HOD AFTER PM HI]]&gt;=Table133[[#This Row],[PM Hi]],((Table133[[#This Row],[HOD AFTER PM HI]]-Table133[[#This Row],[Prior day close]])/Table133[[#This Row],[Prior day close]]),Table133[[#This Row],[Prior Close to PM Hi %]])</f>
        <v>#DIV/0!</v>
      </c>
      <c r="AB129" s="42" t="e">
        <f>(Table133[[#This Row],[Price at hi of squeeze]]-Table133[[#This Row],[MKT Open Price]])/Table133[[#This Row],[MKT Open Price]]</f>
        <v>#DIV/0!</v>
      </c>
      <c r="AC129" s="18" t="e">
        <f>(Table133[[#This Row],[Price at hi of squeeze]]-Table133[[#This Row],[PM Hi]])/Table133[[#This Row],[PM Hi]]</f>
        <v>#DIV/0!</v>
      </c>
      <c r="AD129" s="18"/>
      <c r="AE129" s="20" t="e">
        <f>Table133[[#This Row],[PM VOL]]/1000000/Table133[[#This Row],[FLOAT(M)]]</f>
        <v>#DIV/0!</v>
      </c>
      <c r="AF129" s="23" t="e">
        <f>(Table133[[#This Row],[Volume]]/1000000)/Table133[[#This Row],[FLOAT(M)]]</f>
        <v>#DIV/0!</v>
      </c>
      <c r="AH129" s="18" t="e">
        <f>(Table133[[#This Row],[PM Hi]]-Table133[[#This Row],[MKT Open Price]])/(Table133[[#This Row],[PM Hi]])</f>
        <v>#DIV/0!</v>
      </c>
      <c r="AI129" s="18" t="e">
        <f>IF(Table133[[#This Row],[PM LO]]&gt;Table133[[#This Row],[Prior day close]],(Table133[[#This Row],[PM Hi]]-Table133[[#This Row],[MKT Open Price]])/(Table133[[#This Row],[PM Hi]]-Table133[[#This Row],[Prior day close]]),(Table133[[#This Row],[PM Hi]]-Table133[[#This Row],[MKT Open Price]])/(Table133[[#This Row],[PM Hi]]-Table133[[#This Row],[PM LO]]))</f>
        <v>#DIV/0!</v>
      </c>
      <c r="AJ129" s="48" t="e">
        <f>IF(Table133[[#This Row],[Prior day close]]&lt;Table133[[#This Row],[PM LO]],(I129-K129)/(I129-Table133[[#This Row],[Prior day close]]),(I129-K129)/(I129-Table133[[#This Row],[PM LO]]))</f>
        <v>#DIV/0!</v>
      </c>
      <c r="AK129" s="48" t="e">
        <f>Table133[[#This Row],[Spike % on open before drop]]+AL129</f>
        <v>#DIV/0!</v>
      </c>
      <c r="AL129" s="16" t="e">
        <f t="shared" si="9"/>
        <v>#DIV/0!</v>
      </c>
      <c r="AM129" s="18" t="e">
        <f>IF($J129&gt;=$F129,($J129-$K129)/($J129),(IF($H129&lt;=$K129,($F129-$H129)/($F129),(Table133[[#This Row],[PM Hi]]-Table133[[#This Row],[Lowest lo from open to squeeze]])/(Table133[[#This Row],[PM Hi]]))))</f>
        <v>#DIV/0!</v>
      </c>
      <c r="AN129" s="48" t="e">
        <f>IF(Table133[[#This Row],[Prior day close]]&lt;=Table133[[#This Row],[PM LO]],IF($J129&gt;=$F129,($J129-$K129)/($J129-Table133[[#This Row],[Prior day close]]),(IF($H129&lt;=$K129,($F129-$H129)/($F129-Table133[[#This Row],[Prior day close]]),(Table133[[#This Row],[PM Hi]]-Table133[[#This Row],[Lowest lo from open to squeeze]])/(Table133[[#This Row],[PM Hi]]-Table133[[#This Row],[Prior day close]])))),IF($J129&gt;=$F129,($J129-$K129)/($J129-Table133[[#This Row],[PM LO]]),(IF($H129&lt;=$K129,($F129-$H129)/($F129-Table133[[#This Row],[PM LO]]),(Table133[[#This Row],[PM Hi]]-Table133[[#This Row],[Lowest lo from open to squeeze]])/(Table133[[#This Row],[PM Hi]]-Table133[[#This Row],[PM LO]])))))</f>
        <v>#DIV/0!</v>
      </c>
      <c r="AO129" s="18" t="e">
        <f>IF(J129&gt;=F129,(J129-K129)/(J129-D129),(IF(H129&lt;=K129,(F129-H129)/(F129-D129),(Table133[[#This Row],[PM Hi]]-Table133[[#This Row],[Lowest lo from open to squeeze]])/(Table133[[#This Row],[PM Hi]]-Table133[[#This Row],[Prior day close]]))))</f>
        <v>#DIV/0!</v>
      </c>
      <c r="AP129" s="17">
        <f>390+Table133[[#This Row],[Time until ideal entry point (mins) from open]]</f>
        <v>390</v>
      </c>
      <c r="AQ129" s="17">
        <f>Table133[[#This Row],[Time until ideal entry + 390 (6:30)]]+Table133[[#This Row],[Duration of frontside (mins)]]</f>
        <v>390</v>
      </c>
    </row>
    <row r="130" spans="1:43" x14ac:dyDescent="0.25">
      <c r="A130" s="24" t="s">
        <v>189</v>
      </c>
      <c r="B130" s="47">
        <v>43985</v>
      </c>
      <c r="C130" s="47" t="s">
        <v>143</v>
      </c>
      <c r="D130" s="12"/>
      <c r="E130" s="13"/>
      <c r="F130" s="12"/>
      <c r="G130" s="12"/>
      <c r="H130" s="12"/>
      <c r="I130" s="12"/>
      <c r="J130" s="12"/>
      <c r="K130" s="12"/>
      <c r="N130" s="13"/>
      <c r="P130" s="37"/>
      <c r="Q130" s="46"/>
      <c r="R130" s="37"/>
      <c r="S130" s="37"/>
      <c r="T130" s="37"/>
      <c r="U130" s="38"/>
      <c r="V130" s="46"/>
      <c r="W130" s="37"/>
      <c r="X130" s="46"/>
      <c r="Y130" s="41">
        <f>Table133[[#This Row],[Time until ideal entry + 390 (6:30)]]/(1440)</f>
        <v>0.27083333333333331</v>
      </c>
      <c r="Z130" s="18" t="e">
        <f t="shared" si="10"/>
        <v>#DIV/0!</v>
      </c>
      <c r="AA130" s="18" t="e">
        <f>IF(Table133[[#This Row],[HOD AFTER PM HI]]&gt;=Table133[[#This Row],[PM Hi]],((Table133[[#This Row],[HOD AFTER PM HI]]-Table133[[#This Row],[Prior day close]])/Table133[[#This Row],[Prior day close]]),Table133[[#This Row],[Prior Close to PM Hi %]])</f>
        <v>#DIV/0!</v>
      </c>
      <c r="AB130" s="42" t="e">
        <f>(Table133[[#This Row],[Price at hi of squeeze]]-Table133[[#This Row],[MKT Open Price]])/Table133[[#This Row],[MKT Open Price]]</f>
        <v>#DIV/0!</v>
      </c>
      <c r="AC130" s="18" t="e">
        <f>(Table133[[#This Row],[Price at hi of squeeze]]-Table133[[#This Row],[PM Hi]])/Table133[[#This Row],[PM Hi]]</f>
        <v>#DIV/0!</v>
      </c>
      <c r="AD130" s="18"/>
      <c r="AE130" s="20" t="e">
        <f>Table133[[#This Row],[PM VOL]]/1000000/Table133[[#This Row],[FLOAT(M)]]</f>
        <v>#DIV/0!</v>
      </c>
      <c r="AF130" s="23" t="e">
        <f>(Table133[[#This Row],[Volume]]/1000000)/Table133[[#This Row],[FLOAT(M)]]</f>
        <v>#DIV/0!</v>
      </c>
      <c r="AH130" s="18" t="e">
        <f>(Table133[[#This Row],[PM Hi]]-Table133[[#This Row],[MKT Open Price]])/(Table133[[#This Row],[PM Hi]])</f>
        <v>#DIV/0!</v>
      </c>
      <c r="AI130" s="18" t="e">
        <f>IF(Table133[[#This Row],[PM LO]]&gt;Table133[[#This Row],[Prior day close]],(Table133[[#This Row],[PM Hi]]-Table133[[#This Row],[MKT Open Price]])/(Table133[[#This Row],[PM Hi]]-Table133[[#This Row],[Prior day close]]),(Table133[[#This Row],[PM Hi]]-Table133[[#This Row],[MKT Open Price]])/(Table133[[#This Row],[PM Hi]]-Table133[[#This Row],[PM LO]]))</f>
        <v>#DIV/0!</v>
      </c>
      <c r="AJ130" s="48" t="e">
        <f>IF(Table133[[#This Row],[Prior day close]]&lt;Table133[[#This Row],[PM LO]],(I130-K130)/(I130-Table133[[#This Row],[Prior day close]]),(I130-K130)/(I130-Table133[[#This Row],[PM LO]]))</f>
        <v>#DIV/0!</v>
      </c>
      <c r="AK130" s="48" t="e">
        <f>Table133[[#This Row],[Spike % on open before drop]]+AL130</f>
        <v>#DIV/0!</v>
      </c>
      <c r="AL130" s="16" t="e">
        <f t="shared" ref="AL130:AL161" si="11">(I130-K130)/I130</f>
        <v>#DIV/0!</v>
      </c>
      <c r="AM130" s="18" t="e">
        <f>IF($J130&gt;=$F130,($J130-$K130)/($J130),(IF($H130&lt;=$K130,($F130-$H130)/($F130),(Table133[[#This Row],[PM Hi]]-Table133[[#This Row],[Lowest lo from open to squeeze]])/(Table133[[#This Row],[PM Hi]]))))</f>
        <v>#DIV/0!</v>
      </c>
      <c r="AN130" s="48" t="e">
        <f>IF(Table133[[#This Row],[Prior day close]]&lt;=Table133[[#This Row],[PM LO]],IF($J130&gt;=$F130,($J130-$K130)/($J130-Table133[[#This Row],[Prior day close]]),(IF($H130&lt;=$K130,($F130-$H130)/($F130-Table133[[#This Row],[Prior day close]]),(Table133[[#This Row],[PM Hi]]-Table133[[#This Row],[Lowest lo from open to squeeze]])/(Table133[[#This Row],[PM Hi]]-Table133[[#This Row],[Prior day close]])))),IF($J130&gt;=$F130,($J130-$K130)/($J130-Table133[[#This Row],[PM LO]]),(IF($H130&lt;=$K130,($F130-$H130)/($F130-Table133[[#This Row],[PM LO]]),(Table133[[#This Row],[PM Hi]]-Table133[[#This Row],[Lowest lo from open to squeeze]])/(Table133[[#This Row],[PM Hi]]-Table133[[#This Row],[PM LO]])))))</f>
        <v>#DIV/0!</v>
      </c>
      <c r="AO130" s="18" t="e">
        <f>IF(J130&gt;=F130,(J130-K130)/(J130-D130),(IF(H130&lt;=K130,(F130-H130)/(F130-D130),(Table133[[#This Row],[PM Hi]]-Table133[[#This Row],[Lowest lo from open to squeeze]])/(Table133[[#This Row],[PM Hi]]-Table133[[#This Row],[Prior day close]]))))</f>
        <v>#DIV/0!</v>
      </c>
      <c r="AP130" s="17">
        <f>390+Table133[[#This Row],[Time until ideal entry point (mins) from open]]</f>
        <v>390</v>
      </c>
      <c r="AQ130" s="17">
        <f>Table133[[#This Row],[Time until ideal entry + 390 (6:30)]]+Table133[[#This Row],[Duration of frontside (mins)]]</f>
        <v>390</v>
      </c>
    </row>
    <row r="131" spans="1:43" x14ac:dyDescent="0.25">
      <c r="A131" s="24" t="s">
        <v>192</v>
      </c>
      <c r="B131" s="47">
        <v>43992</v>
      </c>
      <c r="C131" s="47" t="s">
        <v>256</v>
      </c>
      <c r="D131" s="12"/>
      <c r="E131" s="13"/>
      <c r="F131" s="12"/>
      <c r="G131" s="12"/>
      <c r="H131" s="12"/>
      <c r="I131" s="12"/>
      <c r="J131" s="12"/>
      <c r="K131" s="12"/>
      <c r="N131" s="13"/>
      <c r="P131" s="37"/>
      <c r="Q131" s="46"/>
      <c r="R131" s="37"/>
      <c r="S131" s="37"/>
      <c r="T131" s="37"/>
      <c r="U131" s="38"/>
      <c r="V131" s="46"/>
      <c r="W131" s="37"/>
      <c r="X131" s="46"/>
      <c r="Y131" s="41">
        <f>Table133[[#This Row],[Time until ideal entry + 390 (6:30)]]/(1440)</f>
        <v>0.27083333333333331</v>
      </c>
      <c r="Z131" s="18" t="e">
        <f t="shared" si="10"/>
        <v>#DIV/0!</v>
      </c>
      <c r="AA131" s="18" t="e">
        <f>IF(Table133[[#This Row],[HOD AFTER PM HI]]&gt;=Table133[[#This Row],[PM Hi]],((Table133[[#This Row],[HOD AFTER PM HI]]-Table133[[#This Row],[Prior day close]])/Table133[[#This Row],[Prior day close]]),Table133[[#This Row],[Prior Close to PM Hi %]])</f>
        <v>#DIV/0!</v>
      </c>
      <c r="AB131" s="42" t="e">
        <f>(Table133[[#This Row],[Price at hi of squeeze]]-Table133[[#This Row],[MKT Open Price]])/Table133[[#This Row],[MKT Open Price]]</f>
        <v>#DIV/0!</v>
      </c>
      <c r="AC131" s="18" t="e">
        <f>(Table133[[#This Row],[Price at hi of squeeze]]-Table133[[#This Row],[PM Hi]])/Table133[[#This Row],[PM Hi]]</f>
        <v>#DIV/0!</v>
      </c>
      <c r="AD131" s="18"/>
      <c r="AE131" s="20" t="e">
        <f>Table133[[#This Row],[PM VOL]]/1000000/Table133[[#This Row],[FLOAT(M)]]</f>
        <v>#DIV/0!</v>
      </c>
      <c r="AF131" s="23" t="e">
        <f>(Table133[[#This Row],[Volume]]/1000000)/Table133[[#This Row],[FLOAT(M)]]</f>
        <v>#DIV/0!</v>
      </c>
      <c r="AH131" s="18" t="e">
        <f>(Table133[[#This Row],[PM Hi]]-Table133[[#This Row],[MKT Open Price]])/(Table133[[#This Row],[PM Hi]])</f>
        <v>#DIV/0!</v>
      </c>
      <c r="AI131" s="18" t="e">
        <f>IF(Table133[[#This Row],[PM LO]]&gt;Table133[[#This Row],[Prior day close]],(Table133[[#This Row],[PM Hi]]-Table133[[#This Row],[MKT Open Price]])/(Table133[[#This Row],[PM Hi]]-Table133[[#This Row],[Prior day close]]),(Table133[[#This Row],[PM Hi]]-Table133[[#This Row],[MKT Open Price]])/(Table133[[#This Row],[PM Hi]]-Table133[[#This Row],[PM LO]]))</f>
        <v>#DIV/0!</v>
      </c>
      <c r="AJ131" s="48" t="e">
        <f>IF(Table133[[#This Row],[Prior day close]]&lt;Table133[[#This Row],[PM LO]],(I131-K131)/(I131-Table133[[#This Row],[Prior day close]]),(I131-K131)/(I131-Table133[[#This Row],[PM LO]]))</f>
        <v>#DIV/0!</v>
      </c>
      <c r="AK131" s="48" t="e">
        <f>Table133[[#This Row],[Spike % on open before drop]]+AL131</f>
        <v>#DIV/0!</v>
      </c>
      <c r="AL131" s="16" t="e">
        <f t="shared" si="11"/>
        <v>#DIV/0!</v>
      </c>
      <c r="AM131" s="18" t="e">
        <f>IF($J131&gt;=$F131,($J131-$K131)/($J131),(IF($H131&lt;=$K131,($F131-$H131)/($F131),(Table133[[#This Row],[PM Hi]]-Table133[[#This Row],[Lowest lo from open to squeeze]])/(Table133[[#This Row],[PM Hi]]))))</f>
        <v>#DIV/0!</v>
      </c>
      <c r="AN131" s="48" t="e">
        <f>IF(Table133[[#This Row],[Prior day close]]&lt;=Table133[[#This Row],[PM LO]],IF($J131&gt;=$F131,($J131-$K131)/($J131-Table133[[#This Row],[Prior day close]]),(IF($H131&lt;=$K131,($F131-$H131)/($F131-Table133[[#This Row],[Prior day close]]),(Table133[[#This Row],[PM Hi]]-Table133[[#This Row],[Lowest lo from open to squeeze]])/(Table133[[#This Row],[PM Hi]]-Table133[[#This Row],[Prior day close]])))),IF($J131&gt;=$F131,($J131-$K131)/($J131-Table133[[#This Row],[PM LO]]),(IF($H131&lt;=$K131,($F131-$H131)/($F131-Table133[[#This Row],[PM LO]]),(Table133[[#This Row],[PM Hi]]-Table133[[#This Row],[Lowest lo from open to squeeze]])/(Table133[[#This Row],[PM Hi]]-Table133[[#This Row],[PM LO]])))))</f>
        <v>#DIV/0!</v>
      </c>
      <c r="AO131" s="18" t="e">
        <f>IF(J131&gt;=F131,(J131-K131)/(J131-D131),(IF(H131&lt;=K131,(F131-H131)/(F131-D131),(Table133[[#This Row],[PM Hi]]-Table133[[#This Row],[Lowest lo from open to squeeze]])/(Table133[[#This Row],[PM Hi]]-Table133[[#This Row],[Prior day close]]))))</f>
        <v>#DIV/0!</v>
      </c>
      <c r="AP131" s="17">
        <f>390+Table133[[#This Row],[Time until ideal entry point (mins) from open]]</f>
        <v>390</v>
      </c>
      <c r="AQ131" s="17">
        <f>Table133[[#This Row],[Time until ideal entry + 390 (6:30)]]+Table133[[#This Row],[Duration of frontside (mins)]]</f>
        <v>390</v>
      </c>
    </row>
    <row r="132" spans="1:43" x14ac:dyDescent="0.25">
      <c r="A132" s="24" t="s">
        <v>180</v>
      </c>
      <c r="B132" s="47">
        <v>43951</v>
      </c>
      <c r="C132" s="47" t="s">
        <v>143</v>
      </c>
      <c r="D132" s="12"/>
      <c r="E132" s="13"/>
      <c r="F132" s="12"/>
      <c r="G132" s="12"/>
      <c r="H132" s="12"/>
      <c r="I132" s="12"/>
      <c r="J132" s="12"/>
      <c r="K132" s="12"/>
      <c r="N132" s="13"/>
      <c r="P132" s="37"/>
      <c r="Q132" s="46"/>
      <c r="R132" s="37"/>
      <c r="S132" s="37"/>
      <c r="T132" s="37"/>
      <c r="U132" s="38"/>
      <c r="V132" s="46"/>
      <c r="W132" s="37"/>
      <c r="X132" s="46"/>
      <c r="Y132" s="41">
        <f>Table133[[#This Row],[Time until ideal entry + 390 (6:30)]]/(1440)</f>
        <v>0.27083333333333331</v>
      </c>
      <c r="Z132" s="18" t="e">
        <f t="shared" si="10"/>
        <v>#DIV/0!</v>
      </c>
      <c r="AA132" s="18" t="e">
        <f>IF(Table133[[#This Row],[HOD AFTER PM HI]]&gt;=Table133[[#This Row],[PM Hi]],((Table133[[#This Row],[HOD AFTER PM HI]]-Table133[[#This Row],[Prior day close]])/Table133[[#This Row],[Prior day close]]),Table133[[#This Row],[Prior Close to PM Hi %]])</f>
        <v>#DIV/0!</v>
      </c>
      <c r="AB132" s="42" t="e">
        <f>(Table133[[#This Row],[Price at hi of squeeze]]-Table133[[#This Row],[MKT Open Price]])/Table133[[#This Row],[MKT Open Price]]</f>
        <v>#DIV/0!</v>
      </c>
      <c r="AC132" s="18" t="e">
        <f>(Table133[[#This Row],[Price at hi of squeeze]]-Table133[[#This Row],[PM Hi]])/Table133[[#This Row],[PM Hi]]</f>
        <v>#DIV/0!</v>
      </c>
      <c r="AD132" s="18"/>
      <c r="AE132" s="20" t="e">
        <f>Table133[[#This Row],[PM VOL]]/1000000/Table133[[#This Row],[FLOAT(M)]]</f>
        <v>#DIV/0!</v>
      </c>
      <c r="AF132" s="23" t="e">
        <f>(Table133[[#This Row],[Volume]]/1000000)/Table133[[#This Row],[FLOAT(M)]]</f>
        <v>#DIV/0!</v>
      </c>
      <c r="AH132" s="18" t="e">
        <f>(Table133[[#This Row],[PM Hi]]-Table133[[#This Row],[MKT Open Price]])/(Table133[[#This Row],[PM Hi]])</f>
        <v>#DIV/0!</v>
      </c>
      <c r="AI132" s="18" t="e">
        <f>IF(Table133[[#This Row],[PM LO]]&gt;Table133[[#This Row],[Prior day close]],(Table133[[#This Row],[PM Hi]]-Table133[[#This Row],[MKT Open Price]])/(Table133[[#This Row],[PM Hi]]-Table133[[#This Row],[Prior day close]]),(Table133[[#This Row],[PM Hi]]-Table133[[#This Row],[MKT Open Price]])/(Table133[[#This Row],[PM Hi]]-Table133[[#This Row],[PM LO]]))</f>
        <v>#DIV/0!</v>
      </c>
      <c r="AJ132" s="48" t="e">
        <f>IF(Table133[[#This Row],[Prior day close]]&lt;Table133[[#This Row],[PM LO]],(I132-K132)/(I132-Table133[[#This Row],[Prior day close]]),(I132-K132)/(I132-Table133[[#This Row],[PM LO]]))</f>
        <v>#DIV/0!</v>
      </c>
      <c r="AK132" s="48" t="e">
        <f>Table133[[#This Row],[Spike % on open before drop]]+AL132</f>
        <v>#DIV/0!</v>
      </c>
      <c r="AL132" s="16" t="e">
        <f t="shared" si="11"/>
        <v>#DIV/0!</v>
      </c>
      <c r="AM132" s="18" t="e">
        <f>IF($J132&gt;=$F132,($J132-$K132)/($J132),(IF($H132&lt;=$K132,($F132-$H132)/($F132),(Table133[[#This Row],[PM Hi]]-Table133[[#This Row],[Lowest lo from open to squeeze]])/(Table133[[#This Row],[PM Hi]]))))</f>
        <v>#DIV/0!</v>
      </c>
      <c r="AN132" s="48" t="e">
        <f>IF(Table133[[#This Row],[Prior day close]]&lt;=Table133[[#This Row],[PM LO]],IF($J132&gt;=$F132,($J132-$K132)/($J132-Table133[[#This Row],[Prior day close]]),(IF($H132&lt;=$K132,($F132-$H132)/($F132-Table133[[#This Row],[Prior day close]]),(Table133[[#This Row],[PM Hi]]-Table133[[#This Row],[Lowest lo from open to squeeze]])/(Table133[[#This Row],[PM Hi]]-Table133[[#This Row],[Prior day close]])))),IF($J132&gt;=$F132,($J132-$K132)/($J132-Table133[[#This Row],[PM LO]]),(IF($H132&lt;=$K132,($F132-$H132)/($F132-Table133[[#This Row],[PM LO]]),(Table133[[#This Row],[PM Hi]]-Table133[[#This Row],[Lowest lo from open to squeeze]])/(Table133[[#This Row],[PM Hi]]-Table133[[#This Row],[PM LO]])))))</f>
        <v>#DIV/0!</v>
      </c>
      <c r="AO132" s="18" t="e">
        <f>IF(J132&gt;=F132,(J132-K132)/(J132-D132),(IF(H132&lt;=K132,(F132-H132)/(F132-D132),(Table133[[#This Row],[PM Hi]]-Table133[[#This Row],[Lowest lo from open to squeeze]])/(Table133[[#This Row],[PM Hi]]-Table133[[#This Row],[Prior day close]]))))</f>
        <v>#DIV/0!</v>
      </c>
      <c r="AP132" s="17">
        <f>390+Table133[[#This Row],[Time until ideal entry point (mins) from open]]</f>
        <v>390</v>
      </c>
      <c r="AQ132" s="17">
        <f>Table133[[#This Row],[Time until ideal entry + 390 (6:30)]]+Table133[[#This Row],[Duration of frontside (mins)]]</f>
        <v>390</v>
      </c>
    </row>
    <row r="133" spans="1:43" x14ac:dyDescent="0.25">
      <c r="A133" s="24" t="s">
        <v>199</v>
      </c>
      <c r="B133" s="47">
        <v>44006</v>
      </c>
      <c r="C133" s="47" t="s">
        <v>256</v>
      </c>
      <c r="D133" s="12"/>
      <c r="E133" s="13"/>
      <c r="F133" s="12"/>
      <c r="G133" s="12"/>
      <c r="H133" s="12"/>
      <c r="I133" s="12"/>
      <c r="J133" s="12"/>
      <c r="K133" s="12"/>
      <c r="N133" s="13"/>
      <c r="P133" s="37"/>
      <c r="Q133" s="46"/>
      <c r="R133" s="37"/>
      <c r="S133" s="37"/>
      <c r="T133" s="37"/>
      <c r="U133" s="38"/>
      <c r="V133" s="46"/>
      <c r="W133" s="37"/>
      <c r="X133" s="46"/>
      <c r="Y133" s="41">
        <f>Table133[[#This Row],[Time until ideal entry + 390 (6:30)]]/(1440)</f>
        <v>0.27083333333333331</v>
      </c>
      <c r="Z133" s="18" t="e">
        <f t="shared" si="10"/>
        <v>#DIV/0!</v>
      </c>
      <c r="AA133" s="18" t="e">
        <f>IF(Table133[[#This Row],[HOD AFTER PM HI]]&gt;=Table133[[#This Row],[PM Hi]],((Table133[[#This Row],[HOD AFTER PM HI]]-Table133[[#This Row],[Prior day close]])/Table133[[#This Row],[Prior day close]]),Table133[[#This Row],[Prior Close to PM Hi %]])</f>
        <v>#DIV/0!</v>
      </c>
      <c r="AB133" s="42" t="e">
        <f>(Table133[[#This Row],[Price at hi of squeeze]]-Table133[[#This Row],[MKT Open Price]])/Table133[[#This Row],[MKT Open Price]]</f>
        <v>#DIV/0!</v>
      </c>
      <c r="AC133" s="18" t="e">
        <f>(Table133[[#This Row],[Price at hi of squeeze]]-Table133[[#This Row],[PM Hi]])/Table133[[#This Row],[PM Hi]]</f>
        <v>#DIV/0!</v>
      </c>
      <c r="AD133" s="18"/>
      <c r="AE133" s="20" t="e">
        <f>Table133[[#This Row],[PM VOL]]/1000000/Table133[[#This Row],[FLOAT(M)]]</f>
        <v>#DIV/0!</v>
      </c>
      <c r="AF133" s="23" t="e">
        <f>(Table133[[#This Row],[Volume]]/1000000)/Table133[[#This Row],[FLOAT(M)]]</f>
        <v>#DIV/0!</v>
      </c>
      <c r="AH133" s="18" t="e">
        <f>(Table133[[#This Row],[PM Hi]]-Table133[[#This Row],[MKT Open Price]])/(Table133[[#This Row],[PM Hi]])</f>
        <v>#DIV/0!</v>
      </c>
      <c r="AI133" s="18" t="e">
        <f>IF(Table133[[#This Row],[PM LO]]&gt;Table133[[#This Row],[Prior day close]],(Table133[[#This Row],[PM Hi]]-Table133[[#This Row],[MKT Open Price]])/(Table133[[#This Row],[PM Hi]]-Table133[[#This Row],[Prior day close]]),(Table133[[#This Row],[PM Hi]]-Table133[[#This Row],[MKT Open Price]])/(Table133[[#This Row],[PM Hi]]-Table133[[#This Row],[PM LO]]))</f>
        <v>#DIV/0!</v>
      </c>
      <c r="AJ133" s="48" t="e">
        <f>IF(Table133[[#This Row],[Prior day close]]&lt;Table133[[#This Row],[PM LO]],(I133-K133)/(I133-Table133[[#This Row],[Prior day close]]),(I133-K133)/(I133-Table133[[#This Row],[PM LO]]))</f>
        <v>#DIV/0!</v>
      </c>
      <c r="AK133" s="48" t="e">
        <f>Table133[[#This Row],[Spike % on open before drop]]+AL133</f>
        <v>#DIV/0!</v>
      </c>
      <c r="AL133" s="16" t="e">
        <f t="shared" si="11"/>
        <v>#DIV/0!</v>
      </c>
      <c r="AM133" s="18" t="e">
        <f>IF($J133&gt;=$F133,($J133-$K133)/($J133),(IF($H133&lt;=$K133,($F133-$H133)/($F133),(Table133[[#This Row],[PM Hi]]-Table133[[#This Row],[Lowest lo from open to squeeze]])/(Table133[[#This Row],[PM Hi]]))))</f>
        <v>#DIV/0!</v>
      </c>
      <c r="AN133" s="48" t="e">
        <f>IF(Table133[[#This Row],[Prior day close]]&lt;=Table133[[#This Row],[PM LO]],IF($J133&gt;=$F133,($J133-$K133)/($J133-Table133[[#This Row],[Prior day close]]),(IF($H133&lt;=$K133,($F133-$H133)/($F133-Table133[[#This Row],[Prior day close]]),(Table133[[#This Row],[PM Hi]]-Table133[[#This Row],[Lowest lo from open to squeeze]])/(Table133[[#This Row],[PM Hi]]-Table133[[#This Row],[Prior day close]])))),IF($J133&gt;=$F133,($J133-$K133)/($J133-Table133[[#This Row],[PM LO]]),(IF($H133&lt;=$K133,($F133-$H133)/($F133-Table133[[#This Row],[PM LO]]),(Table133[[#This Row],[PM Hi]]-Table133[[#This Row],[Lowest lo from open to squeeze]])/(Table133[[#This Row],[PM Hi]]-Table133[[#This Row],[PM LO]])))))</f>
        <v>#DIV/0!</v>
      </c>
      <c r="AO133" s="18" t="e">
        <f>IF(J133&gt;=F133,(J133-K133)/(J133-D133),(IF(H133&lt;=K133,(F133-H133)/(F133-D133),(Table133[[#This Row],[PM Hi]]-Table133[[#This Row],[Lowest lo from open to squeeze]])/(Table133[[#This Row],[PM Hi]]-Table133[[#This Row],[Prior day close]]))))</f>
        <v>#DIV/0!</v>
      </c>
      <c r="AP133" s="17">
        <f>390+Table133[[#This Row],[Time until ideal entry point (mins) from open]]</f>
        <v>390</v>
      </c>
      <c r="AQ133" s="17">
        <f>Table133[[#This Row],[Time until ideal entry + 390 (6:30)]]+Table133[[#This Row],[Duration of frontside (mins)]]</f>
        <v>390</v>
      </c>
    </row>
    <row r="134" spans="1:43" x14ac:dyDescent="0.25">
      <c r="A134" s="24" t="s">
        <v>202</v>
      </c>
      <c r="B134" s="47">
        <v>44033</v>
      </c>
      <c r="C134" s="47" t="s">
        <v>256</v>
      </c>
      <c r="D134" s="12"/>
      <c r="E134" s="13"/>
      <c r="F134" s="12"/>
      <c r="G134" s="12"/>
      <c r="H134" s="12"/>
      <c r="I134" s="12"/>
      <c r="J134" s="12"/>
      <c r="K134" s="12"/>
      <c r="N134" s="13"/>
      <c r="P134" s="37"/>
      <c r="Q134" s="46"/>
      <c r="R134" s="37"/>
      <c r="S134" s="37"/>
      <c r="T134" s="37"/>
      <c r="U134" s="38"/>
      <c r="V134" s="46"/>
      <c r="W134" s="37"/>
      <c r="X134" s="46"/>
      <c r="Y134" s="41">
        <f>Table133[[#This Row],[Time until ideal entry + 390 (6:30)]]/(1440)</f>
        <v>0.27083333333333331</v>
      </c>
      <c r="Z134" s="18" t="e">
        <f t="shared" si="10"/>
        <v>#DIV/0!</v>
      </c>
      <c r="AA134" s="18" t="e">
        <f>IF(Table133[[#This Row],[HOD AFTER PM HI]]&gt;=Table133[[#This Row],[PM Hi]],((Table133[[#This Row],[HOD AFTER PM HI]]-Table133[[#This Row],[Prior day close]])/Table133[[#This Row],[Prior day close]]),Table133[[#This Row],[Prior Close to PM Hi %]])</f>
        <v>#DIV/0!</v>
      </c>
      <c r="AB134" s="42" t="e">
        <f>(Table133[[#This Row],[Price at hi of squeeze]]-Table133[[#This Row],[MKT Open Price]])/Table133[[#This Row],[MKT Open Price]]</f>
        <v>#DIV/0!</v>
      </c>
      <c r="AC134" s="18" t="e">
        <f>(Table133[[#This Row],[Price at hi of squeeze]]-Table133[[#This Row],[PM Hi]])/Table133[[#This Row],[PM Hi]]</f>
        <v>#DIV/0!</v>
      </c>
      <c r="AD134" s="18"/>
      <c r="AE134" s="20" t="e">
        <f>Table133[[#This Row],[PM VOL]]/1000000/Table133[[#This Row],[FLOAT(M)]]</f>
        <v>#DIV/0!</v>
      </c>
      <c r="AF134" s="23" t="e">
        <f>(Table133[[#This Row],[Volume]]/1000000)/Table133[[#This Row],[FLOAT(M)]]</f>
        <v>#DIV/0!</v>
      </c>
      <c r="AH134" s="18" t="e">
        <f>(Table133[[#This Row],[PM Hi]]-Table133[[#This Row],[MKT Open Price]])/(Table133[[#This Row],[PM Hi]])</f>
        <v>#DIV/0!</v>
      </c>
      <c r="AI134" s="18" t="e">
        <f>IF(Table133[[#This Row],[PM LO]]&gt;Table133[[#This Row],[Prior day close]],(Table133[[#This Row],[PM Hi]]-Table133[[#This Row],[MKT Open Price]])/(Table133[[#This Row],[PM Hi]]-Table133[[#This Row],[Prior day close]]),(Table133[[#This Row],[PM Hi]]-Table133[[#This Row],[MKT Open Price]])/(Table133[[#This Row],[PM Hi]]-Table133[[#This Row],[PM LO]]))</f>
        <v>#DIV/0!</v>
      </c>
      <c r="AJ134" s="48" t="e">
        <f>IF(Table133[[#This Row],[Prior day close]]&lt;Table133[[#This Row],[PM LO]],(I134-K134)/(I134-Table133[[#This Row],[Prior day close]]),(I134-K134)/(I134-Table133[[#This Row],[PM LO]]))</f>
        <v>#DIV/0!</v>
      </c>
      <c r="AK134" s="48" t="e">
        <f>Table133[[#This Row],[Spike % on open before drop]]+AL134</f>
        <v>#DIV/0!</v>
      </c>
      <c r="AL134" s="16" t="e">
        <f t="shared" si="11"/>
        <v>#DIV/0!</v>
      </c>
      <c r="AM134" s="18" t="e">
        <f>IF($J134&gt;=$F134,($J134-$K134)/($J134),(IF($H134&lt;=$K134,($F134-$H134)/($F134),(Table133[[#This Row],[PM Hi]]-Table133[[#This Row],[Lowest lo from open to squeeze]])/(Table133[[#This Row],[PM Hi]]))))</f>
        <v>#DIV/0!</v>
      </c>
      <c r="AN134" s="48" t="e">
        <f>IF(Table133[[#This Row],[Prior day close]]&lt;=Table133[[#This Row],[PM LO]],IF($J134&gt;=$F134,($J134-$K134)/($J134-Table133[[#This Row],[Prior day close]]),(IF($H134&lt;=$K134,($F134-$H134)/($F134-Table133[[#This Row],[Prior day close]]),(Table133[[#This Row],[PM Hi]]-Table133[[#This Row],[Lowest lo from open to squeeze]])/(Table133[[#This Row],[PM Hi]]-Table133[[#This Row],[Prior day close]])))),IF($J134&gt;=$F134,($J134-$K134)/($J134-Table133[[#This Row],[PM LO]]),(IF($H134&lt;=$K134,($F134-$H134)/($F134-Table133[[#This Row],[PM LO]]),(Table133[[#This Row],[PM Hi]]-Table133[[#This Row],[Lowest lo from open to squeeze]])/(Table133[[#This Row],[PM Hi]]-Table133[[#This Row],[PM LO]])))))</f>
        <v>#DIV/0!</v>
      </c>
      <c r="AO134" s="18" t="e">
        <f>IF(J134&gt;=F134,(J134-K134)/(J134-D134),(IF(H134&lt;=K134,(F134-H134)/(F134-D134),(Table133[[#This Row],[PM Hi]]-Table133[[#This Row],[Lowest lo from open to squeeze]])/(Table133[[#This Row],[PM Hi]]-Table133[[#This Row],[Prior day close]]))))</f>
        <v>#DIV/0!</v>
      </c>
      <c r="AP134" s="17">
        <f>390+Table133[[#This Row],[Time until ideal entry point (mins) from open]]</f>
        <v>390</v>
      </c>
      <c r="AQ134" s="17">
        <f>Table133[[#This Row],[Time until ideal entry + 390 (6:30)]]+Table133[[#This Row],[Duration of frontside (mins)]]</f>
        <v>390</v>
      </c>
    </row>
    <row r="135" spans="1:43" x14ac:dyDescent="0.25">
      <c r="A135" s="24" t="s">
        <v>203</v>
      </c>
      <c r="B135" s="47">
        <v>44033</v>
      </c>
      <c r="C135" s="47" t="s">
        <v>256</v>
      </c>
      <c r="D135" s="12"/>
      <c r="E135" s="13"/>
      <c r="F135" s="12"/>
      <c r="G135" s="12"/>
      <c r="H135" s="12"/>
      <c r="I135" s="12"/>
      <c r="J135" s="12"/>
      <c r="K135" s="12"/>
      <c r="N135" s="13"/>
      <c r="P135" s="37"/>
      <c r="Q135" s="46"/>
      <c r="R135" s="37"/>
      <c r="S135" s="37"/>
      <c r="T135" s="37"/>
      <c r="U135" s="38"/>
      <c r="V135" s="46"/>
      <c r="W135" s="37"/>
      <c r="X135" s="46"/>
      <c r="Y135" s="41">
        <f>Table133[[#This Row],[Time until ideal entry + 390 (6:30)]]/(1440)</f>
        <v>0.27083333333333331</v>
      </c>
      <c r="Z135" s="18" t="e">
        <f t="shared" ref="Z135:Z166" si="12">(F135-D135)/D135</f>
        <v>#DIV/0!</v>
      </c>
      <c r="AA135" s="18" t="e">
        <f>IF(Table133[[#This Row],[HOD AFTER PM HI]]&gt;=Table133[[#This Row],[PM Hi]],((Table133[[#This Row],[HOD AFTER PM HI]]-Table133[[#This Row],[Prior day close]])/Table133[[#This Row],[Prior day close]]),Table133[[#This Row],[Prior Close to PM Hi %]])</f>
        <v>#DIV/0!</v>
      </c>
      <c r="AB135" s="42" t="e">
        <f>(Table133[[#This Row],[Price at hi of squeeze]]-Table133[[#This Row],[MKT Open Price]])/Table133[[#This Row],[MKT Open Price]]</f>
        <v>#DIV/0!</v>
      </c>
      <c r="AC135" s="18" t="e">
        <f>(Table133[[#This Row],[Price at hi of squeeze]]-Table133[[#This Row],[PM Hi]])/Table133[[#This Row],[PM Hi]]</f>
        <v>#DIV/0!</v>
      </c>
      <c r="AD135" s="18"/>
      <c r="AE135" s="20" t="e">
        <f>Table133[[#This Row],[PM VOL]]/1000000/Table133[[#This Row],[FLOAT(M)]]</f>
        <v>#DIV/0!</v>
      </c>
      <c r="AF135" s="23" t="e">
        <f>(Table133[[#This Row],[Volume]]/1000000)/Table133[[#This Row],[FLOAT(M)]]</f>
        <v>#DIV/0!</v>
      </c>
      <c r="AH135" s="18" t="e">
        <f>(Table133[[#This Row],[PM Hi]]-Table133[[#This Row],[MKT Open Price]])/(Table133[[#This Row],[PM Hi]])</f>
        <v>#DIV/0!</v>
      </c>
      <c r="AI135" s="18" t="e">
        <f>IF(Table133[[#This Row],[PM LO]]&gt;Table133[[#This Row],[Prior day close]],(Table133[[#This Row],[PM Hi]]-Table133[[#This Row],[MKT Open Price]])/(Table133[[#This Row],[PM Hi]]-Table133[[#This Row],[Prior day close]]),(Table133[[#This Row],[PM Hi]]-Table133[[#This Row],[MKT Open Price]])/(Table133[[#This Row],[PM Hi]]-Table133[[#This Row],[PM LO]]))</f>
        <v>#DIV/0!</v>
      </c>
      <c r="AJ135" s="48" t="e">
        <f>IF(Table133[[#This Row],[Prior day close]]&lt;Table133[[#This Row],[PM LO]],(I135-K135)/(I135-Table133[[#This Row],[Prior day close]]),(I135-K135)/(I135-Table133[[#This Row],[PM LO]]))</f>
        <v>#DIV/0!</v>
      </c>
      <c r="AK135" s="48" t="e">
        <f>Table133[[#This Row],[Spike % on open before drop]]+AL135</f>
        <v>#DIV/0!</v>
      </c>
      <c r="AL135" s="16" t="e">
        <f t="shared" si="11"/>
        <v>#DIV/0!</v>
      </c>
      <c r="AM135" s="18" t="e">
        <f>IF($J135&gt;=$F135,($J135-$K135)/($J135),(IF($H135&lt;=$K135,($F135-$H135)/($F135),(Table133[[#This Row],[PM Hi]]-Table133[[#This Row],[Lowest lo from open to squeeze]])/(Table133[[#This Row],[PM Hi]]))))</f>
        <v>#DIV/0!</v>
      </c>
      <c r="AN135" s="48" t="e">
        <f>IF(Table133[[#This Row],[Prior day close]]&lt;=Table133[[#This Row],[PM LO]],IF($J135&gt;=$F135,($J135-$K135)/($J135-Table133[[#This Row],[Prior day close]]),(IF($H135&lt;=$K135,($F135-$H135)/($F135-Table133[[#This Row],[Prior day close]]),(Table133[[#This Row],[PM Hi]]-Table133[[#This Row],[Lowest lo from open to squeeze]])/(Table133[[#This Row],[PM Hi]]-Table133[[#This Row],[Prior day close]])))),IF($J135&gt;=$F135,($J135-$K135)/($J135-Table133[[#This Row],[PM LO]]),(IF($H135&lt;=$K135,($F135-$H135)/($F135-Table133[[#This Row],[PM LO]]),(Table133[[#This Row],[PM Hi]]-Table133[[#This Row],[Lowest lo from open to squeeze]])/(Table133[[#This Row],[PM Hi]]-Table133[[#This Row],[PM LO]])))))</f>
        <v>#DIV/0!</v>
      </c>
      <c r="AO135" s="18" t="e">
        <f>IF(J135&gt;=F135,(J135-K135)/(J135-D135),(IF(H135&lt;=K135,(F135-H135)/(F135-D135),(Table133[[#This Row],[PM Hi]]-Table133[[#This Row],[Lowest lo from open to squeeze]])/(Table133[[#This Row],[PM Hi]]-Table133[[#This Row],[Prior day close]]))))</f>
        <v>#DIV/0!</v>
      </c>
      <c r="AP135" s="17">
        <f>390+Table133[[#This Row],[Time until ideal entry point (mins) from open]]</f>
        <v>390</v>
      </c>
      <c r="AQ135" s="17">
        <f>Table133[[#This Row],[Time until ideal entry + 390 (6:30)]]+Table133[[#This Row],[Duration of frontside (mins)]]</f>
        <v>390</v>
      </c>
    </row>
    <row r="136" spans="1:43" x14ac:dyDescent="0.25">
      <c r="A136" s="24" t="s">
        <v>205</v>
      </c>
      <c r="B136" s="47">
        <v>44041</v>
      </c>
      <c r="C136" s="47" t="s">
        <v>256</v>
      </c>
      <c r="D136" s="12"/>
      <c r="E136" s="13"/>
      <c r="F136" s="12"/>
      <c r="G136" s="12"/>
      <c r="H136" s="12"/>
      <c r="I136" s="12"/>
      <c r="J136" s="12"/>
      <c r="K136" s="12"/>
      <c r="N136" s="13"/>
      <c r="P136" s="37"/>
      <c r="Q136" s="46"/>
      <c r="R136" s="37"/>
      <c r="S136" s="37"/>
      <c r="T136" s="37"/>
      <c r="U136" s="38"/>
      <c r="V136" s="46"/>
      <c r="W136" s="37"/>
      <c r="X136" s="46"/>
      <c r="Y136" s="41">
        <f>Table133[[#This Row],[Time until ideal entry + 390 (6:30)]]/(1440)</f>
        <v>0.27083333333333331</v>
      </c>
      <c r="Z136" s="18" t="e">
        <f t="shared" si="12"/>
        <v>#DIV/0!</v>
      </c>
      <c r="AA136" s="18" t="e">
        <f>IF(Table133[[#This Row],[HOD AFTER PM HI]]&gt;=Table133[[#This Row],[PM Hi]],((Table133[[#This Row],[HOD AFTER PM HI]]-Table133[[#This Row],[Prior day close]])/Table133[[#This Row],[Prior day close]]),Table133[[#This Row],[Prior Close to PM Hi %]])</f>
        <v>#DIV/0!</v>
      </c>
      <c r="AB136" s="42" t="e">
        <f>(Table133[[#This Row],[Price at hi of squeeze]]-Table133[[#This Row],[MKT Open Price]])/Table133[[#This Row],[MKT Open Price]]</f>
        <v>#DIV/0!</v>
      </c>
      <c r="AC136" s="18" t="e">
        <f>(Table133[[#This Row],[Price at hi of squeeze]]-Table133[[#This Row],[PM Hi]])/Table133[[#This Row],[PM Hi]]</f>
        <v>#DIV/0!</v>
      </c>
      <c r="AD136" s="18"/>
      <c r="AE136" s="20" t="e">
        <f>Table133[[#This Row],[PM VOL]]/1000000/Table133[[#This Row],[FLOAT(M)]]</f>
        <v>#DIV/0!</v>
      </c>
      <c r="AF136" s="23" t="e">
        <f>(Table133[[#This Row],[Volume]]/1000000)/Table133[[#This Row],[FLOAT(M)]]</f>
        <v>#DIV/0!</v>
      </c>
      <c r="AH136" s="18" t="e">
        <f>(Table133[[#This Row],[PM Hi]]-Table133[[#This Row],[MKT Open Price]])/(Table133[[#This Row],[PM Hi]])</f>
        <v>#DIV/0!</v>
      </c>
      <c r="AI136" s="18" t="e">
        <f>IF(Table133[[#This Row],[PM LO]]&gt;Table133[[#This Row],[Prior day close]],(Table133[[#This Row],[PM Hi]]-Table133[[#This Row],[MKT Open Price]])/(Table133[[#This Row],[PM Hi]]-Table133[[#This Row],[Prior day close]]),(Table133[[#This Row],[PM Hi]]-Table133[[#This Row],[MKT Open Price]])/(Table133[[#This Row],[PM Hi]]-Table133[[#This Row],[PM LO]]))</f>
        <v>#DIV/0!</v>
      </c>
      <c r="AJ136" s="48" t="e">
        <f>IF(Table133[[#This Row],[Prior day close]]&lt;Table133[[#This Row],[PM LO]],(I136-K136)/(I136-Table133[[#This Row],[Prior day close]]),(I136-K136)/(I136-Table133[[#This Row],[PM LO]]))</f>
        <v>#DIV/0!</v>
      </c>
      <c r="AK136" s="48" t="e">
        <f>Table133[[#This Row],[Spike % on open before drop]]+AL136</f>
        <v>#DIV/0!</v>
      </c>
      <c r="AL136" s="16" t="e">
        <f t="shared" si="11"/>
        <v>#DIV/0!</v>
      </c>
      <c r="AM136" s="18" t="e">
        <f>IF($J136&gt;=$F136,($J136-$K136)/($J136),(IF($H136&lt;=$K136,($F136-$H136)/($F136),(Table133[[#This Row],[PM Hi]]-Table133[[#This Row],[Lowest lo from open to squeeze]])/(Table133[[#This Row],[PM Hi]]))))</f>
        <v>#DIV/0!</v>
      </c>
      <c r="AN136" s="48" t="e">
        <f>IF(Table133[[#This Row],[Prior day close]]&lt;=Table133[[#This Row],[PM LO]],IF($J136&gt;=$F136,($J136-$K136)/($J136-Table133[[#This Row],[Prior day close]]),(IF($H136&lt;=$K136,($F136-$H136)/($F136-Table133[[#This Row],[Prior day close]]),(Table133[[#This Row],[PM Hi]]-Table133[[#This Row],[Lowest lo from open to squeeze]])/(Table133[[#This Row],[PM Hi]]-Table133[[#This Row],[Prior day close]])))),IF($J136&gt;=$F136,($J136-$K136)/($J136-Table133[[#This Row],[PM LO]]),(IF($H136&lt;=$K136,($F136-$H136)/($F136-Table133[[#This Row],[PM LO]]),(Table133[[#This Row],[PM Hi]]-Table133[[#This Row],[Lowest lo from open to squeeze]])/(Table133[[#This Row],[PM Hi]]-Table133[[#This Row],[PM LO]])))))</f>
        <v>#DIV/0!</v>
      </c>
      <c r="AO136" s="18" t="e">
        <f>IF(J136&gt;=F136,(J136-K136)/(J136-D136),(IF(H136&lt;=K136,(F136-H136)/(F136-D136),(Table133[[#This Row],[PM Hi]]-Table133[[#This Row],[Lowest lo from open to squeeze]])/(Table133[[#This Row],[PM Hi]]-Table133[[#This Row],[Prior day close]]))))</f>
        <v>#DIV/0!</v>
      </c>
      <c r="AP136" s="17">
        <f>390+Table133[[#This Row],[Time until ideal entry point (mins) from open]]</f>
        <v>390</v>
      </c>
      <c r="AQ136" s="17">
        <f>Table133[[#This Row],[Time until ideal entry + 390 (6:30)]]+Table133[[#This Row],[Duration of frontside (mins)]]</f>
        <v>390</v>
      </c>
    </row>
    <row r="137" spans="1:43" x14ac:dyDescent="0.25">
      <c r="A137" s="24" t="s">
        <v>174</v>
      </c>
      <c r="B137" s="47">
        <v>44043</v>
      </c>
      <c r="C137" s="47" t="s">
        <v>256</v>
      </c>
      <c r="D137" s="12"/>
      <c r="E137" s="13"/>
      <c r="F137" s="12"/>
      <c r="G137" s="12"/>
      <c r="H137" s="12"/>
      <c r="I137" s="12"/>
      <c r="J137" s="12"/>
      <c r="K137" s="12"/>
      <c r="N137" s="13"/>
      <c r="P137" s="37"/>
      <c r="Q137" s="46"/>
      <c r="R137" s="37"/>
      <c r="S137" s="37"/>
      <c r="T137" s="37"/>
      <c r="U137" s="38"/>
      <c r="V137" s="46"/>
      <c r="W137" s="37"/>
      <c r="X137" s="46"/>
      <c r="Y137" s="41">
        <f>Table133[[#This Row],[Time until ideal entry + 390 (6:30)]]/(1440)</f>
        <v>0.27083333333333331</v>
      </c>
      <c r="Z137" s="18" t="e">
        <f t="shared" si="12"/>
        <v>#DIV/0!</v>
      </c>
      <c r="AA137" s="18" t="e">
        <f>IF(Table133[[#This Row],[HOD AFTER PM HI]]&gt;=Table133[[#This Row],[PM Hi]],((Table133[[#This Row],[HOD AFTER PM HI]]-Table133[[#This Row],[Prior day close]])/Table133[[#This Row],[Prior day close]]),Table133[[#This Row],[Prior Close to PM Hi %]])</f>
        <v>#DIV/0!</v>
      </c>
      <c r="AB137" s="42" t="e">
        <f>(Table133[[#This Row],[Price at hi of squeeze]]-Table133[[#This Row],[MKT Open Price]])/Table133[[#This Row],[MKT Open Price]]</f>
        <v>#DIV/0!</v>
      </c>
      <c r="AC137" s="18" t="e">
        <f>(Table133[[#This Row],[Price at hi of squeeze]]-Table133[[#This Row],[PM Hi]])/Table133[[#This Row],[PM Hi]]</f>
        <v>#DIV/0!</v>
      </c>
      <c r="AD137" s="18"/>
      <c r="AE137" s="20" t="e">
        <f>Table133[[#This Row],[PM VOL]]/1000000/Table133[[#This Row],[FLOAT(M)]]</f>
        <v>#DIV/0!</v>
      </c>
      <c r="AF137" s="23" t="e">
        <f>(Table133[[#This Row],[Volume]]/1000000)/Table133[[#This Row],[FLOAT(M)]]</f>
        <v>#DIV/0!</v>
      </c>
      <c r="AH137" s="18" t="e">
        <f>(Table133[[#This Row],[PM Hi]]-Table133[[#This Row],[MKT Open Price]])/(Table133[[#This Row],[PM Hi]])</f>
        <v>#DIV/0!</v>
      </c>
      <c r="AI137" s="18" t="e">
        <f>IF(Table133[[#This Row],[PM LO]]&gt;Table133[[#This Row],[Prior day close]],(Table133[[#This Row],[PM Hi]]-Table133[[#This Row],[MKT Open Price]])/(Table133[[#This Row],[PM Hi]]-Table133[[#This Row],[Prior day close]]),(Table133[[#This Row],[PM Hi]]-Table133[[#This Row],[MKT Open Price]])/(Table133[[#This Row],[PM Hi]]-Table133[[#This Row],[PM LO]]))</f>
        <v>#DIV/0!</v>
      </c>
      <c r="AJ137" s="48" t="e">
        <f>IF(Table133[[#This Row],[Prior day close]]&lt;Table133[[#This Row],[PM LO]],(I137-K137)/(I137-Table133[[#This Row],[Prior day close]]),(I137-K137)/(I137-Table133[[#This Row],[PM LO]]))</f>
        <v>#DIV/0!</v>
      </c>
      <c r="AK137" s="48" t="e">
        <f>Table133[[#This Row],[Spike % on open before drop]]+AL137</f>
        <v>#DIV/0!</v>
      </c>
      <c r="AL137" s="16" t="e">
        <f t="shared" si="11"/>
        <v>#DIV/0!</v>
      </c>
      <c r="AM137" s="18" t="e">
        <f>IF($J137&gt;=$F137,($J137-$K137)/($J137),(IF($H137&lt;=$K137,($F137-$H137)/($F137),(Table133[[#This Row],[PM Hi]]-Table133[[#This Row],[Lowest lo from open to squeeze]])/(Table133[[#This Row],[PM Hi]]))))</f>
        <v>#DIV/0!</v>
      </c>
      <c r="AN137" s="48" t="e">
        <f>IF(Table133[[#This Row],[Prior day close]]&lt;=Table133[[#This Row],[PM LO]],IF($J137&gt;=$F137,($J137-$K137)/($J137-Table133[[#This Row],[Prior day close]]),(IF($H137&lt;=$K137,($F137-$H137)/($F137-Table133[[#This Row],[Prior day close]]),(Table133[[#This Row],[PM Hi]]-Table133[[#This Row],[Lowest lo from open to squeeze]])/(Table133[[#This Row],[PM Hi]]-Table133[[#This Row],[Prior day close]])))),IF($J137&gt;=$F137,($J137-$K137)/($J137-Table133[[#This Row],[PM LO]]),(IF($H137&lt;=$K137,($F137-$H137)/($F137-Table133[[#This Row],[PM LO]]),(Table133[[#This Row],[PM Hi]]-Table133[[#This Row],[Lowest lo from open to squeeze]])/(Table133[[#This Row],[PM Hi]]-Table133[[#This Row],[PM LO]])))))</f>
        <v>#DIV/0!</v>
      </c>
      <c r="AO137" s="18" t="e">
        <f>IF(J137&gt;=F137,(J137-K137)/(J137-D137),(IF(H137&lt;=K137,(F137-H137)/(F137-D137),(Table133[[#This Row],[PM Hi]]-Table133[[#This Row],[Lowest lo from open to squeeze]])/(Table133[[#This Row],[PM Hi]]-Table133[[#This Row],[Prior day close]]))))</f>
        <v>#DIV/0!</v>
      </c>
      <c r="AP137" s="17">
        <f>390+Table133[[#This Row],[Time until ideal entry point (mins) from open]]</f>
        <v>390</v>
      </c>
      <c r="AQ137" s="17">
        <f>Table133[[#This Row],[Time until ideal entry + 390 (6:30)]]+Table133[[#This Row],[Duration of frontside (mins)]]</f>
        <v>390</v>
      </c>
    </row>
    <row r="138" spans="1:43" x14ac:dyDescent="0.25">
      <c r="A138" s="24" t="s">
        <v>210</v>
      </c>
      <c r="B138" s="47">
        <v>44055</v>
      </c>
      <c r="C138" s="47" t="s">
        <v>256</v>
      </c>
      <c r="D138" s="12"/>
      <c r="E138" s="13"/>
      <c r="F138" s="12"/>
      <c r="G138" s="12"/>
      <c r="H138" s="12"/>
      <c r="I138" s="12"/>
      <c r="J138" s="12"/>
      <c r="K138" s="12"/>
      <c r="N138" s="13"/>
      <c r="P138" s="37"/>
      <c r="Q138" s="46"/>
      <c r="R138" s="37"/>
      <c r="S138" s="37"/>
      <c r="T138" s="37"/>
      <c r="U138" s="38"/>
      <c r="V138" s="46"/>
      <c r="W138" s="37"/>
      <c r="X138" s="46"/>
      <c r="Y138" s="41">
        <f>Table133[[#This Row],[Time until ideal entry + 390 (6:30)]]/(1440)</f>
        <v>0.27083333333333331</v>
      </c>
      <c r="Z138" s="18" t="e">
        <f t="shared" si="12"/>
        <v>#DIV/0!</v>
      </c>
      <c r="AA138" s="18" t="e">
        <f>IF(Table133[[#This Row],[HOD AFTER PM HI]]&gt;=Table133[[#This Row],[PM Hi]],((Table133[[#This Row],[HOD AFTER PM HI]]-Table133[[#This Row],[Prior day close]])/Table133[[#This Row],[Prior day close]]),Table133[[#This Row],[Prior Close to PM Hi %]])</f>
        <v>#DIV/0!</v>
      </c>
      <c r="AB138" s="42" t="e">
        <f>(Table133[[#This Row],[Price at hi of squeeze]]-Table133[[#This Row],[MKT Open Price]])/Table133[[#This Row],[MKT Open Price]]</f>
        <v>#DIV/0!</v>
      </c>
      <c r="AC138" s="18" t="e">
        <f>(Table133[[#This Row],[Price at hi of squeeze]]-Table133[[#This Row],[PM Hi]])/Table133[[#This Row],[PM Hi]]</f>
        <v>#DIV/0!</v>
      </c>
      <c r="AD138" s="18"/>
      <c r="AE138" s="20" t="e">
        <f>Table133[[#This Row],[PM VOL]]/1000000/Table133[[#This Row],[FLOAT(M)]]</f>
        <v>#DIV/0!</v>
      </c>
      <c r="AF138" s="23" t="e">
        <f>(Table133[[#This Row],[Volume]]/1000000)/Table133[[#This Row],[FLOAT(M)]]</f>
        <v>#DIV/0!</v>
      </c>
      <c r="AH138" s="18" t="e">
        <f>(Table133[[#This Row],[PM Hi]]-Table133[[#This Row],[MKT Open Price]])/(Table133[[#This Row],[PM Hi]])</f>
        <v>#DIV/0!</v>
      </c>
      <c r="AI138" s="18" t="e">
        <f>IF(Table133[[#This Row],[PM LO]]&gt;Table133[[#This Row],[Prior day close]],(Table133[[#This Row],[PM Hi]]-Table133[[#This Row],[MKT Open Price]])/(Table133[[#This Row],[PM Hi]]-Table133[[#This Row],[Prior day close]]),(Table133[[#This Row],[PM Hi]]-Table133[[#This Row],[MKT Open Price]])/(Table133[[#This Row],[PM Hi]]-Table133[[#This Row],[PM LO]]))</f>
        <v>#DIV/0!</v>
      </c>
      <c r="AJ138" s="48" t="e">
        <f>IF(Table133[[#This Row],[Prior day close]]&lt;Table133[[#This Row],[PM LO]],(I138-K138)/(I138-Table133[[#This Row],[Prior day close]]),(I138-K138)/(I138-Table133[[#This Row],[PM LO]]))</f>
        <v>#DIV/0!</v>
      </c>
      <c r="AK138" s="48" t="e">
        <f>Table133[[#This Row],[Spike % on open before drop]]+AL138</f>
        <v>#DIV/0!</v>
      </c>
      <c r="AL138" s="16" t="e">
        <f t="shared" si="11"/>
        <v>#DIV/0!</v>
      </c>
      <c r="AM138" s="18" t="e">
        <f>IF($J138&gt;=$F138,($J138-$K138)/($J138),(IF($H138&lt;=$K138,($F138-$H138)/($F138),(Table133[[#This Row],[PM Hi]]-Table133[[#This Row],[Lowest lo from open to squeeze]])/(Table133[[#This Row],[PM Hi]]))))</f>
        <v>#DIV/0!</v>
      </c>
      <c r="AN138" s="48" t="e">
        <f>IF(Table133[[#This Row],[Prior day close]]&lt;=Table133[[#This Row],[PM LO]],IF($J138&gt;=$F138,($J138-$K138)/($J138-Table133[[#This Row],[Prior day close]]),(IF($H138&lt;=$K138,($F138-$H138)/($F138-Table133[[#This Row],[Prior day close]]),(Table133[[#This Row],[PM Hi]]-Table133[[#This Row],[Lowest lo from open to squeeze]])/(Table133[[#This Row],[PM Hi]]-Table133[[#This Row],[Prior day close]])))),IF($J138&gt;=$F138,($J138-$K138)/($J138-Table133[[#This Row],[PM LO]]),(IF($H138&lt;=$K138,($F138-$H138)/($F138-Table133[[#This Row],[PM LO]]),(Table133[[#This Row],[PM Hi]]-Table133[[#This Row],[Lowest lo from open to squeeze]])/(Table133[[#This Row],[PM Hi]]-Table133[[#This Row],[PM LO]])))))</f>
        <v>#DIV/0!</v>
      </c>
      <c r="AO138" s="18" t="e">
        <f>IF(J138&gt;=F138,(J138-K138)/(J138-D138),(IF(H138&lt;=K138,(F138-H138)/(F138-D138),(Table133[[#This Row],[PM Hi]]-Table133[[#This Row],[Lowest lo from open to squeeze]])/(Table133[[#This Row],[PM Hi]]-Table133[[#This Row],[Prior day close]]))))</f>
        <v>#DIV/0!</v>
      </c>
      <c r="AP138" s="17">
        <f>390+Table133[[#This Row],[Time until ideal entry point (mins) from open]]</f>
        <v>390</v>
      </c>
      <c r="AQ138" s="17">
        <f>Table133[[#This Row],[Time until ideal entry + 390 (6:30)]]+Table133[[#This Row],[Duration of frontside (mins)]]</f>
        <v>390</v>
      </c>
    </row>
    <row r="139" spans="1:43" x14ac:dyDescent="0.25">
      <c r="A139" s="24" t="s">
        <v>211</v>
      </c>
      <c r="B139" s="47">
        <v>44060</v>
      </c>
      <c r="C139" s="47" t="s">
        <v>256</v>
      </c>
      <c r="D139" s="12"/>
      <c r="E139" s="13"/>
      <c r="F139" s="12"/>
      <c r="G139" s="12"/>
      <c r="H139" s="12"/>
      <c r="I139" s="12"/>
      <c r="J139" s="12"/>
      <c r="K139" s="12"/>
      <c r="N139" s="13"/>
      <c r="P139" s="37"/>
      <c r="Q139" s="46"/>
      <c r="R139" s="37"/>
      <c r="S139" s="37"/>
      <c r="T139" s="37"/>
      <c r="U139" s="38"/>
      <c r="V139" s="46"/>
      <c r="W139" s="37"/>
      <c r="X139" s="46"/>
      <c r="Y139" s="41">
        <f>Table133[[#This Row],[Time until ideal entry + 390 (6:30)]]/(1440)</f>
        <v>0.27083333333333331</v>
      </c>
      <c r="Z139" s="18" t="e">
        <f t="shared" si="12"/>
        <v>#DIV/0!</v>
      </c>
      <c r="AA139" s="18" t="e">
        <f>IF(Table133[[#This Row],[HOD AFTER PM HI]]&gt;=Table133[[#This Row],[PM Hi]],((Table133[[#This Row],[HOD AFTER PM HI]]-Table133[[#This Row],[Prior day close]])/Table133[[#This Row],[Prior day close]]),Table133[[#This Row],[Prior Close to PM Hi %]])</f>
        <v>#DIV/0!</v>
      </c>
      <c r="AB139" s="42" t="e">
        <f>(Table133[[#This Row],[Price at hi of squeeze]]-Table133[[#This Row],[MKT Open Price]])/Table133[[#This Row],[MKT Open Price]]</f>
        <v>#DIV/0!</v>
      </c>
      <c r="AC139" s="18" t="e">
        <f>(Table133[[#This Row],[Price at hi of squeeze]]-Table133[[#This Row],[PM Hi]])/Table133[[#This Row],[PM Hi]]</f>
        <v>#DIV/0!</v>
      </c>
      <c r="AD139" s="18"/>
      <c r="AE139" s="20" t="e">
        <f>Table133[[#This Row],[PM VOL]]/1000000/Table133[[#This Row],[FLOAT(M)]]</f>
        <v>#DIV/0!</v>
      </c>
      <c r="AF139" s="23" t="e">
        <f>(Table133[[#This Row],[Volume]]/1000000)/Table133[[#This Row],[FLOAT(M)]]</f>
        <v>#DIV/0!</v>
      </c>
      <c r="AH139" s="18" t="e">
        <f>(Table133[[#This Row],[PM Hi]]-Table133[[#This Row],[MKT Open Price]])/(Table133[[#This Row],[PM Hi]])</f>
        <v>#DIV/0!</v>
      </c>
      <c r="AI139" s="18" t="e">
        <f>IF(Table133[[#This Row],[PM LO]]&gt;Table133[[#This Row],[Prior day close]],(Table133[[#This Row],[PM Hi]]-Table133[[#This Row],[MKT Open Price]])/(Table133[[#This Row],[PM Hi]]-Table133[[#This Row],[Prior day close]]),(Table133[[#This Row],[PM Hi]]-Table133[[#This Row],[MKT Open Price]])/(Table133[[#This Row],[PM Hi]]-Table133[[#This Row],[PM LO]]))</f>
        <v>#DIV/0!</v>
      </c>
      <c r="AJ139" s="48" t="e">
        <f>IF(Table133[[#This Row],[Prior day close]]&lt;Table133[[#This Row],[PM LO]],(I139-K139)/(I139-Table133[[#This Row],[Prior day close]]),(I139-K139)/(I139-Table133[[#This Row],[PM LO]]))</f>
        <v>#DIV/0!</v>
      </c>
      <c r="AK139" s="48" t="e">
        <f>Table133[[#This Row],[Spike % on open before drop]]+AL139</f>
        <v>#DIV/0!</v>
      </c>
      <c r="AL139" s="16" t="e">
        <f t="shared" si="11"/>
        <v>#DIV/0!</v>
      </c>
      <c r="AM139" s="18" t="e">
        <f>IF($J139&gt;=$F139,($J139-$K139)/($J139),(IF($H139&lt;=$K139,($F139-$H139)/($F139),(Table133[[#This Row],[PM Hi]]-Table133[[#This Row],[Lowest lo from open to squeeze]])/(Table133[[#This Row],[PM Hi]]))))</f>
        <v>#DIV/0!</v>
      </c>
      <c r="AN139" s="48" t="e">
        <f>IF(Table133[[#This Row],[Prior day close]]&lt;=Table133[[#This Row],[PM LO]],IF($J139&gt;=$F139,($J139-$K139)/($J139-Table133[[#This Row],[Prior day close]]),(IF($H139&lt;=$K139,($F139-$H139)/($F139-Table133[[#This Row],[Prior day close]]),(Table133[[#This Row],[PM Hi]]-Table133[[#This Row],[Lowest lo from open to squeeze]])/(Table133[[#This Row],[PM Hi]]-Table133[[#This Row],[Prior day close]])))),IF($J139&gt;=$F139,($J139-$K139)/($J139-Table133[[#This Row],[PM LO]]),(IF($H139&lt;=$K139,($F139-$H139)/($F139-Table133[[#This Row],[PM LO]]),(Table133[[#This Row],[PM Hi]]-Table133[[#This Row],[Lowest lo from open to squeeze]])/(Table133[[#This Row],[PM Hi]]-Table133[[#This Row],[PM LO]])))))</f>
        <v>#DIV/0!</v>
      </c>
      <c r="AO139" s="18" t="e">
        <f>IF(J139&gt;=F139,(J139-K139)/(J139-D139),(IF(H139&lt;=K139,(F139-H139)/(F139-D139),(Table133[[#This Row],[PM Hi]]-Table133[[#This Row],[Lowest lo from open to squeeze]])/(Table133[[#This Row],[PM Hi]]-Table133[[#This Row],[Prior day close]]))))</f>
        <v>#DIV/0!</v>
      </c>
      <c r="AP139" s="17">
        <f>390+Table133[[#This Row],[Time until ideal entry point (mins) from open]]</f>
        <v>390</v>
      </c>
      <c r="AQ139" s="17">
        <f>Table133[[#This Row],[Time until ideal entry + 390 (6:30)]]+Table133[[#This Row],[Duration of frontside (mins)]]</f>
        <v>390</v>
      </c>
    </row>
    <row r="140" spans="1:43" x14ac:dyDescent="0.25">
      <c r="A140" s="24" t="s">
        <v>216</v>
      </c>
      <c r="B140" s="47">
        <v>44071</v>
      </c>
      <c r="C140" s="47" t="s">
        <v>256</v>
      </c>
      <c r="D140" s="12"/>
      <c r="E140" s="13"/>
      <c r="F140" s="12"/>
      <c r="G140" s="12"/>
      <c r="H140" s="12"/>
      <c r="I140" s="12"/>
      <c r="J140" s="12"/>
      <c r="K140" s="12"/>
      <c r="N140" s="13"/>
      <c r="P140" s="37"/>
      <c r="Q140" s="46"/>
      <c r="R140" s="37"/>
      <c r="S140" s="37"/>
      <c r="T140" s="37"/>
      <c r="U140" s="38"/>
      <c r="V140" s="46"/>
      <c r="W140" s="37"/>
      <c r="X140" s="46"/>
      <c r="Y140" s="41">
        <f>Table133[[#This Row],[Time until ideal entry + 390 (6:30)]]/(1440)</f>
        <v>0.27083333333333331</v>
      </c>
      <c r="Z140" s="18" t="e">
        <f t="shared" si="12"/>
        <v>#DIV/0!</v>
      </c>
      <c r="AA140" s="18" t="e">
        <f>IF(Table133[[#This Row],[HOD AFTER PM HI]]&gt;=Table133[[#This Row],[PM Hi]],((Table133[[#This Row],[HOD AFTER PM HI]]-Table133[[#This Row],[Prior day close]])/Table133[[#This Row],[Prior day close]]),Table133[[#This Row],[Prior Close to PM Hi %]])</f>
        <v>#DIV/0!</v>
      </c>
      <c r="AB140" s="42" t="e">
        <f>(Table133[[#This Row],[Price at hi of squeeze]]-Table133[[#This Row],[MKT Open Price]])/Table133[[#This Row],[MKT Open Price]]</f>
        <v>#DIV/0!</v>
      </c>
      <c r="AC140" s="18" t="e">
        <f>(Table133[[#This Row],[Price at hi of squeeze]]-Table133[[#This Row],[PM Hi]])/Table133[[#This Row],[PM Hi]]</f>
        <v>#DIV/0!</v>
      </c>
      <c r="AD140" s="18"/>
      <c r="AE140" s="20" t="e">
        <f>Table133[[#This Row],[PM VOL]]/1000000/Table133[[#This Row],[FLOAT(M)]]</f>
        <v>#DIV/0!</v>
      </c>
      <c r="AF140" s="23" t="e">
        <f>(Table133[[#This Row],[Volume]]/1000000)/Table133[[#This Row],[FLOAT(M)]]</f>
        <v>#DIV/0!</v>
      </c>
      <c r="AH140" s="18" t="e">
        <f>(Table133[[#This Row],[PM Hi]]-Table133[[#This Row],[MKT Open Price]])/(Table133[[#This Row],[PM Hi]])</f>
        <v>#DIV/0!</v>
      </c>
      <c r="AI140" s="18" t="e">
        <f>IF(Table133[[#This Row],[PM LO]]&gt;Table133[[#This Row],[Prior day close]],(Table133[[#This Row],[PM Hi]]-Table133[[#This Row],[MKT Open Price]])/(Table133[[#This Row],[PM Hi]]-Table133[[#This Row],[Prior day close]]),(Table133[[#This Row],[PM Hi]]-Table133[[#This Row],[MKT Open Price]])/(Table133[[#This Row],[PM Hi]]-Table133[[#This Row],[PM LO]]))</f>
        <v>#DIV/0!</v>
      </c>
      <c r="AJ140" s="48" t="e">
        <f>IF(Table133[[#This Row],[Prior day close]]&lt;Table133[[#This Row],[PM LO]],(I140-K140)/(I140-Table133[[#This Row],[Prior day close]]),(I140-K140)/(I140-Table133[[#This Row],[PM LO]]))</f>
        <v>#DIV/0!</v>
      </c>
      <c r="AK140" s="48" t="e">
        <f>Table133[[#This Row],[Spike % on open before drop]]+AL140</f>
        <v>#DIV/0!</v>
      </c>
      <c r="AL140" s="16" t="e">
        <f t="shared" si="11"/>
        <v>#DIV/0!</v>
      </c>
      <c r="AM140" s="18" t="e">
        <f>IF($J140&gt;=$F140,($J140-$K140)/($J140),(IF($H140&lt;=$K140,($F140-$H140)/($F140),(Table133[[#This Row],[PM Hi]]-Table133[[#This Row],[Lowest lo from open to squeeze]])/(Table133[[#This Row],[PM Hi]]))))</f>
        <v>#DIV/0!</v>
      </c>
      <c r="AN140" s="48" t="e">
        <f>IF(Table133[[#This Row],[Prior day close]]&lt;=Table133[[#This Row],[PM LO]],IF($J140&gt;=$F140,($J140-$K140)/($J140-Table133[[#This Row],[Prior day close]]),(IF($H140&lt;=$K140,($F140-$H140)/($F140-Table133[[#This Row],[Prior day close]]),(Table133[[#This Row],[PM Hi]]-Table133[[#This Row],[Lowest lo from open to squeeze]])/(Table133[[#This Row],[PM Hi]]-Table133[[#This Row],[Prior day close]])))),IF($J140&gt;=$F140,($J140-$K140)/($J140-Table133[[#This Row],[PM LO]]),(IF($H140&lt;=$K140,($F140-$H140)/($F140-Table133[[#This Row],[PM LO]]),(Table133[[#This Row],[PM Hi]]-Table133[[#This Row],[Lowest lo from open to squeeze]])/(Table133[[#This Row],[PM Hi]]-Table133[[#This Row],[PM LO]])))))</f>
        <v>#DIV/0!</v>
      </c>
      <c r="AO140" s="18" t="e">
        <f>IF(J140&gt;=F140,(J140-K140)/(J140-D140),(IF(H140&lt;=K140,(F140-H140)/(F140-D140),(Table133[[#This Row],[PM Hi]]-Table133[[#This Row],[Lowest lo from open to squeeze]])/(Table133[[#This Row],[PM Hi]]-Table133[[#This Row],[Prior day close]]))))</f>
        <v>#DIV/0!</v>
      </c>
      <c r="AP140" s="17">
        <f>390+Table133[[#This Row],[Time until ideal entry point (mins) from open]]</f>
        <v>390</v>
      </c>
      <c r="AQ140" s="17">
        <f>Table133[[#This Row],[Time until ideal entry + 390 (6:30)]]+Table133[[#This Row],[Duration of frontside (mins)]]</f>
        <v>390</v>
      </c>
    </row>
    <row r="141" spans="1:43" x14ac:dyDescent="0.25">
      <c r="A141" s="24" t="s">
        <v>217</v>
      </c>
      <c r="B141" s="47">
        <v>44077</v>
      </c>
      <c r="C141" s="47" t="s">
        <v>256</v>
      </c>
      <c r="D141" s="12"/>
      <c r="E141" s="13"/>
      <c r="F141" s="12"/>
      <c r="G141" s="12"/>
      <c r="H141" s="12"/>
      <c r="I141" s="12"/>
      <c r="J141" s="12"/>
      <c r="K141" s="12"/>
      <c r="N141" s="13"/>
      <c r="P141" s="37"/>
      <c r="Q141" s="46"/>
      <c r="R141" s="37"/>
      <c r="S141" s="37"/>
      <c r="T141" s="37"/>
      <c r="U141" s="38"/>
      <c r="V141" s="46"/>
      <c r="W141" s="37"/>
      <c r="X141" s="46"/>
      <c r="Y141" s="41">
        <f>Table133[[#This Row],[Time until ideal entry + 390 (6:30)]]/(1440)</f>
        <v>0.27083333333333331</v>
      </c>
      <c r="Z141" s="18" t="e">
        <f t="shared" si="12"/>
        <v>#DIV/0!</v>
      </c>
      <c r="AA141" s="18" t="e">
        <f>IF(Table133[[#This Row],[HOD AFTER PM HI]]&gt;=Table133[[#This Row],[PM Hi]],((Table133[[#This Row],[HOD AFTER PM HI]]-Table133[[#This Row],[Prior day close]])/Table133[[#This Row],[Prior day close]]),Table133[[#This Row],[Prior Close to PM Hi %]])</f>
        <v>#DIV/0!</v>
      </c>
      <c r="AB141" s="42" t="e">
        <f>(Table133[[#This Row],[Price at hi of squeeze]]-Table133[[#This Row],[MKT Open Price]])/Table133[[#This Row],[MKT Open Price]]</f>
        <v>#DIV/0!</v>
      </c>
      <c r="AC141" s="18" t="e">
        <f>(Table133[[#This Row],[Price at hi of squeeze]]-Table133[[#This Row],[PM Hi]])/Table133[[#This Row],[PM Hi]]</f>
        <v>#DIV/0!</v>
      </c>
      <c r="AD141" s="18"/>
      <c r="AE141" s="20" t="e">
        <f>Table133[[#This Row],[PM VOL]]/1000000/Table133[[#This Row],[FLOAT(M)]]</f>
        <v>#DIV/0!</v>
      </c>
      <c r="AF141" s="23" t="e">
        <f>(Table133[[#This Row],[Volume]]/1000000)/Table133[[#This Row],[FLOAT(M)]]</f>
        <v>#DIV/0!</v>
      </c>
      <c r="AH141" s="18" t="e">
        <f>(Table133[[#This Row],[PM Hi]]-Table133[[#This Row],[MKT Open Price]])/(Table133[[#This Row],[PM Hi]])</f>
        <v>#DIV/0!</v>
      </c>
      <c r="AI141" s="18" t="e">
        <f>IF(Table133[[#This Row],[PM LO]]&gt;Table133[[#This Row],[Prior day close]],(Table133[[#This Row],[PM Hi]]-Table133[[#This Row],[MKT Open Price]])/(Table133[[#This Row],[PM Hi]]-Table133[[#This Row],[Prior day close]]),(Table133[[#This Row],[PM Hi]]-Table133[[#This Row],[MKT Open Price]])/(Table133[[#This Row],[PM Hi]]-Table133[[#This Row],[PM LO]]))</f>
        <v>#DIV/0!</v>
      </c>
      <c r="AJ141" s="48" t="e">
        <f>IF(Table133[[#This Row],[Prior day close]]&lt;Table133[[#This Row],[PM LO]],(I141-K141)/(I141-Table133[[#This Row],[Prior day close]]),(I141-K141)/(I141-Table133[[#This Row],[PM LO]]))</f>
        <v>#DIV/0!</v>
      </c>
      <c r="AK141" s="48" t="e">
        <f>Table133[[#This Row],[Spike % on open before drop]]+AL141</f>
        <v>#DIV/0!</v>
      </c>
      <c r="AL141" s="16" t="e">
        <f t="shared" si="11"/>
        <v>#DIV/0!</v>
      </c>
      <c r="AM141" s="18" t="e">
        <f>IF($J141&gt;=$F141,($J141-$K141)/($J141),(IF($H141&lt;=$K141,($F141-$H141)/($F141),(Table133[[#This Row],[PM Hi]]-Table133[[#This Row],[Lowest lo from open to squeeze]])/(Table133[[#This Row],[PM Hi]]))))</f>
        <v>#DIV/0!</v>
      </c>
      <c r="AN141" s="48" t="e">
        <f>IF(Table133[[#This Row],[Prior day close]]&lt;=Table133[[#This Row],[PM LO]],IF($J141&gt;=$F141,($J141-$K141)/($J141-Table133[[#This Row],[Prior day close]]),(IF($H141&lt;=$K141,($F141-$H141)/($F141-Table133[[#This Row],[Prior day close]]),(Table133[[#This Row],[PM Hi]]-Table133[[#This Row],[Lowest lo from open to squeeze]])/(Table133[[#This Row],[PM Hi]]-Table133[[#This Row],[Prior day close]])))),IF($J141&gt;=$F141,($J141-$K141)/($J141-Table133[[#This Row],[PM LO]]),(IF($H141&lt;=$K141,($F141-$H141)/($F141-Table133[[#This Row],[PM LO]]),(Table133[[#This Row],[PM Hi]]-Table133[[#This Row],[Lowest lo from open to squeeze]])/(Table133[[#This Row],[PM Hi]]-Table133[[#This Row],[PM LO]])))))</f>
        <v>#DIV/0!</v>
      </c>
      <c r="AO141" s="18" t="e">
        <f>IF(J141&gt;=F141,(J141-K141)/(J141-D141),(IF(H141&lt;=K141,(F141-H141)/(F141-D141),(Table133[[#This Row],[PM Hi]]-Table133[[#This Row],[Lowest lo from open to squeeze]])/(Table133[[#This Row],[PM Hi]]-Table133[[#This Row],[Prior day close]]))))</f>
        <v>#DIV/0!</v>
      </c>
      <c r="AP141" s="17">
        <f>390+Table133[[#This Row],[Time until ideal entry point (mins) from open]]</f>
        <v>390</v>
      </c>
      <c r="AQ141" s="17">
        <f>Table133[[#This Row],[Time until ideal entry + 390 (6:30)]]+Table133[[#This Row],[Duration of frontside (mins)]]</f>
        <v>390</v>
      </c>
    </row>
    <row r="142" spans="1:43" x14ac:dyDescent="0.25">
      <c r="A142" s="24" t="s">
        <v>64</v>
      </c>
      <c r="B142" s="47">
        <v>44078</v>
      </c>
      <c r="C142" s="47" t="s">
        <v>256</v>
      </c>
      <c r="D142" s="12"/>
      <c r="E142" s="13"/>
      <c r="F142" s="12"/>
      <c r="G142" s="12"/>
      <c r="H142" s="12"/>
      <c r="I142" s="12"/>
      <c r="J142" s="12"/>
      <c r="K142" s="12"/>
      <c r="N142" s="13"/>
      <c r="P142" s="37"/>
      <c r="Q142" s="46"/>
      <c r="R142" s="37"/>
      <c r="S142" s="37"/>
      <c r="T142" s="37"/>
      <c r="U142" s="38"/>
      <c r="V142" s="46"/>
      <c r="W142" s="37"/>
      <c r="X142" s="46"/>
      <c r="Y142" s="41">
        <f>Table133[[#This Row],[Time until ideal entry + 390 (6:30)]]/(1440)</f>
        <v>0.27083333333333331</v>
      </c>
      <c r="Z142" s="18" t="e">
        <f t="shared" si="12"/>
        <v>#DIV/0!</v>
      </c>
      <c r="AA142" s="18" t="e">
        <f>IF(Table133[[#This Row],[HOD AFTER PM HI]]&gt;=Table133[[#This Row],[PM Hi]],((Table133[[#This Row],[HOD AFTER PM HI]]-Table133[[#This Row],[Prior day close]])/Table133[[#This Row],[Prior day close]]),Table133[[#This Row],[Prior Close to PM Hi %]])</f>
        <v>#DIV/0!</v>
      </c>
      <c r="AB142" s="42" t="e">
        <f>(Table133[[#This Row],[Price at hi of squeeze]]-Table133[[#This Row],[MKT Open Price]])/Table133[[#This Row],[MKT Open Price]]</f>
        <v>#DIV/0!</v>
      </c>
      <c r="AC142" s="18" t="e">
        <f>(Table133[[#This Row],[Price at hi of squeeze]]-Table133[[#This Row],[PM Hi]])/Table133[[#This Row],[PM Hi]]</f>
        <v>#DIV/0!</v>
      </c>
      <c r="AD142" s="18"/>
      <c r="AE142" s="20" t="e">
        <f>Table133[[#This Row],[PM VOL]]/1000000/Table133[[#This Row],[FLOAT(M)]]</f>
        <v>#DIV/0!</v>
      </c>
      <c r="AF142" s="23" t="e">
        <f>(Table133[[#This Row],[Volume]]/1000000)/Table133[[#This Row],[FLOAT(M)]]</f>
        <v>#DIV/0!</v>
      </c>
      <c r="AH142" s="18" t="e">
        <f>(Table133[[#This Row],[PM Hi]]-Table133[[#This Row],[MKT Open Price]])/(Table133[[#This Row],[PM Hi]])</f>
        <v>#DIV/0!</v>
      </c>
      <c r="AI142" s="18" t="e">
        <f>IF(Table133[[#This Row],[PM LO]]&gt;Table133[[#This Row],[Prior day close]],(Table133[[#This Row],[PM Hi]]-Table133[[#This Row],[MKT Open Price]])/(Table133[[#This Row],[PM Hi]]-Table133[[#This Row],[Prior day close]]),(Table133[[#This Row],[PM Hi]]-Table133[[#This Row],[MKT Open Price]])/(Table133[[#This Row],[PM Hi]]-Table133[[#This Row],[PM LO]]))</f>
        <v>#DIV/0!</v>
      </c>
      <c r="AJ142" s="48" t="e">
        <f>IF(Table133[[#This Row],[Prior day close]]&lt;Table133[[#This Row],[PM LO]],(I142-K142)/(I142-Table133[[#This Row],[Prior day close]]),(I142-K142)/(I142-Table133[[#This Row],[PM LO]]))</f>
        <v>#DIV/0!</v>
      </c>
      <c r="AK142" s="48" t="e">
        <f>Table133[[#This Row],[Spike % on open before drop]]+AL142</f>
        <v>#DIV/0!</v>
      </c>
      <c r="AL142" s="16" t="e">
        <f t="shared" si="11"/>
        <v>#DIV/0!</v>
      </c>
      <c r="AM142" s="18" t="e">
        <f>IF($J142&gt;=$F142,($J142-$K142)/($J142),(IF($H142&lt;=$K142,($F142-$H142)/($F142),(Table133[[#This Row],[PM Hi]]-Table133[[#This Row],[Lowest lo from open to squeeze]])/(Table133[[#This Row],[PM Hi]]))))</f>
        <v>#DIV/0!</v>
      </c>
      <c r="AN142" s="48" t="e">
        <f>IF(Table133[[#This Row],[Prior day close]]&lt;=Table133[[#This Row],[PM LO]],IF($J142&gt;=$F142,($J142-$K142)/($J142-Table133[[#This Row],[Prior day close]]),(IF($H142&lt;=$K142,($F142-$H142)/($F142-Table133[[#This Row],[Prior day close]]),(Table133[[#This Row],[PM Hi]]-Table133[[#This Row],[Lowest lo from open to squeeze]])/(Table133[[#This Row],[PM Hi]]-Table133[[#This Row],[Prior day close]])))),IF($J142&gt;=$F142,($J142-$K142)/($J142-Table133[[#This Row],[PM LO]]),(IF($H142&lt;=$K142,($F142-$H142)/($F142-Table133[[#This Row],[PM LO]]),(Table133[[#This Row],[PM Hi]]-Table133[[#This Row],[Lowest lo from open to squeeze]])/(Table133[[#This Row],[PM Hi]]-Table133[[#This Row],[PM LO]])))))</f>
        <v>#DIV/0!</v>
      </c>
      <c r="AO142" s="18" t="e">
        <f>IF(J142&gt;=F142,(J142-K142)/(J142-D142),(IF(H142&lt;=K142,(F142-H142)/(F142-D142),(Table133[[#This Row],[PM Hi]]-Table133[[#This Row],[Lowest lo from open to squeeze]])/(Table133[[#This Row],[PM Hi]]-Table133[[#This Row],[Prior day close]]))))</f>
        <v>#DIV/0!</v>
      </c>
      <c r="AP142" s="17">
        <f>390+Table133[[#This Row],[Time until ideal entry point (mins) from open]]</f>
        <v>390</v>
      </c>
      <c r="AQ142" s="17">
        <f>Table133[[#This Row],[Time until ideal entry + 390 (6:30)]]+Table133[[#This Row],[Duration of frontside (mins)]]</f>
        <v>390</v>
      </c>
    </row>
    <row r="143" spans="1:43" x14ac:dyDescent="0.25">
      <c r="A143" s="24" t="s">
        <v>218</v>
      </c>
      <c r="B143" s="47">
        <v>44085</v>
      </c>
      <c r="C143" s="47" t="s">
        <v>256</v>
      </c>
      <c r="D143" s="12"/>
      <c r="E143" s="13"/>
      <c r="F143" s="12"/>
      <c r="G143" s="12"/>
      <c r="H143" s="12"/>
      <c r="I143" s="12"/>
      <c r="J143" s="12"/>
      <c r="K143" s="12"/>
      <c r="N143" s="13"/>
      <c r="P143" s="37"/>
      <c r="Q143" s="46"/>
      <c r="R143" s="37"/>
      <c r="S143" s="37"/>
      <c r="T143" s="37"/>
      <c r="U143" s="38"/>
      <c r="V143" s="46"/>
      <c r="W143" s="37"/>
      <c r="X143" s="46"/>
      <c r="Y143" s="41">
        <f>Table133[[#This Row],[Time until ideal entry + 390 (6:30)]]/(1440)</f>
        <v>0.27083333333333331</v>
      </c>
      <c r="Z143" s="18" t="e">
        <f t="shared" si="12"/>
        <v>#DIV/0!</v>
      </c>
      <c r="AA143" s="18" t="e">
        <f>IF(Table133[[#This Row],[HOD AFTER PM HI]]&gt;=Table133[[#This Row],[PM Hi]],((Table133[[#This Row],[HOD AFTER PM HI]]-Table133[[#This Row],[Prior day close]])/Table133[[#This Row],[Prior day close]]),Table133[[#This Row],[Prior Close to PM Hi %]])</f>
        <v>#DIV/0!</v>
      </c>
      <c r="AB143" s="42" t="e">
        <f>(Table133[[#This Row],[Price at hi of squeeze]]-Table133[[#This Row],[MKT Open Price]])/Table133[[#This Row],[MKT Open Price]]</f>
        <v>#DIV/0!</v>
      </c>
      <c r="AC143" s="18" t="e">
        <f>(Table133[[#This Row],[Price at hi of squeeze]]-Table133[[#This Row],[PM Hi]])/Table133[[#This Row],[PM Hi]]</f>
        <v>#DIV/0!</v>
      </c>
      <c r="AD143" s="18"/>
      <c r="AE143" s="20" t="e">
        <f>Table133[[#This Row],[PM VOL]]/1000000/Table133[[#This Row],[FLOAT(M)]]</f>
        <v>#DIV/0!</v>
      </c>
      <c r="AF143" s="23" t="e">
        <f>(Table133[[#This Row],[Volume]]/1000000)/Table133[[#This Row],[FLOAT(M)]]</f>
        <v>#DIV/0!</v>
      </c>
      <c r="AH143" s="18" t="e">
        <f>(Table133[[#This Row],[PM Hi]]-Table133[[#This Row],[MKT Open Price]])/(Table133[[#This Row],[PM Hi]])</f>
        <v>#DIV/0!</v>
      </c>
      <c r="AI143" s="18" t="e">
        <f>IF(Table133[[#This Row],[PM LO]]&gt;Table133[[#This Row],[Prior day close]],(Table133[[#This Row],[PM Hi]]-Table133[[#This Row],[MKT Open Price]])/(Table133[[#This Row],[PM Hi]]-Table133[[#This Row],[Prior day close]]),(Table133[[#This Row],[PM Hi]]-Table133[[#This Row],[MKT Open Price]])/(Table133[[#This Row],[PM Hi]]-Table133[[#This Row],[PM LO]]))</f>
        <v>#DIV/0!</v>
      </c>
      <c r="AJ143" s="48" t="e">
        <f>IF(Table133[[#This Row],[Prior day close]]&lt;Table133[[#This Row],[PM LO]],(I143-K143)/(I143-Table133[[#This Row],[Prior day close]]),(I143-K143)/(I143-Table133[[#This Row],[PM LO]]))</f>
        <v>#DIV/0!</v>
      </c>
      <c r="AK143" s="48" t="e">
        <f>Table133[[#This Row],[Spike % on open before drop]]+AL143</f>
        <v>#DIV/0!</v>
      </c>
      <c r="AL143" s="16" t="e">
        <f t="shared" si="11"/>
        <v>#DIV/0!</v>
      </c>
      <c r="AM143" s="18" t="e">
        <f>IF($J143&gt;=$F143,($J143-$K143)/($J143),(IF($H143&lt;=$K143,($F143-$H143)/($F143),(Table133[[#This Row],[PM Hi]]-Table133[[#This Row],[Lowest lo from open to squeeze]])/(Table133[[#This Row],[PM Hi]]))))</f>
        <v>#DIV/0!</v>
      </c>
      <c r="AN143" s="48" t="e">
        <f>IF(Table133[[#This Row],[Prior day close]]&lt;=Table133[[#This Row],[PM LO]],IF($J143&gt;=$F143,($J143-$K143)/($J143-Table133[[#This Row],[Prior day close]]),(IF($H143&lt;=$K143,($F143-$H143)/($F143-Table133[[#This Row],[Prior day close]]),(Table133[[#This Row],[PM Hi]]-Table133[[#This Row],[Lowest lo from open to squeeze]])/(Table133[[#This Row],[PM Hi]]-Table133[[#This Row],[Prior day close]])))),IF($J143&gt;=$F143,($J143-$K143)/($J143-Table133[[#This Row],[PM LO]]),(IF($H143&lt;=$K143,($F143-$H143)/($F143-Table133[[#This Row],[PM LO]]),(Table133[[#This Row],[PM Hi]]-Table133[[#This Row],[Lowest lo from open to squeeze]])/(Table133[[#This Row],[PM Hi]]-Table133[[#This Row],[PM LO]])))))</f>
        <v>#DIV/0!</v>
      </c>
      <c r="AO143" s="18" t="e">
        <f>IF(J143&gt;=F143,(J143-K143)/(J143-D143),(IF(H143&lt;=K143,(F143-H143)/(F143-D143),(Table133[[#This Row],[PM Hi]]-Table133[[#This Row],[Lowest lo from open to squeeze]])/(Table133[[#This Row],[PM Hi]]-Table133[[#This Row],[Prior day close]]))))</f>
        <v>#DIV/0!</v>
      </c>
      <c r="AP143" s="17">
        <f>390+Table133[[#This Row],[Time until ideal entry point (mins) from open]]</f>
        <v>390</v>
      </c>
      <c r="AQ143" s="17">
        <f>Table133[[#This Row],[Time until ideal entry + 390 (6:30)]]+Table133[[#This Row],[Duration of frontside (mins)]]</f>
        <v>390</v>
      </c>
    </row>
    <row r="144" spans="1:43" x14ac:dyDescent="0.25">
      <c r="A144" s="24" t="s">
        <v>207</v>
      </c>
      <c r="B144" s="47">
        <v>44047</v>
      </c>
      <c r="C144" s="47" t="s">
        <v>143</v>
      </c>
      <c r="D144" s="12"/>
      <c r="E144" s="13"/>
      <c r="F144" s="12"/>
      <c r="G144" s="12"/>
      <c r="H144" s="12"/>
      <c r="I144" s="12"/>
      <c r="J144" s="12"/>
      <c r="K144" s="12"/>
      <c r="N144" s="13"/>
      <c r="P144" s="37"/>
      <c r="Q144" s="46"/>
      <c r="R144" s="37"/>
      <c r="S144" s="37"/>
      <c r="T144" s="37"/>
      <c r="U144" s="38"/>
      <c r="V144" s="46"/>
      <c r="W144" s="37"/>
      <c r="X144" s="46"/>
      <c r="Y144" s="41">
        <f>Table133[[#This Row],[Time until ideal entry + 390 (6:30)]]/(1440)</f>
        <v>0.27083333333333331</v>
      </c>
      <c r="Z144" s="18" t="e">
        <f t="shared" si="12"/>
        <v>#DIV/0!</v>
      </c>
      <c r="AA144" s="18" t="e">
        <f>IF(Table133[[#This Row],[HOD AFTER PM HI]]&gt;=Table133[[#This Row],[PM Hi]],((Table133[[#This Row],[HOD AFTER PM HI]]-Table133[[#This Row],[Prior day close]])/Table133[[#This Row],[Prior day close]]),Table133[[#This Row],[Prior Close to PM Hi %]])</f>
        <v>#DIV/0!</v>
      </c>
      <c r="AB144" s="42" t="e">
        <f>(Table133[[#This Row],[Price at hi of squeeze]]-Table133[[#This Row],[MKT Open Price]])/Table133[[#This Row],[MKT Open Price]]</f>
        <v>#DIV/0!</v>
      </c>
      <c r="AC144" s="18" t="e">
        <f>(Table133[[#This Row],[Price at hi of squeeze]]-Table133[[#This Row],[PM Hi]])/Table133[[#This Row],[PM Hi]]</f>
        <v>#DIV/0!</v>
      </c>
      <c r="AD144" s="18"/>
      <c r="AE144" s="20" t="e">
        <f>Table133[[#This Row],[PM VOL]]/1000000/Table133[[#This Row],[FLOAT(M)]]</f>
        <v>#DIV/0!</v>
      </c>
      <c r="AF144" s="23" t="e">
        <f>(Table133[[#This Row],[Volume]]/1000000)/Table133[[#This Row],[FLOAT(M)]]</f>
        <v>#DIV/0!</v>
      </c>
      <c r="AH144" s="18" t="e">
        <f>(Table133[[#This Row],[PM Hi]]-Table133[[#This Row],[MKT Open Price]])/(Table133[[#This Row],[PM Hi]])</f>
        <v>#DIV/0!</v>
      </c>
      <c r="AI144" s="18" t="e">
        <f>IF(Table133[[#This Row],[PM LO]]&gt;Table133[[#This Row],[Prior day close]],(Table133[[#This Row],[PM Hi]]-Table133[[#This Row],[MKT Open Price]])/(Table133[[#This Row],[PM Hi]]-Table133[[#This Row],[Prior day close]]),(Table133[[#This Row],[PM Hi]]-Table133[[#This Row],[MKT Open Price]])/(Table133[[#This Row],[PM Hi]]-Table133[[#This Row],[PM LO]]))</f>
        <v>#DIV/0!</v>
      </c>
      <c r="AJ144" s="48" t="e">
        <f>IF(Table133[[#This Row],[Prior day close]]&lt;Table133[[#This Row],[PM LO]],(I144-K144)/(I144-Table133[[#This Row],[Prior day close]]),(I144-K144)/(I144-Table133[[#This Row],[PM LO]]))</f>
        <v>#DIV/0!</v>
      </c>
      <c r="AK144" s="48" t="e">
        <f>Table133[[#This Row],[Spike % on open before drop]]+AL144</f>
        <v>#DIV/0!</v>
      </c>
      <c r="AL144" s="16" t="e">
        <f t="shared" si="11"/>
        <v>#DIV/0!</v>
      </c>
      <c r="AM144" s="18" t="e">
        <f>IF($J144&gt;=$F144,($J144-$K144)/($J144),(IF($H144&lt;=$K144,($F144-$H144)/($F144),(Table133[[#This Row],[PM Hi]]-Table133[[#This Row],[Lowest lo from open to squeeze]])/(Table133[[#This Row],[PM Hi]]))))</f>
        <v>#DIV/0!</v>
      </c>
      <c r="AN144" s="48" t="e">
        <f>IF(Table133[[#This Row],[Prior day close]]&lt;=Table133[[#This Row],[PM LO]],IF($J144&gt;=$F144,($J144-$K144)/($J144-Table133[[#This Row],[Prior day close]]),(IF($H144&lt;=$K144,($F144-$H144)/($F144-Table133[[#This Row],[Prior day close]]),(Table133[[#This Row],[PM Hi]]-Table133[[#This Row],[Lowest lo from open to squeeze]])/(Table133[[#This Row],[PM Hi]]-Table133[[#This Row],[Prior day close]])))),IF($J144&gt;=$F144,($J144-$K144)/($J144-Table133[[#This Row],[PM LO]]),(IF($H144&lt;=$K144,($F144-$H144)/($F144-Table133[[#This Row],[PM LO]]),(Table133[[#This Row],[PM Hi]]-Table133[[#This Row],[Lowest lo from open to squeeze]])/(Table133[[#This Row],[PM Hi]]-Table133[[#This Row],[PM LO]])))))</f>
        <v>#DIV/0!</v>
      </c>
      <c r="AO144" s="18" t="e">
        <f>IF(J144&gt;=F144,(J144-K144)/(J144-D144),(IF(H144&lt;=K144,(F144-H144)/(F144-D144),(Table133[[#This Row],[PM Hi]]-Table133[[#This Row],[Lowest lo from open to squeeze]])/(Table133[[#This Row],[PM Hi]]-Table133[[#This Row],[Prior day close]]))))</f>
        <v>#DIV/0!</v>
      </c>
      <c r="AP144" s="17">
        <f>390+Table133[[#This Row],[Time until ideal entry point (mins) from open]]</f>
        <v>390</v>
      </c>
      <c r="AQ144" s="17">
        <f>Table133[[#This Row],[Time until ideal entry + 390 (6:30)]]+Table133[[#This Row],[Duration of frontside (mins)]]</f>
        <v>390</v>
      </c>
    </row>
    <row r="145" spans="1:43" x14ac:dyDescent="0.25">
      <c r="A145" s="24" t="s">
        <v>70</v>
      </c>
      <c r="B145" s="47">
        <v>44098</v>
      </c>
      <c r="C145" s="47" t="s">
        <v>256</v>
      </c>
      <c r="D145" s="12"/>
      <c r="E145" s="13"/>
      <c r="F145" s="12"/>
      <c r="G145" s="12"/>
      <c r="H145" s="12"/>
      <c r="I145" s="12"/>
      <c r="J145" s="12"/>
      <c r="K145" s="12"/>
      <c r="N145" s="13"/>
      <c r="P145" s="37"/>
      <c r="Q145" s="46"/>
      <c r="R145" s="37"/>
      <c r="S145" s="37"/>
      <c r="T145" s="37"/>
      <c r="U145" s="38"/>
      <c r="V145" s="46"/>
      <c r="W145" s="37"/>
      <c r="X145" s="46"/>
      <c r="Y145" s="41">
        <f>Table133[[#This Row],[Time until ideal entry + 390 (6:30)]]/(1440)</f>
        <v>0.27083333333333331</v>
      </c>
      <c r="Z145" s="18" t="e">
        <f t="shared" si="12"/>
        <v>#DIV/0!</v>
      </c>
      <c r="AA145" s="18" t="e">
        <f>IF(Table133[[#This Row],[HOD AFTER PM HI]]&gt;=Table133[[#This Row],[PM Hi]],((Table133[[#This Row],[HOD AFTER PM HI]]-Table133[[#This Row],[Prior day close]])/Table133[[#This Row],[Prior day close]]),Table133[[#This Row],[Prior Close to PM Hi %]])</f>
        <v>#DIV/0!</v>
      </c>
      <c r="AB145" s="42" t="e">
        <f>(Table133[[#This Row],[Price at hi of squeeze]]-Table133[[#This Row],[MKT Open Price]])/Table133[[#This Row],[MKT Open Price]]</f>
        <v>#DIV/0!</v>
      </c>
      <c r="AC145" s="18" t="e">
        <f>(Table133[[#This Row],[Price at hi of squeeze]]-Table133[[#This Row],[PM Hi]])/Table133[[#This Row],[PM Hi]]</f>
        <v>#DIV/0!</v>
      </c>
      <c r="AD145" s="18"/>
      <c r="AE145" s="20" t="e">
        <f>Table133[[#This Row],[PM VOL]]/1000000/Table133[[#This Row],[FLOAT(M)]]</f>
        <v>#DIV/0!</v>
      </c>
      <c r="AF145" s="23" t="e">
        <f>(Table133[[#This Row],[Volume]]/1000000)/Table133[[#This Row],[FLOAT(M)]]</f>
        <v>#DIV/0!</v>
      </c>
      <c r="AH145" s="18" t="e">
        <f>(Table133[[#This Row],[PM Hi]]-Table133[[#This Row],[MKT Open Price]])/(Table133[[#This Row],[PM Hi]])</f>
        <v>#DIV/0!</v>
      </c>
      <c r="AI145" s="18" t="e">
        <f>IF(Table133[[#This Row],[PM LO]]&gt;Table133[[#This Row],[Prior day close]],(Table133[[#This Row],[PM Hi]]-Table133[[#This Row],[MKT Open Price]])/(Table133[[#This Row],[PM Hi]]-Table133[[#This Row],[Prior day close]]),(Table133[[#This Row],[PM Hi]]-Table133[[#This Row],[MKT Open Price]])/(Table133[[#This Row],[PM Hi]]-Table133[[#This Row],[PM LO]]))</f>
        <v>#DIV/0!</v>
      </c>
      <c r="AJ145" s="48" t="e">
        <f>IF(Table133[[#This Row],[Prior day close]]&lt;Table133[[#This Row],[PM LO]],(I145-K145)/(I145-Table133[[#This Row],[Prior day close]]),(I145-K145)/(I145-Table133[[#This Row],[PM LO]]))</f>
        <v>#DIV/0!</v>
      </c>
      <c r="AK145" s="48" t="e">
        <f>Table133[[#This Row],[Spike % on open before drop]]+AL145</f>
        <v>#DIV/0!</v>
      </c>
      <c r="AL145" s="16" t="e">
        <f t="shared" si="11"/>
        <v>#DIV/0!</v>
      </c>
      <c r="AM145" s="18" t="e">
        <f>IF($J145&gt;=$F145,($J145-$K145)/($J145),(IF($H145&lt;=$K145,($F145-$H145)/($F145),(Table133[[#This Row],[PM Hi]]-Table133[[#This Row],[Lowest lo from open to squeeze]])/(Table133[[#This Row],[PM Hi]]))))</f>
        <v>#DIV/0!</v>
      </c>
      <c r="AN145" s="48" t="e">
        <f>IF(Table133[[#This Row],[Prior day close]]&lt;=Table133[[#This Row],[PM LO]],IF($J145&gt;=$F145,($J145-$K145)/($J145-Table133[[#This Row],[Prior day close]]),(IF($H145&lt;=$K145,($F145-$H145)/($F145-Table133[[#This Row],[Prior day close]]),(Table133[[#This Row],[PM Hi]]-Table133[[#This Row],[Lowest lo from open to squeeze]])/(Table133[[#This Row],[PM Hi]]-Table133[[#This Row],[Prior day close]])))),IF($J145&gt;=$F145,($J145-$K145)/($J145-Table133[[#This Row],[PM LO]]),(IF($H145&lt;=$K145,($F145-$H145)/($F145-Table133[[#This Row],[PM LO]]),(Table133[[#This Row],[PM Hi]]-Table133[[#This Row],[Lowest lo from open to squeeze]])/(Table133[[#This Row],[PM Hi]]-Table133[[#This Row],[PM LO]])))))</f>
        <v>#DIV/0!</v>
      </c>
      <c r="AO145" s="18" t="e">
        <f>IF(J145&gt;=F145,(J145-K145)/(J145-D145),(IF(H145&lt;=K145,(F145-H145)/(F145-D145),(Table133[[#This Row],[PM Hi]]-Table133[[#This Row],[Lowest lo from open to squeeze]])/(Table133[[#This Row],[PM Hi]]-Table133[[#This Row],[Prior day close]]))))</f>
        <v>#DIV/0!</v>
      </c>
      <c r="AP145" s="17">
        <f>390+Table133[[#This Row],[Time until ideal entry point (mins) from open]]</f>
        <v>390</v>
      </c>
      <c r="AQ145" s="17">
        <f>Table133[[#This Row],[Time until ideal entry + 390 (6:30)]]+Table133[[#This Row],[Duration of frontside (mins)]]</f>
        <v>390</v>
      </c>
    </row>
    <row r="146" spans="1:43" x14ac:dyDescent="0.25">
      <c r="A146" s="24" t="s">
        <v>225</v>
      </c>
      <c r="B146" s="47">
        <v>44109</v>
      </c>
      <c r="C146" s="47" t="s">
        <v>256</v>
      </c>
      <c r="D146" s="12"/>
      <c r="E146" s="13"/>
      <c r="F146" s="12"/>
      <c r="G146" s="12"/>
      <c r="H146" s="12"/>
      <c r="I146" s="12"/>
      <c r="J146" s="12"/>
      <c r="K146" s="12"/>
      <c r="N146" s="13"/>
      <c r="P146" s="37"/>
      <c r="Q146" s="46"/>
      <c r="R146" s="37"/>
      <c r="S146" s="37"/>
      <c r="T146" s="37"/>
      <c r="U146" s="38"/>
      <c r="V146" s="46"/>
      <c r="W146" s="37"/>
      <c r="X146" s="46"/>
      <c r="Y146" s="41">
        <f>Table133[[#This Row],[Time until ideal entry + 390 (6:30)]]/(1440)</f>
        <v>0.27083333333333331</v>
      </c>
      <c r="Z146" s="18" t="e">
        <f t="shared" si="12"/>
        <v>#DIV/0!</v>
      </c>
      <c r="AA146" s="18" t="e">
        <f>IF(Table133[[#This Row],[HOD AFTER PM HI]]&gt;=Table133[[#This Row],[PM Hi]],((Table133[[#This Row],[HOD AFTER PM HI]]-Table133[[#This Row],[Prior day close]])/Table133[[#This Row],[Prior day close]]),Table133[[#This Row],[Prior Close to PM Hi %]])</f>
        <v>#DIV/0!</v>
      </c>
      <c r="AB146" s="42" t="e">
        <f>(Table133[[#This Row],[Price at hi of squeeze]]-Table133[[#This Row],[MKT Open Price]])/Table133[[#This Row],[MKT Open Price]]</f>
        <v>#DIV/0!</v>
      </c>
      <c r="AC146" s="18" t="e">
        <f>(Table133[[#This Row],[Price at hi of squeeze]]-Table133[[#This Row],[PM Hi]])/Table133[[#This Row],[PM Hi]]</f>
        <v>#DIV/0!</v>
      </c>
      <c r="AD146" s="18"/>
      <c r="AE146" s="20" t="e">
        <f>Table133[[#This Row],[PM VOL]]/1000000/Table133[[#This Row],[FLOAT(M)]]</f>
        <v>#DIV/0!</v>
      </c>
      <c r="AF146" s="23" t="e">
        <f>(Table133[[#This Row],[Volume]]/1000000)/Table133[[#This Row],[FLOAT(M)]]</f>
        <v>#DIV/0!</v>
      </c>
      <c r="AH146" s="18" t="e">
        <f>(Table133[[#This Row],[PM Hi]]-Table133[[#This Row],[MKT Open Price]])/(Table133[[#This Row],[PM Hi]])</f>
        <v>#DIV/0!</v>
      </c>
      <c r="AI146" s="18" t="e">
        <f>IF(Table133[[#This Row],[PM LO]]&gt;Table133[[#This Row],[Prior day close]],(Table133[[#This Row],[PM Hi]]-Table133[[#This Row],[MKT Open Price]])/(Table133[[#This Row],[PM Hi]]-Table133[[#This Row],[Prior day close]]),(Table133[[#This Row],[PM Hi]]-Table133[[#This Row],[MKT Open Price]])/(Table133[[#This Row],[PM Hi]]-Table133[[#This Row],[PM LO]]))</f>
        <v>#DIV/0!</v>
      </c>
      <c r="AJ146" s="48" t="e">
        <f>IF(Table133[[#This Row],[Prior day close]]&lt;Table133[[#This Row],[PM LO]],(I146-K146)/(I146-Table133[[#This Row],[Prior day close]]),(I146-K146)/(I146-Table133[[#This Row],[PM LO]]))</f>
        <v>#DIV/0!</v>
      </c>
      <c r="AK146" s="48" t="e">
        <f>Table133[[#This Row],[Spike % on open before drop]]+AL146</f>
        <v>#DIV/0!</v>
      </c>
      <c r="AL146" s="16" t="e">
        <f t="shared" si="11"/>
        <v>#DIV/0!</v>
      </c>
      <c r="AM146" s="18" t="e">
        <f>IF($J146&gt;=$F146,($J146-$K146)/($J146),(IF($H146&lt;=$K146,($F146-$H146)/($F146),(Table133[[#This Row],[PM Hi]]-Table133[[#This Row],[Lowest lo from open to squeeze]])/(Table133[[#This Row],[PM Hi]]))))</f>
        <v>#DIV/0!</v>
      </c>
      <c r="AN146" s="48" t="e">
        <f>IF(Table133[[#This Row],[Prior day close]]&lt;=Table133[[#This Row],[PM LO]],IF($J146&gt;=$F146,($J146-$K146)/($J146-Table133[[#This Row],[Prior day close]]),(IF($H146&lt;=$K146,($F146-$H146)/($F146-Table133[[#This Row],[Prior day close]]),(Table133[[#This Row],[PM Hi]]-Table133[[#This Row],[Lowest lo from open to squeeze]])/(Table133[[#This Row],[PM Hi]]-Table133[[#This Row],[Prior day close]])))),IF($J146&gt;=$F146,($J146-$K146)/($J146-Table133[[#This Row],[PM LO]]),(IF($H146&lt;=$K146,($F146-$H146)/($F146-Table133[[#This Row],[PM LO]]),(Table133[[#This Row],[PM Hi]]-Table133[[#This Row],[Lowest lo from open to squeeze]])/(Table133[[#This Row],[PM Hi]]-Table133[[#This Row],[PM LO]])))))</f>
        <v>#DIV/0!</v>
      </c>
      <c r="AO146" s="18" t="e">
        <f>IF(J146&gt;=F146,(J146-K146)/(J146-D146),(IF(H146&lt;=K146,(F146-H146)/(F146-D146),(Table133[[#This Row],[PM Hi]]-Table133[[#This Row],[Lowest lo from open to squeeze]])/(Table133[[#This Row],[PM Hi]]-Table133[[#This Row],[Prior day close]]))))</f>
        <v>#DIV/0!</v>
      </c>
      <c r="AP146" s="17">
        <f>390+Table133[[#This Row],[Time until ideal entry point (mins) from open]]</f>
        <v>390</v>
      </c>
      <c r="AQ146" s="17">
        <f>Table133[[#This Row],[Time until ideal entry + 390 (6:30)]]+Table133[[#This Row],[Duration of frontside (mins)]]</f>
        <v>390</v>
      </c>
    </row>
    <row r="147" spans="1:43" x14ac:dyDescent="0.25">
      <c r="A147" s="24" t="s">
        <v>67</v>
      </c>
      <c r="B147" s="47">
        <v>44113</v>
      </c>
      <c r="C147" s="47" t="s">
        <v>256</v>
      </c>
      <c r="D147" s="12"/>
      <c r="E147" s="13"/>
      <c r="F147" s="12"/>
      <c r="G147" s="12"/>
      <c r="H147" s="12"/>
      <c r="I147" s="12"/>
      <c r="J147" s="12"/>
      <c r="K147" s="12"/>
      <c r="N147" s="13"/>
      <c r="P147" s="37"/>
      <c r="Q147" s="46"/>
      <c r="R147" s="37"/>
      <c r="S147" s="37"/>
      <c r="T147" s="37"/>
      <c r="U147" s="38"/>
      <c r="V147" s="46"/>
      <c r="W147" s="37"/>
      <c r="X147" s="46"/>
      <c r="Y147" s="41">
        <f>Table133[[#This Row],[Time until ideal entry + 390 (6:30)]]/(1440)</f>
        <v>0.27083333333333331</v>
      </c>
      <c r="Z147" s="18" t="e">
        <f t="shared" si="12"/>
        <v>#DIV/0!</v>
      </c>
      <c r="AA147" s="18" t="e">
        <f>IF(Table133[[#This Row],[HOD AFTER PM HI]]&gt;=Table133[[#This Row],[PM Hi]],((Table133[[#This Row],[HOD AFTER PM HI]]-Table133[[#This Row],[Prior day close]])/Table133[[#This Row],[Prior day close]]),Table133[[#This Row],[Prior Close to PM Hi %]])</f>
        <v>#DIV/0!</v>
      </c>
      <c r="AB147" s="42" t="e">
        <f>(Table133[[#This Row],[Price at hi of squeeze]]-Table133[[#This Row],[MKT Open Price]])/Table133[[#This Row],[MKT Open Price]]</f>
        <v>#DIV/0!</v>
      </c>
      <c r="AC147" s="18" t="e">
        <f>(Table133[[#This Row],[Price at hi of squeeze]]-Table133[[#This Row],[PM Hi]])/Table133[[#This Row],[PM Hi]]</f>
        <v>#DIV/0!</v>
      </c>
      <c r="AD147" s="18"/>
      <c r="AE147" s="20" t="e">
        <f>Table133[[#This Row],[PM VOL]]/1000000/Table133[[#This Row],[FLOAT(M)]]</f>
        <v>#DIV/0!</v>
      </c>
      <c r="AF147" s="23" t="e">
        <f>(Table133[[#This Row],[Volume]]/1000000)/Table133[[#This Row],[FLOAT(M)]]</f>
        <v>#DIV/0!</v>
      </c>
      <c r="AH147" s="18" t="e">
        <f>(Table133[[#This Row],[PM Hi]]-Table133[[#This Row],[MKT Open Price]])/(Table133[[#This Row],[PM Hi]])</f>
        <v>#DIV/0!</v>
      </c>
      <c r="AI147" s="18" t="e">
        <f>IF(Table133[[#This Row],[PM LO]]&gt;Table133[[#This Row],[Prior day close]],(Table133[[#This Row],[PM Hi]]-Table133[[#This Row],[MKT Open Price]])/(Table133[[#This Row],[PM Hi]]-Table133[[#This Row],[Prior day close]]),(Table133[[#This Row],[PM Hi]]-Table133[[#This Row],[MKT Open Price]])/(Table133[[#This Row],[PM Hi]]-Table133[[#This Row],[PM LO]]))</f>
        <v>#DIV/0!</v>
      </c>
      <c r="AJ147" s="48" t="e">
        <f>IF(Table133[[#This Row],[Prior day close]]&lt;Table133[[#This Row],[PM LO]],(I147-K147)/(I147-Table133[[#This Row],[Prior day close]]),(I147-K147)/(I147-Table133[[#This Row],[PM LO]]))</f>
        <v>#DIV/0!</v>
      </c>
      <c r="AK147" s="48" t="e">
        <f>Table133[[#This Row],[Spike % on open before drop]]+AL147</f>
        <v>#DIV/0!</v>
      </c>
      <c r="AL147" s="16" t="e">
        <f t="shared" si="11"/>
        <v>#DIV/0!</v>
      </c>
      <c r="AM147" s="18" t="e">
        <f>IF($J147&gt;=$F147,($J147-$K147)/($J147),(IF($H147&lt;=$K147,($F147-$H147)/($F147),(Table133[[#This Row],[PM Hi]]-Table133[[#This Row],[Lowest lo from open to squeeze]])/(Table133[[#This Row],[PM Hi]]))))</f>
        <v>#DIV/0!</v>
      </c>
      <c r="AN147" s="48" t="e">
        <f>IF(Table133[[#This Row],[Prior day close]]&lt;=Table133[[#This Row],[PM LO]],IF($J147&gt;=$F147,($J147-$K147)/($J147-Table133[[#This Row],[Prior day close]]),(IF($H147&lt;=$K147,($F147-$H147)/($F147-Table133[[#This Row],[Prior day close]]),(Table133[[#This Row],[PM Hi]]-Table133[[#This Row],[Lowest lo from open to squeeze]])/(Table133[[#This Row],[PM Hi]]-Table133[[#This Row],[Prior day close]])))),IF($J147&gt;=$F147,($J147-$K147)/($J147-Table133[[#This Row],[PM LO]]),(IF($H147&lt;=$K147,($F147-$H147)/($F147-Table133[[#This Row],[PM LO]]),(Table133[[#This Row],[PM Hi]]-Table133[[#This Row],[Lowest lo from open to squeeze]])/(Table133[[#This Row],[PM Hi]]-Table133[[#This Row],[PM LO]])))))</f>
        <v>#DIV/0!</v>
      </c>
      <c r="AO147" s="18" t="e">
        <f>IF(J147&gt;=F147,(J147-K147)/(J147-D147),(IF(H147&lt;=K147,(F147-H147)/(F147-D147),(Table133[[#This Row],[PM Hi]]-Table133[[#This Row],[Lowest lo from open to squeeze]])/(Table133[[#This Row],[PM Hi]]-Table133[[#This Row],[Prior day close]]))))</f>
        <v>#DIV/0!</v>
      </c>
      <c r="AP147" s="17">
        <f>390+Table133[[#This Row],[Time until ideal entry point (mins) from open]]</f>
        <v>390</v>
      </c>
      <c r="AQ147" s="17">
        <f>Table133[[#This Row],[Time until ideal entry + 390 (6:30)]]+Table133[[#This Row],[Duration of frontside (mins)]]</f>
        <v>390</v>
      </c>
    </row>
    <row r="148" spans="1:43" x14ac:dyDescent="0.25">
      <c r="A148" s="24" t="s">
        <v>229</v>
      </c>
      <c r="B148" s="47">
        <v>44119</v>
      </c>
      <c r="C148" s="47" t="s">
        <v>256</v>
      </c>
      <c r="D148" s="12"/>
      <c r="E148" s="13"/>
      <c r="F148" s="12"/>
      <c r="G148" s="12"/>
      <c r="H148" s="12"/>
      <c r="I148" s="12"/>
      <c r="J148" s="12"/>
      <c r="K148" s="12"/>
      <c r="N148" s="13"/>
      <c r="P148" s="37"/>
      <c r="Q148" s="46"/>
      <c r="R148" s="37"/>
      <c r="S148" s="37"/>
      <c r="T148" s="37"/>
      <c r="U148" s="38"/>
      <c r="V148" s="46"/>
      <c r="W148" s="37"/>
      <c r="X148" s="46"/>
      <c r="Y148" s="41">
        <f>Table133[[#This Row],[Time until ideal entry + 390 (6:30)]]/(1440)</f>
        <v>0.27083333333333331</v>
      </c>
      <c r="Z148" s="18" t="e">
        <f t="shared" si="12"/>
        <v>#DIV/0!</v>
      </c>
      <c r="AA148" s="18" t="e">
        <f>IF(Table133[[#This Row],[HOD AFTER PM HI]]&gt;=Table133[[#This Row],[PM Hi]],((Table133[[#This Row],[HOD AFTER PM HI]]-Table133[[#This Row],[Prior day close]])/Table133[[#This Row],[Prior day close]]),Table133[[#This Row],[Prior Close to PM Hi %]])</f>
        <v>#DIV/0!</v>
      </c>
      <c r="AB148" s="42" t="e">
        <f>(Table133[[#This Row],[Price at hi of squeeze]]-Table133[[#This Row],[MKT Open Price]])/Table133[[#This Row],[MKT Open Price]]</f>
        <v>#DIV/0!</v>
      </c>
      <c r="AC148" s="18" t="e">
        <f>(Table133[[#This Row],[Price at hi of squeeze]]-Table133[[#This Row],[PM Hi]])/Table133[[#This Row],[PM Hi]]</f>
        <v>#DIV/0!</v>
      </c>
      <c r="AD148" s="18"/>
      <c r="AE148" s="20" t="e">
        <f>Table133[[#This Row],[PM VOL]]/1000000/Table133[[#This Row],[FLOAT(M)]]</f>
        <v>#DIV/0!</v>
      </c>
      <c r="AF148" s="23" t="e">
        <f>(Table133[[#This Row],[Volume]]/1000000)/Table133[[#This Row],[FLOAT(M)]]</f>
        <v>#DIV/0!</v>
      </c>
      <c r="AH148" s="18" t="e">
        <f>(Table133[[#This Row],[PM Hi]]-Table133[[#This Row],[MKT Open Price]])/(Table133[[#This Row],[PM Hi]])</f>
        <v>#DIV/0!</v>
      </c>
      <c r="AI148" s="18" t="e">
        <f>IF(Table133[[#This Row],[PM LO]]&gt;Table133[[#This Row],[Prior day close]],(Table133[[#This Row],[PM Hi]]-Table133[[#This Row],[MKT Open Price]])/(Table133[[#This Row],[PM Hi]]-Table133[[#This Row],[Prior day close]]),(Table133[[#This Row],[PM Hi]]-Table133[[#This Row],[MKT Open Price]])/(Table133[[#This Row],[PM Hi]]-Table133[[#This Row],[PM LO]]))</f>
        <v>#DIV/0!</v>
      </c>
      <c r="AJ148" s="48" t="e">
        <f>IF(Table133[[#This Row],[Prior day close]]&lt;Table133[[#This Row],[PM LO]],(I148-K148)/(I148-Table133[[#This Row],[Prior day close]]),(I148-K148)/(I148-Table133[[#This Row],[PM LO]]))</f>
        <v>#DIV/0!</v>
      </c>
      <c r="AK148" s="48" t="e">
        <f>Table133[[#This Row],[Spike % on open before drop]]+AL148</f>
        <v>#DIV/0!</v>
      </c>
      <c r="AL148" s="16" t="e">
        <f t="shared" si="11"/>
        <v>#DIV/0!</v>
      </c>
      <c r="AM148" s="18" t="e">
        <f>IF($J148&gt;=$F148,($J148-$K148)/($J148),(IF($H148&lt;=$K148,($F148-$H148)/($F148),(Table133[[#This Row],[PM Hi]]-Table133[[#This Row],[Lowest lo from open to squeeze]])/(Table133[[#This Row],[PM Hi]]))))</f>
        <v>#DIV/0!</v>
      </c>
      <c r="AN148" s="48" t="e">
        <f>IF(Table133[[#This Row],[Prior day close]]&lt;=Table133[[#This Row],[PM LO]],IF($J148&gt;=$F148,($J148-$K148)/($J148-Table133[[#This Row],[Prior day close]]),(IF($H148&lt;=$K148,($F148-$H148)/($F148-Table133[[#This Row],[Prior day close]]),(Table133[[#This Row],[PM Hi]]-Table133[[#This Row],[Lowest lo from open to squeeze]])/(Table133[[#This Row],[PM Hi]]-Table133[[#This Row],[Prior day close]])))),IF($J148&gt;=$F148,($J148-$K148)/($J148-Table133[[#This Row],[PM LO]]),(IF($H148&lt;=$K148,($F148-$H148)/($F148-Table133[[#This Row],[PM LO]]),(Table133[[#This Row],[PM Hi]]-Table133[[#This Row],[Lowest lo from open to squeeze]])/(Table133[[#This Row],[PM Hi]]-Table133[[#This Row],[PM LO]])))))</f>
        <v>#DIV/0!</v>
      </c>
      <c r="AO148" s="18" t="e">
        <f>IF(J148&gt;=F148,(J148-K148)/(J148-D148),(IF(H148&lt;=K148,(F148-H148)/(F148-D148),(Table133[[#This Row],[PM Hi]]-Table133[[#This Row],[Lowest lo from open to squeeze]])/(Table133[[#This Row],[PM Hi]]-Table133[[#This Row],[Prior day close]]))))</f>
        <v>#DIV/0!</v>
      </c>
      <c r="AP148" s="17">
        <f>390+Table133[[#This Row],[Time until ideal entry point (mins) from open]]</f>
        <v>390</v>
      </c>
      <c r="AQ148" s="17">
        <f>Table133[[#This Row],[Time until ideal entry + 390 (6:30)]]+Table133[[#This Row],[Duration of frontside (mins)]]</f>
        <v>390</v>
      </c>
    </row>
    <row r="149" spans="1:43" x14ac:dyDescent="0.25">
      <c r="A149" s="24" t="s">
        <v>197</v>
      </c>
      <c r="B149" s="47">
        <v>43999</v>
      </c>
      <c r="C149" s="47" t="s">
        <v>143</v>
      </c>
      <c r="D149" s="12"/>
      <c r="E149" s="13"/>
      <c r="F149" s="12"/>
      <c r="G149" s="12"/>
      <c r="H149" s="12"/>
      <c r="I149" s="12"/>
      <c r="J149" s="12"/>
      <c r="K149" s="12"/>
      <c r="N149" s="13"/>
      <c r="P149" s="37"/>
      <c r="Q149" s="46"/>
      <c r="R149" s="37"/>
      <c r="S149" s="37"/>
      <c r="T149" s="37"/>
      <c r="U149" s="38"/>
      <c r="V149" s="46"/>
      <c r="W149" s="37"/>
      <c r="X149" s="46"/>
      <c r="Y149" s="41">
        <f>Table133[[#This Row],[Time until ideal entry + 390 (6:30)]]/(1440)</f>
        <v>0.27083333333333331</v>
      </c>
      <c r="Z149" s="18" t="e">
        <f t="shared" si="12"/>
        <v>#DIV/0!</v>
      </c>
      <c r="AA149" s="18" t="e">
        <f>IF(Table133[[#This Row],[HOD AFTER PM HI]]&gt;=Table133[[#This Row],[PM Hi]],((Table133[[#This Row],[HOD AFTER PM HI]]-Table133[[#This Row],[Prior day close]])/Table133[[#This Row],[Prior day close]]),Table133[[#This Row],[Prior Close to PM Hi %]])</f>
        <v>#DIV/0!</v>
      </c>
      <c r="AB149" s="42" t="e">
        <f>(Table133[[#This Row],[Price at hi of squeeze]]-Table133[[#This Row],[MKT Open Price]])/Table133[[#This Row],[MKT Open Price]]</f>
        <v>#DIV/0!</v>
      </c>
      <c r="AC149" s="18" t="e">
        <f>(Table133[[#This Row],[Price at hi of squeeze]]-Table133[[#This Row],[PM Hi]])/Table133[[#This Row],[PM Hi]]</f>
        <v>#DIV/0!</v>
      </c>
      <c r="AD149" s="18"/>
      <c r="AE149" s="20" t="e">
        <f>Table133[[#This Row],[PM VOL]]/1000000/Table133[[#This Row],[FLOAT(M)]]</f>
        <v>#DIV/0!</v>
      </c>
      <c r="AF149" s="23" t="e">
        <f>(Table133[[#This Row],[Volume]]/1000000)/Table133[[#This Row],[FLOAT(M)]]</f>
        <v>#DIV/0!</v>
      </c>
      <c r="AH149" s="18" t="e">
        <f>(Table133[[#This Row],[PM Hi]]-Table133[[#This Row],[MKT Open Price]])/(Table133[[#This Row],[PM Hi]])</f>
        <v>#DIV/0!</v>
      </c>
      <c r="AI149" s="18" t="e">
        <f>IF(Table133[[#This Row],[PM LO]]&gt;Table133[[#This Row],[Prior day close]],(Table133[[#This Row],[PM Hi]]-Table133[[#This Row],[MKT Open Price]])/(Table133[[#This Row],[PM Hi]]-Table133[[#This Row],[Prior day close]]),(Table133[[#This Row],[PM Hi]]-Table133[[#This Row],[MKT Open Price]])/(Table133[[#This Row],[PM Hi]]-Table133[[#This Row],[PM LO]]))</f>
        <v>#DIV/0!</v>
      </c>
      <c r="AJ149" s="48" t="e">
        <f>IF(Table133[[#This Row],[Prior day close]]&lt;Table133[[#This Row],[PM LO]],(I149-K149)/(I149-Table133[[#This Row],[Prior day close]]),(I149-K149)/(I149-Table133[[#This Row],[PM LO]]))</f>
        <v>#DIV/0!</v>
      </c>
      <c r="AK149" s="48" t="e">
        <f>Table133[[#This Row],[Spike % on open before drop]]+AL149</f>
        <v>#DIV/0!</v>
      </c>
      <c r="AL149" s="16" t="e">
        <f t="shared" si="11"/>
        <v>#DIV/0!</v>
      </c>
      <c r="AM149" s="18" t="e">
        <f>IF($J149&gt;=$F149,($J149-$K149)/($J149),(IF($H149&lt;=$K149,($F149-$H149)/($F149),(Table133[[#This Row],[PM Hi]]-Table133[[#This Row],[Lowest lo from open to squeeze]])/(Table133[[#This Row],[PM Hi]]))))</f>
        <v>#DIV/0!</v>
      </c>
      <c r="AN149" s="48" t="e">
        <f>IF(Table133[[#This Row],[Prior day close]]&lt;=Table133[[#This Row],[PM LO]],IF($J149&gt;=$F149,($J149-$K149)/($J149-Table133[[#This Row],[Prior day close]]),(IF($H149&lt;=$K149,($F149-$H149)/($F149-Table133[[#This Row],[Prior day close]]),(Table133[[#This Row],[PM Hi]]-Table133[[#This Row],[Lowest lo from open to squeeze]])/(Table133[[#This Row],[PM Hi]]-Table133[[#This Row],[Prior day close]])))),IF($J149&gt;=$F149,($J149-$K149)/($J149-Table133[[#This Row],[PM LO]]),(IF($H149&lt;=$K149,($F149-$H149)/($F149-Table133[[#This Row],[PM LO]]),(Table133[[#This Row],[PM Hi]]-Table133[[#This Row],[Lowest lo from open to squeeze]])/(Table133[[#This Row],[PM Hi]]-Table133[[#This Row],[PM LO]])))))</f>
        <v>#DIV/0!</v>
      </c>
      <c r="AO149" s="18" t="e">
        <f>IF(J149&gt;=F149,(J149-K149)/(J149-D149),(IF(H149&lt;=K149,(F149-H149)/(F149-D149),(Table133[[#This Row],[PM Hi]]-Table133[[#This Row],[Lowest lo from open to squeeze]])/(Table133[[#This Row],[PM Hi]]-Table133[[#This Row],[Prior day close]]))))</f>
        <v>#DIV/0!</v>
      </c>
      <c r="AP149" s="17">
        <f>390+Table133[[#This Row],[Time until ideal entry point (mins) from open]]</f>
        <v>390</v>
      </c>
      <c r="AQ149" s="17">
        <f>Table133[[#This Row],[Time until ideal entry + 390 (6:30)]]+Table133[[#This Row],[Duration of frontside (mins)]]</f>
        <v>390</v>
      </c>
    </row>
    <row r="150" spans="1:43" x14ac:dyDescent="0.25">
      <c r="A150" s="24" t="s">
        <v>231</v>
      </c>
      <c r="B150" s="47">
        <v>44126</v>
      </c>
      <c r="C150" s="47" t="s">
        <v>256</v>
      </c>
      <c r="D150" s="12"/>
      <c r="E150" s="13"/>
      <c r="F150" s="12"/>
      <c r="G150" s="12"/>
      <c r="H150" s="12"/>
      <c r="I150" s="12"/>
      <c r="J150" s="12"/>
      <c r="K150" s="12"/>
      <c r="N150" s="13"/>
      <c r="P150" s="37"/>
      <c r="Q150" s="46"/>
      <c r="R150" s="37"/>
      <c r="S150" s="37"/>
      <c r="T150" s="37"/>
      <c r="U150" s="38"/>
      <c r="V150" s="46"/>
      <c r="W150" s="37"/>
      <c r="X150" s="46"/>
      <c r="Y150" s="41">
        <f>Table133[[#This Row],[Time until ideal entry + 390 (6:30)]]/(1440)</f>
        <v>0.27083333333333331</v>
      </c>
      <c r="Z150" s="18" t="e">
        <f t="shared" si="12"/>
        <v>#DIV/0!</v>
      </c>
      <c r="AA150" s="18" t="e">
        <f>IF(Table133[[#This Row],[HOD AFTER PM HI]]&gt;=Table133[[#This Row],[PM Hi]],((Table133[[#This Row],[HOD AFTER PM HI]]-Table133[[#This Row],[Prior day close]])/Table133[[#This Row],[Prior day close]]),Table133[[#This Row],[Prior Close to PM Hi %]])</f>
        <v>#DIV/0!</v>
      </c>
      <c r="AB150" s="42" t="e">
        <f>(Table133[[#This Row],[Price at hi of squeeze]]-Table133[[#This Row],[MKT Open Price]])/Table133[[#This Row],[MKT Open Price]]</f>
        <v>#DIV/0!</v>
      </c>
      <c r="AC150" s="18" t="e">
        <f>(Table133[[#This Row],[Price at hi of squeeze]]-Table133[[#This Row],[PM Hi]])/Table133[[#This Row],[PM Hi]]</f>
        <v>#DIV/0!</v>
      </c>
      <c r="AD150" s="18"/>
      <c r="AE150" s="20" t="e">
        <f>Table133[[#This Row],[PM VOL]]/1000000/Table133[[#This Row],[FLOAT(M)]]</f>
        <v>#DIV/0!</v>
      </c>
      <c r="AF150" s="23" t="e">
        <f>(Table133[[#This Row],[Volume]]/1000000)/Table133[[#This Row],[FLOAT(M)]]</f>
        <v>#DIV/0!</v>
      </c>
      <c r="AH150" s="18" t="e">
        <f>(Table133[[#This Row],[PM Hi]]-Table133[[#This Row],[MKT Open Price]])/(Table133[[#This Row],[PM Hi]])</f>
        <v>#DIV/0!</v>
      </c>
      <c r="AI150" s="18" t="e">
        <f>IF(Table133[[#This Row],[PM LO]]&gt;Table133[[#This Row],[Prior day close]],(Table133[[#This Row],[PM Hi]]-Table133[[#This Row],[MKT Open Price]])/(Table133[[#This Row],[PM Hi]]-Table133[[#This Row],[Prior day close]]),(Table133[[#This Row],[PM Hi]]-Table133[[#This Row],[MKT Open Price]])/(Table133[[#This Row],[PM Hi]]-Table133[[#This Row],[PM LO]]))</f>
        <v>#DIV/0!</v>
      </c>
      <c r="AJ150" s="48" t="e">
        <f>IF(Table133[[#This Row],[Prior day close]]&lt;Table133[[#This Row],[PM LO]],(I150-K150)/(I150-Table133[[#This Row],[Prior day close]]),(I150-K150)/(I150-Table133[[#This Row],[PM LO]]))</f>
        <v>#DIV/0!</v>
      </c>
      <c r="AK150" s="48" t="e">
        <f>Table133[[#This Row],[Spike % on open before drop]]+AL150</f>
        <v>#DIV/0!</v>
      </c>
      <c r="AL150" s="16" t="e">
        <f t="shared" si="11"/>
        <v>#DIV/0!</v>
      </c>
      <c r="AM150" s="18" t="e">
        <f>IF($J150&gt;=$F150,($J150-$K150)/($J150),(IF($H150&lt;=$K150,($F150-$H150)/($F150),(Table133[[#This Row],[PM Hi]]-Table133[[#This Row],[Lowest lo from open to squeeze]])/(Table133[[#This Row],[PM Hi]]))))</f>
        <v>#DIV/0!</v>
      </c>
      <c r="AN150" s="48" t="e">
        <f>IF(Table133[[#This Row],[Prior day close]]&lt;=Table133[[#This Row],[PM LO]],IF($J150&gt;=$F150,($J150-$K150)/($J150-Table133[[#This Row],[Prior day close]]),(IF($H150&lt;=$K150,($F150-$H150)/($F150-Table133[[#This Row],[Prior day close]]),(Table133[[#This Row],[PM Hi]]-Table133[[#This Row],[Lowest lo from open to squeeze]])/(Table133[[#This Row],[PM Hi]]-Table133[[#This Row],[Prior day close]])))),IF($J150&gt;=$F150,($J150-$K150)/($J150-Table133[[#This Row],[PM LO]]),(IF($H150&lt;=$K150,($F150-$H150)/($F150-Table133[[#This Row],[PM LO]]),(Table133[[#This Row],[PM Hi]]-Table133[[#This Row],[Lowest lo from open to squeeze]])/(Table133[[#This Row],[PM Hi]]-Table133[[#This Row],[PM LO]])))))</f>
        <v>#DIV/0!</v>
      </c>
      <c r="AO150" s="18" t="e">
        <f>IF(J150&gt;=F150,(J150-K150)/(J150-D150),(IF(H150&lt;=K150,(F150-H150)/(F150-D150),(Table133[[#This Row],[PM Hi]]-Table133[[#This Row],[Lowest lo from open to squeeze]])/(Table133[[#This Row],[PM Hi]]-Table133[[#This Row],[Prior day close]]))))</f>
        <v>#DIV/0!</v>
      </c>
      <c r="AP150" s="17">
        <f>390+Table133[[#This Row],[Time until ideal entry point (mins) from open]]</f>
        <v>390</v>
      </c>
      <c r="AQ150" s="17">
        <f>Table133[[#This Row],[Time until ideal entry + 390 (6:30)]]+Table133[[#This Row],[Duration of frontside (mins)]]</f>
        <v>390</v>
      </c>
    </row>
    <row r="151" spans="1:43" x14ac:dyDescent="0.25">
      <c r="A151" s="24" t="s">
        <v>232</v>
      </c>
      <c r="B151" s="47">
        <v>44130</v>
      </c>
      <c r="C151" s="47" t="s">
        <v>256</v>
      </c>
      <c r="D151" s="12"/>
      <c r="E151" s="13"/>
      <c r="F151" s="12"/>
      <c r="G151" s="12"/>
      <c r="H151" s="12"/>
      <c r="I151" s="12"/>
      <c r="J151" s="12"/>
      <c r="K151" s="12"/>
      <c r="N151" s="13"/>
      <c r="P151" s="37"/>
      <c r="Q151" s="46"/>
      <c r="R151" s="37"/>
      <c r="S151" s="37"/>
      <c r="T151" s="37"/>
      <c r="U151" s="38"/>
      <c r="V151" s="46"/>
      <c r="W151" s="37"/>
      <c r="X151" s="46"/>
      <c r="Y151" s="41">
        <f>Table133[[#This Row],[Time until ideal entry + 390 (6:30)]]/(1440)</f>
        <v>0.27083333333333331</v>
      </c>
      <c r="Z151" s="18" t="e">
        <f t="shared" si="12"/>
        <v>#DIV/0!</v>
      </c>
      <c r="AA151" s="18" t="e">
        <f>IF(Table133[[#This Row],[HOD AFTER PM HI]]&gt;=Table133[[#This Row],[PM Hi]],((Table133[[#This Row],[HOD AFTER PM HI]]-Table133[[#This Row],[Prior day close]])/Table133[[#This Row],[Prior day close]]),Table133[[#This Row],[Prior Close to PM Hi %]])</f>
        <v>#DIV/0!</v>
      </c>
      <c r="AB151" s="42" t="e">
        <f>(Table133[[#This Row],[Price at hi of squeeze]]-Table133[[#This Row],[MKT Open Price]])/Table133[[#This Row],[MKT Open Price]]</f>
        <v>#DIV/0!</v>
      </c>
      <c r="AC151" s="18" t="e">
        <f>(Table133[[#This Row],[Price at hi of squeeze]]-Table133[[#This Row],[PM Hi]])/Table133[[#This Row],[PM Hi]]</f>
        <v>#DIV/0!</v>
      </c>
      <c r="AD151" s="18"/>
      <c r="AE151" s="20" t="e">
        <f>Table133[[#This Row],[PM VOL]]/1000000/Table133[[#This Row],[FLOAT(M)]]</f>
        <v>#DIV/0!</v>
      </c>
      <c r="AF151" s="23" t="e">
        <f>(Table133[[#This Row],[Volume]]/1000000)/Table133[[#This Row],[FLOAT(M)]]</f>
        <v>#DIV/0!</v>
      </c>
      <c r="AH151" s="18" t="e">
        <f>(Table133[[#This Row],[PM Hi]]-Table133[[#This Row],[MKT Open Price]])/(Table133[[#This Row],[PM Hi]])</f>
        <v>#DIV/0!</v>
      </c>
      <c r="AI151" s="18" t="e">
        <f>IF(Table133[[#This Row],[PM LO]]&gt;Table133[[#This Row],[Prior day close]],(Table133[[#This Row],[PM Hi]]-Table133[[#This Row],[MKT Open Price]])/(Table133[[#This Row],[PM Hi]]-Table133[[#This Row],[Prior day close]]),(Table133[[#This Row],[PM Hi]]-Table133[[#This Row],[MKT Open Price]])/(Table133[[#This Row],[PM Hi]]-Table133[[#This Row],[PM LO]]))</f>
        <v>#DIV/0!</v>
      </c>
      <c r="AJ151" s="48" t="e">
        <f>IF(Table133[[#This Row],[Prior day close]]&lt;Table133[[#This Row],[PM LO]],(I151-K151)/(I151-Table133[[#This Row],[Prior day close]]),(I151-K151)/(I151-Table133[[#This Row],[PM LO]]))</f>
        <v>#DIV/0!</v>
      </c>
      <c r="AK151" s="48" t="e">
        <f>Table133[[#This Row],[Spike % on open before drop]]+AL151</f>
        <v>#DIV/0!</v>
      </c>
      <c r="AL151" s="16" t="e">
        <f t="shared" si="11"/>
        <v>#DIV/0!</v>
      </c>
      <c r="AM151" s="18" t="e">
        <f>IF($J151&gt;=$F151,($J151-$K151)/($J151),(IF($H151&lt;=$K151,($F151-$H151)/($F151),(Table133[[#This Row],[PM Hi]]-Table133[[#This Row],[Lowest lo from open to squeeze]])/(Table133[[#This Row],[PM Hi]]))))</f>
        <v>#DIV/0!</v>
      </c>
      <c r="AN151" s="48" t="e">
        <f>IF(Table133[[#This Row],[Prior day close]]&lt;=Table133[[#This Row],[PM LO]],IF($J151&gt;=$F151,($J151-$K151)/($J151-Table133[[#This Row],[Prior day close]]),(IF($H151&lt;=$K151,($F151-$H151)/($F151-Table133[[#This Row],[Prior day close]]),(Table133[[#This Row],[PM Hi]]-Table133[[#This Row],[Lowest lo from open to squeeze]])/(Table133[[#This Row],[PM Hi]]-Table133[[#This Row],[Prior day close]])))),IF($J151&gt;=$F151,($J151-$K151)/($J151-Table133[[#This Row],[PM LO]]),(IF($H151&lt;=$K151,($F151-$H151)/($F151-Table133[[#This Row],[PM LO]]),(Table133[[#This Row],[PM Hi]]-Table133[[#This Row],[Lowest lo from open to squeeze]])/(Table133[[#This Row],[PM Hi]]-Table133[[#This Row],[PM LO]])))))</f>
        <v>#DIV/0!</v>
      </c>
      <c r="AO151" s="18" t="e">
        <f>IF(J151&gt;=F151,(J151-K151)/(J151-D151),(IF(H151&lt;=K151,(F151-H151)/(F151-D151),(Table133[[#This Row],[PM Hi]]-Table133[[#This Row],[Lowest lo from open to squeeze]])/(Table133[[#This Row],[PM Hi]]-Table133[[#This Row],[Prior day close]]))))</f>
        <v>#DIV/0!</v>
      </c>
      <c r="AP151" s="17">
        <f>390+Table133[[#This Row],[Time until ideal entry point (mins) from open]]</f>
        <v>390</v>
      </c>
      <c r="AQ151" s="17">
        <f>Table133[[#This Row],[Time until ideal entry + 390 (6:30)]]+Table133[[#This Row],[Duration of frontside (mins)]]</f>
        <v>390</v>
      </c>
    </row>
    <row r="152" spans="1:43" x14ac:dyDescent="0.25">
      <c r="A152" s="24" t="s">
        <v>124</v>
      </c>
      <c r="B152" s="47">
        <v>44140</v>
      </c>
      <c r="C152" s="47" t="s">
        <v>256</v>
      </c>
      <c r="D152" s="12"/>
      <c r="E152" s="13"/>
      <c r="F152" s="12"/>
      <c r="G152" s="12"/>
      <c r="H152" s="12"/>
      <c r="I152" s="12"/>
      <c r="J152" s="12"/>
      <c r="K152" s="12"/>
      <c r="N152" s="13"/>
      <c r="P152" s="37"/>
      <c r="Q152" s="46"/>
      <c r="R152" s="37"/>
      <c r="S152" s="37"/>
      <c r="T152" s="37"/>
      <c r="U152" s="38"/>
      <c r="V152" s="46"/>
      <c r="W152" s="37"/>
      <c r="X152" s="46"/>
      <c r="Y152" s="41">
        <f>Table133[[#This Row],[Time until ideal entry + 390 (6:30)]]/(1440)</f>
        <v>0.27083333333333331</v>
      </c>
      <c r="Z152" s="18" t="e">
        <f t="shared" si="12"/>
        <v>#DIV/0!</v>
      </c>
      <c r="AA152" s="18" t="e">
        <f>IF(Table133[[#This Row],[HOD AFTER PM HI]]&gt;=Table133[[#This Row],[PM Hi]],((Table133[[#This Row],[HOD AFTER PM HI]]-Table133[[#This Row],[Prior day close]])/Table133[[#This Row],[Prior day close]]),Table133[[#This Row],[Prior Close to PM Hi %]])</f>
        <v>#DIV/0!</v>
      </c>
      <c r="AB152" s="42" t="e">
        <f>(Table133[[#This Row],[Price at hi of squeeze]]-Table133[[#This Row],[MKT Open Price]])/Table133[[#This Row],[MKT Open Price]]</f>
        <v>#DIV/0!</v>
      </c>
      <c r="AC152" s="18" t="e">
        <f>(Table133[[#This Row],[Price at hi of squeeze]]-Table133[[#This Row],[PM Hi]])/Table133[[#This Row],[PM Hi]]</f>
        <v>#DIV/0!</v>
      </c>
      <c r="AD152" s="18"/>
      <c r="AE152" s="20" t="e">
        <f>Table133[[#This Row],[PM VOL]]/1000000/Table133[[#This Row],[FLOAT(M)]]</f>
        <v>#DIV/0!</v>
      </c>
      <c r="AF152" s="23" t="e">
        <f>(Table133[[#This Row],[Volume]]/1000000)/Table133[[#This Row],[FLOAT(M)]]</f>
        <v>#DIV/0!</v>
      </c>
      <c r="AH152" s="18" t="e">
        <f>(Table133[[#This Row],[PM Hi]]-Table133[[#This Row],[MKT Open Price]])/(Table133[[#This Row],[PM Hi]])</f>
        <v>#DIV/0!</v>
      </c>
      <c r="AI152" s="18" t="e">
        <f>IF(Table133[[#This Row],[PM LO]]&gt;Table133[[#This Row],[Prior day close]],(Table133[[#This Row],[PM Hi]]-Table133[[#This Row],[MKT Open Price]])/(Table133[[#This Row],[PM Hi]]-Table133[[#This Row],[Prior day close]]),(Table133[[#This Row],[PM Hi]]-Table133[[#This Row],[MKT Open Price]])/(Table133[[#This Row],[PM Hi]]-Table133[[#This Row],[PM LO]]))</f>
        <v>#DIV/0!</v>
      </c>
      <c r="AJ152" s="48" t="e">
        <f>IF(Table133[[#This Row],[Prior day close]]&lt;Table133[[#This Row],[PM LO]],(I152-K152)/(I152-Table133[[#This Row],[Prior day close]]),(I152-K152)/(I152-Table133[[#This Row],[PM LO]]))</f>
        <v>#DIV/0!</v>
      </c>
      <c r="AK152" s="48" t="e">
        <f>Table133[[#This Row],[Spike % on open before drop]]+AL152</f>
        <v>#DIV/0!</v>
      </c>
      <c r="AL152" s="16" t="e">
        <f t="shared" si="11"/>
        <v>#DIV/0!</v>
      </c>
      <c r="AM152" s="18" t="e">
        <f>IF($J152&gt;=$F152,($J152-$K152)/($J152),(IF($H152&lt;=$K152,($F152-$H152)/($F152),(Table133[[#This Row],[PM Hi]]-Table133[[#This Row],[Lowest lo from open to squeeze]])/(Table133[[#This Row],[PM Hi]]))))</f>
        <v>#DIV/0!</v>
      </c>
      <c r="AN152" s="48" t="e">
        <f>IF(Table133[[#This Row],[Prior day close]]&lt;=Table133[[#This Row],[PM LO]],IF($J152&gt;=$F152,($J152-$K152)/($J152-Table133[[#This Row],[Prior day close]]),(IF($H152&lt;=$K152,($F152-$H152)/($F152-Table133[[#This Row],[Prior day close]]),(Table133[[#This Row],[PM Hi]]-Table133[[#This Row],[Lowest lo from open to squeeze]])/(Table133[[#This Row],[PM Hi]]-Table133[[#This Row],[Prior day close]])))),IF($J152&gt;=$F152,($J152-$K152)/($J152-Table133[[#This Row],[PM LO]]),(IF($H152&lt;=$K152,($F152-$H152)/($F152-Table133[[#This Row],[PM LO]]),(Table133[[#This Row],[PM Hi]]-Table133[[#This Row],[Lowest lo from open to squeeze]])/(Table133[[#This Row],[PM Hi]]-Table133[[#This Row],[PM LO]])))))</f>
        <v>#DIV/0!</v>
      </c>
      <c r="AO152" s="18" t="e">
        <f>IF(J152&gt;=F152,(J152-K152)/(J152-D152),(IF(H152&lt;=K152,(F152-H152)/(F152-D152),(Table133[[#This Row],[PM Hi]]-Table133[[#This Row],[Lowest lo from open to squeeze]])/(Table133[[#This Row],[PM Hi]]-Table133[[#This Row],[Prior day close]]))))</f>
        <v>#DIV/0!</v>
      </c>
      <c r="AP152" s="17">
        <f>390+Table133[[#This Row],[Time until ideal entry point (mins) from open]]</f>
        <v>390</v>
      </c>
      <c r="AQ152" s="17">
        <f>Table133[[#This Row],[Time until ideal entry + 390 (6:30)]]+Table133[[#This Row],[Duration of frontside (mins)]]</f>
        <v>390</v>
      </c>
    </row>
    <row r="153" spans="1:43" x14ac:dyDescent="0.25">
      <c r="A153" s="24" t="s">
        <v>233</v>
      </c>
      <c r="B153" s="47">
        <v>44144</v>
      </c>
      <c r="C153" s="47" t="s">
        <v>256</v>
      </c>
      <c r="D153" s="12"/>
      <c r="E153" s="13"/>
      <c r="F153" s="12"/>
      <c r="G153" s="12"/>
      <c r="H153" s="12"/>
      <c r="I153" s="12"/>
      <c r="J153" s="12"/>
      <c r="K153" s="12"/>
      <c r="N153" s="13"/>
      <c r="P153" s="37"/>
      <c r="Q153" s="46"/>
      <c r="R153" s="37"/>
      <c r="S153" s="37"/>
      <c r="T153" s="37"/>
      <c r="U153" s="38"/>
      <c r="V153" s="46"/>
      <c r="W153" s="37"/>
      <c r="X153" s="46"/>
      <c r="Y153" s="41">
        <f>Table133[[#This Row],[Time until ideal entry + 390 (6:30)]]/(1440)</f>
        <v>0.27083333333333331</v>
      </c>
      <c r="Z153" s="18" t="e">
        <f t="shared" si="12"/>
        <v>#DIV/0!</v>
      </c>
      <c r="AA153" s="18" t="e">
        <f>IF(Table133[[#This Row],[HOD AFTER PM HI]]&gt;=Table133[[#This Row],[PM Hi]],((Table133[[#This Row],[HOD AFTER PM HI]]-Table133[[#This Row],[Prior day close]])/Table133[[#This Row],[Prior day close]]),Table133[[#This Row],[Prior Close to PM Hi %]])</f>
        <v>#DIV/0!</v>
      </c>
      <c r="AB153" s="42" t="e">
        <f>(Table133[[#This Row],[Price at hi of squeeze]]-Table133[[#This Row],[MKT Open Price]])/Table133[[#This Row],[MKT Open Price]]</f>
        <v>#DIV/0!</v>
      </c>
      <c r="AC153" s="18" t="e">
        <f>(Table133[[#This Row],[Price at hi of squeeze]]-Table133[[#This Row],[PM Hi]])/Table133[[#This Row],[PM Hi]]</f>
        <v>#DIV/0!</v>
      </c>
      <c r="AD153" s="18"/>
      <c r="AE153" s="20" t="e">
        <f>Table133[[#This Row],[PM VOL]]/1000000/Table133[[#This Row],[FLOAT(M)]]</f>
        <v>#DIV/0!</v>
      </c>
      <c r="AF153" s="23" t="e">
        <f>(Table133[[#This Row],[Volume]]/1000000)/Table133[[#This Row],[FLOAT(M)]]</f>
        <v>#DIV/0!</v>
      </c>
      <c r="AH153" s="18" t="e">
        <f>(Table133[[#This Row],[PM Hi]]-Table133[[#This Row],[MKT Open Price]])/(Table133[[#This Row],[PM Hi]])</f>
        <v>#DIV/0!</v>
      </c>
      <c r="AI153" s="18" t="e">
        <f>IF(Table133[[#This Row],[PM LO]]&gt;Table133[[#This Row],[Prior day close]],(Table133[[#This Row],[PM Hi]]-Table133[[#This Row],[MKT Open Price]])/(Table133[[#This Row],[PM Hi]]-Table133[[#This Row],[Prior day close]]),(Table133[[#This Row],[PM Hi]]-Table133[[#This Row],[MKT Open Price]])/(Table133[[#This Row],[PM Hi]]-Table133[[#This Row],[PM LO]]))</f>
        <v>#DIV/0!</v>
      </c>
      <c r="AJ153" s="48" t="e">
        <f>IF(Table133[[#This Row],[Prior day close]]&lt;Table133[[#This Row],[PM LO]],(I153-K153)/(I153-Table133[[#This Row],[Prior day close]]),(I153-K153)/(I153-Table133[[#This Row],[PM LO]]))</f>
        <v>#DIV/0!</v>
      </c>
      <c r="AK153" s="48" t="e">
        <f>Table133[[#This Row],[Spike % on open before drop]]+AL153</f>
        <v>#DIV/0!</v>
      </c>
      <c r="AL153" s="16" t="e">
        <f t="shared" si="11"/>
        <v>#DIV/0!</v>
      </c>
      <c r="AM153" s="18" t="e">
        <f>IF($J153&gt;=$F153,($J153-$K153)/($J153),(IF($H153&lt;=$K153,($F153-$H153)/($F153),(Table133[[#This Row],[PM Hi]]-Table133[[#This Row],[Lowest lo from open to squeeze]])/(Table133[[#This Row],[PM Hi]]))))</f>
        <v>#DIV/0!</v>
      </c>
      <c r="AN153" s="48" t="e">
        <f>IF(Table133[[#This Row],[Prior day close]]&lt;=Table133[[#This Row],[PM LO]],IF($J153&gt;=$F153,($J153-$K153)/($J153-Table133[[#This Row],[Prior day close]]),(IF($H153&lt;=$K153,($F153-$H153)/($F153-Table133[[#This Row],[Prior day close]]),(Table133[[#This Row],[PM Hi]]-Table133[[#This Row],[Lowest lo from open to squeeze]])/(Table133[[#This Row],[PM Hi]]-Table133[[#This Row],[Prior day close]])))),IF($J153&gt;=$F153,($J153-$K153)/($J153-Table133[[#This Row],[PM LO]]),(IF($H153&lt;=$K153,($F153-$H153)/($F153-Table133[[#This Row],[PM LO]]),(Table133[[#This Row],[PM Hi]]-Table133[[#This Row],[Lowest lo from open to squeeze]])/(Table133[[#This Row],[PM Hi]]-Table133[[#This Row],[PM LO]])))))</f>
        <v>#DIV/0!</v>
      </c>
      <c r="AO153" s="18" t="e">
        <f>IF(J153&gt;=F153,(J153-K153)/(J153-D153),(IF(H153&lt;=K153,(F153-H153)/(F153-D153),(Table133[[#This Row],[PM Hi]]-Table133[[#This Row],[Lowest lo from open to squeeze]])/(Table133[[#This Row],[PM Hi]]-Table133[[#This Row],[Prior day close]]))))</f>
        <v>#DIV/0!</v>
      </c>
      <c r="AP153" s="17">
        <f>390+Table133[[#This Row],[Time until ideal entry point (mins) from open]]</f>
        <v>390</v>
      </c>
      <c r="AQ153" s="17">
        <f>Table133[[#This Row],[Time until ideal entry + 390 (6:30)]]+Table133[[#This Row],[Duration of frontside (mins)]]</f>
        <v>390</v>
      </c>
    </row>
    <row r="154" spans="1:43" x14ac:dyDescent="0.25">
      <c r="A154" s="24" t="s">
        <v>135</v>
      </c>
      <c r="B154" s="47">
        <v>44152</v>
      </c>
      <c r="C154" s="47" t="s">
        <v>256</v>
      </c>
      <c r="D154" s="12"/>
      <c r="E154" s="13"/>
      <c r="F154" s="12"/>
      <c r="G154" s="12"/>
      <c r="H154" s="12"/>
      <c r="I154" s="12"/>
      <c r="J154" s="12"/>
      <c r="K154" s="12"/>
      <c r="N154" s="13"/>
      <c r="P154" s="37"/>
      <c r="Q154" s="46"/>
      <c r="R154" s="37"/>
      <c r="S154" s="37"/>
      <c r="T154" s="37"/>
      <c r="U154" s="38"/>
      <c r="V154" s="46"/>
      <c r="W154" s="37"/>
      <c r="X154" s="46"/>
      <c r="Y154" s="41">
        <f>Table133[[#This Row],[Time until ideal entry + 390 (6:30)]]/(1440)</f>
        <v>0.27083333333333331</v>
      </c>
      <c r="Z154" s="18" t="e">
        <f t="shared" si="12"/>
        <v>#DIV/0!</v>
      </c>
      <c r="AA154" s="18" t="e">
        <f>IF(Table133[[#This Row],[HOD AFTER PM HI]]&gt;=Table133[[#This Row],[PM Hi]],((Table133[[#This Row],[HOD AFTER PM HI]]-Table133[[#This Row],[Prior day close]])/Table133[[#This Row],[Prior day close]]),Table133[[#This Row],[Prior Close to PM Hi %]])</f>
        <v>#DIV/0!</v>
      </c>
      <c r="AB154" s="42" t="e">
        <f>(Table133[[#This Row],[Price at hi of squeeze]]-Table133[[#This Row],[MKT Open Price]])/Table133[[#This Row],[MKT Open Price]]</f>
        <v>#DIV/0!</v>
      </c>
      <c r="AC154" s="18" t="e">
        <f>(Table133[[#This Row],[Price at hi of squeeze]]-Table133[[#This Row],[PM Hi]])/Table133[[#This Row],[PM Hi]]</f>
        <v>#DIV/0!</v>
      </c>
      <c r="AD154" s="18"/>
      <c r="AE154" s="20" t="e">
        <f>Table133[[#This Row],[PM VOL]]/1000000/Table133[[#This Row],[FLOAT(M)]]</f>
        <v>#DIV/0!</v>
      </c>
      <c r="AF154" s="23" t="e">
        <f>(Table133[[#This Row],[Volume]]/1000000)/Table133[[#This Row],[FLOAT(M)]]</f>
        <v>#DIV/0!</v>
      </c>
      <c r="AH154" s="18" t="e">
        <f>(Table133[[#This Row],[PM Hi]]-Table133[[#This Row],[MKT Open Price]])/(Table133[[#This Row],[PM Hi]])</f>
        <v>#DIV/0!</v>
      </c>
      <c r="AI154" s="18" t="e">
        <f>IF(Table133[[#This Row],[PM LO]]&gt;Table133[[#This Row],[Prior day close]],(Table133[[#This Row],[PM Hi]]-Table133[[#This Row],[MKT Open Price]])/(Table133[[#This Row],[PM Hi]]-Table133[[#This Row],[Prior day close]]),(Table133[[#This Row],[PM Hi]]-Table133[[#This Row],[MKT Open Price]])/(Table133[[#This Row],[PM Hi]]-Table133[[#This Row],[PM LO]]))</f>
        <v>#DIV/0!</v>
      </c>
      <c r="AJ154" s="48" t="e">
        <f>IF(Table133[[#This Row],[Prior day close]]&lt;Table133[[#This Row],[PM LO]],(I154-K154)/(I154-Table133[[#This Row],[Prior day close]]),(I154-K154)/(I154-Table133[[#This Row],[PM LO]]))</f>
        <v>#DIV/0!</v>
      </c>
      <c r="AK154" s="48" t="e">
        <f>Table133[[#This Row],[Spike % on open before drop]]+AL154</f>
        <v>#DIV/0!</v>
      </c>
      <c r="AL154" s="16" t="e">
        <f t="shared" si="11"/>
        <v>#DIV/0!</v>
      </c>
      <c r="AM154" s="18" t="e">
        <f>IF($J154&gt;=$F154,($J154-$K154)/($J154),(IF($H154&lt;=$K154,($F154-$H154)/($F154),(Table133[[#This Row],[PM Hi]]-Table133[[#This Row],[Lowest lo from open to squeeze]])/(Table133[[#This Row],[PM Hi]]))))</f>
        <v>#DIV/0!</v>
      </c>
      <c r="AN154" s="48" t="e">
        <f>IF(Table133[[#This Row],[Prior day close]]&lt;=Table133[[#This Row],[PM LO]],IF($J154&gt;=$F154,($J154-$K154)/($J154-Table133[[#This Row],[Prior day close]]),(IF($H154&lt;=$K154,($F154-$H154)/($F154-Table133[[#This Row],[Prior day close]]),(Table133[[#This Row],[PM Hi]]-Table133[[#This Row],[Lowest lo from open to squeeze]])/(Table133[[#This Row],[PM Hi]]-Table133[[#This Row],[Prior day close]])))),IF($J154&gt;=$F154,($J154-$K154)/($J154-Table133[[#This Row],[PM LO]]),(IF($H154&lt;=$K154,($F154-$H154)/($F154-Table133[[#This Row],[PM LO]]),(Table133[[#This Row],[PM Hi]]-Table133[[#This Row],[Lowest lo from open to squeeze]])/(Table133[[#This Row],[PM Hi]]-Table133[[#This Row],[PM LO]])))))</f>
        <v>#DIV/0!</v>
      </c>
      <c r="AO154" s="18" t="e">
        <f>IF(J154&gt;=F154,(J154-K154)/(J154-D154),(IF(H154&lt;=K154,(F154-H154)/(F154-D154),(Table133[[#This Row],[PM Hi]]-Table133[[#This Row],[Lowest lo from open to squeeze]])/(Table133[[#This Row],[PM Hi]]-Table133[[#This Row],[Prior day close]]))))</f>
        <v>#DIV/0!</v>
      </c>
      <c r="AP154" s="17">
        <f>390+Table133[[#This Row],[Time until ideal entry point (mins) from open]]</f>
        <v>390</v>
      </c>
      <c r="AQ154" s="17">
        <f>Table133[[#This Row],[Time until ideal entry + 390 (6:30)]]+Table133[[#This Row],[Duration of frontside (mins)]]</f>
        <v>390</v>
      </c>
    </row>
    <row r="155" spans="1:43" x14ac:dyDescent="0.25">
      <c r="A155" s="24" t="s">
        <v>204</v>
      </c>
      <c r="B155" s="47">
        <v>44153</v>
      </c>
      <c r="C155" s="47" t="s">
        <v>256</v>
      </c>
      <c r="D155" s="12"/>
      <c r="E155" s="13"/>
      <c r="F155" s="12"/>
      <c r="G155" s="12"/>
      <c r="H155" s="12"/>
      <c r="I155" s="12"/>
      <c r="J155" s="12"/>
      <c r="K155" s="12"/>
      <c r="N155" s="13"/>
      <c r="P155" s="37"/>
      <c r="Q155" s="46"/>
      <c r="R155" s="37"/>
      <c r="S155" s="37"/>
      <c r="T155" s="37"/>
      <c r="U155" s="38"/>
      <c r="V155" s="46"/>
      <c r="W155" s="37"/>
      <c r="X155" s="46"/>
      <c r="Y155" s="41">
        <f>Table133[[#This Row],[Time until ideal entry + 390 (6:30)]]/(1440)</f>
        <v>0.27083333333333331</v>
      </c>
      <c r="Z155" s="18" t="e">
        <f t="shared" si="12"/>
        <v>#DIV/0!</v>
      </c>
      <c r="AA155" s="18" t="e">
        <f>IF(Table133[[#This Row],[HOD AFTER PM HI]]&gt;=Table133[[#This Row],[PM Hi]],((Table133[[#This Row],[HOD AFTER PM HI]]-Table133[[#This Row],[Prior day close]])/Table133[[#This Row],[Prior day close]]),Table133[[#This Row],[Prior Close to PM Hi %]])</f>
        <v>#DIV/0!</v>
      </c>
      <c r="AB155" s="42" t="e">
        <f>(Table133[[#This Row],[Price at hi of squeeze]]-Table133[[#This Row],[MKT Open Price]])/Table133[[#This Row],[MKT Open Price]]</f>
        <v>#DIV/0!</v>
      </c>
      <c r="AC155" s="18" t="e">
        <f>(Table133[[#This Row],[Price at hi of squeeze]]-Table133[[#This Row],[PM Hi]])/Table133[[#This Row],[PM Hi]]</f>
        <v>#DIV/0!</v>
      </c>
      <c r="AD155" s="18"/>
      <c r="AE155" s="20" t="e">
        <f>Table133[[#This Row],[PM VOL]]/1000000/Table133[[#This Row],[FLOAT(M)]]</f>
        <v>#DIV/0!</v>
      </c>
      <c r="AF155" s="23" t="e">
        <f>(Table133[[#This Row],[Volume]]/1000000)/Table133[[#This Row],[FLOAT(M)]]</f>
        <v>#DIV/0!</v>
      </c>
      <c r="AH155" s="18" t="e">
        <f>(Table133[[#This Row],[PM Hi]]-Table133[[#This Row],[MKT Open Price]])/(Table133[[#This Row],[PM Hi]])</f>
        <v>#DIV/0!</v>
      </c>
      <c r="AI155" s="18" t="e">
        <f>IF(Table133[[#This Row],[PM LO]]&gt;Table133[[#This Row],[Prior day close]],(Table133[[#This Row],[PM Hi]]-Table133[[#This Row],[MKT Open Price]])/(Table133[[#This Row],[PM Hi]]-Table133[[#This Row],[Prior day close]]),(Table133[[#This Row],[PM Hi]]-Table133[[#This Row],[MKT Open Price]])/(Table133[[#This Row],[PM Hi]]-Table133[[#This Row],[PM LO]]))</f>
        <v>#DIV/0!</v>
      </c>
      <c r="AJ155" s="48" t="e">
        <f>IF(Table133[[#This Row],[Prior day close]]&lt;Table133[[#This Row],[PM LO]],(I155-K155)/(I155-Table133[[#This Row],[Prior day close]]),(I155-K155)/(I155-Table133[[#This Row],[PM LO]]))</f>
        <v>#DIV/0!</v>
      </c>
      <c r="AK155" s="48" t="e">
        <f>Table133[[#This Row],[Spike % on open before drop]]+AL155</f>
        <v>#DIV/0!</v>
      </c>
      <c r="AL155" s="16" t="e">
        <f t="shared" si="11"/>
        <v>#DIV/0!</v>
      </c>
      <c r="AM155" s="18" t="e">
        <f>IF($J155&gt;=$F155,($J155-$K155)/($J155),(IF($H155&lt;=$K155,($F155-$H155)/($F155),(Table133[[#This Row],[PM Hi]]-Table133[[#This Row],[Lowest lo from open to squeeze]])/(Table133[[#This Row],[PM Hi]]))))</f>
        <v>#DIV/0!</v>
      </c>
      <c r="AN155" s="48" t="e">
        <f>IF(Table133[[#This Row],[Prior day close]]&lt;=Table133[[#This Row],[PM LO]],IF($J155&gt;=$F155,($J155-$K155)/($J155-Table133[[#This Row],[Prior day close]]),(IF($H155&lt;=$K155,($F155-$H155)/($F155-Table133[[#This Row],[Prior day close]]),(Table133[[#This Row],[PM Hi]]-Table133[[#This Row],[Lowest lo from open to squeeze]])/(Table133[[#This Row],[PM Hi]]-Table133[[#This Row],[Prior day close]])))),IF($J155&gt;=$F155,($J155-$K155)/($J155-Table133[[#This Row],[PM LO]]),(IF($H155&lt;=$K155,($F155-$H155)/($F155-Table133[[#This Row],[PM LO]]),(Table133[[#This Row],[PM Hi]]-Table133[[#This Row],[Lowest lo from open to squeeze]])/(Table133[[#This Row],[PM Hi]]-Table133[[#This Row],[PM LO]])))))</f>
        <v>#DIV/0!</v>
      </c>
      <c r="AO155" s="18" t="e">
        <f>IF(J155&gt;=F155,(J155-K155)/(J155-D155),(IF(H155&lt;=K155,(F155-H155)/(F155-D155),(Table133[[#This Row],[PM Hi]]-Table133[[#This Row],[Lowest lo from open to squeeze]])/(Table133[[#This Row],[PM Hi]]-Table133[[#This Row],[Prior day close]]))))</f>
        <v>#DIV/0!</v>
      </c>
      <c r="AP155" s="17">
        <f>390+Table133[[#This Row],[Time until ideal entry point (mins) from open]]</f>
        <v>390</v>
      </c>
      <c r="AQ155" s="17">
        <f>Table133[[#This Row],[Time until ideal entry + 390 (6:30)]]+Table133[[#This Row],[Duration of frontside (mins)]]</f>
        <v>390</v>
      </c>
    </row>
    <row r="156" spans="1:43" x14ac:dyDescent="0.25">
      <c r="A156" s="24" t="s">
        <v>238</v>
      </c>
      <c r="B156" s="47">
        <v>44168</v>
      </c>
      <c r="C156" s="47" t="s">
        <v>256</v>
      </c>
      <c r="D156" s="12"/>
      <c r="E156" s="13"/>
      <c r="F156" s="12"/>
      <c r="G156" s="12"/>
      <c r="H156" s="12"/>
      <c r="I156" s="12"/>
      <c r="J156" s="12"/>
      <c r="K156" s="12"/>
      <c r="N156" s="13"/>
      <c r="P156" s="37"/>
      <c r="Q156" s="46"/>
      <c r="R156" s="37"/>
      <c r="S156" s="37"/>
      <c r="T156" s="37"/>
      <c r="U156" s="38"/>
      <c r="V156" s="46"/>
      <c r="W156" s="37"/>
      <c r="X156" s="46"/>
      <c r="Y156" s="41">
        <f>Table133[[#This Row],[Time until ideal entry + 390 (6:30)]]/(1440)</f>
        <v>0.27083333333333331</v>
      </c>
      <c r="Z156" s="18" t="e">
        <f t="shared" si="12"/>
        <v>#DIV/0!</v>
      </c>
      <c r="AA156" s="18" t="e">
        <f>IF(Table133[[#This Row],[HOD AFTER PM HI]]&gt;=Table133[[#This Row],[PM Hi]],((Table133[[#This Row],[HOD AFTER PM HI]]-Table133[[#This Row],[Prior day close]])/Table133[[#This Row],[Prior day close]]),Table133[[#This Row],[Prior Close to PM Hi %]])</f>
        <v>#DIV/0!</v>
      </c>
      <c r="AB156" s="42" t="e">
        <f>(Table133[[#This Row],[Price at hi of squeeze]]-Table133[[#This Row],[MKT Open Price]])/Table133[[#This Row],[MKT Open Price]]</f>
        <v>#DIV/0!</v>
      </c>
      <c r="AC156" s="18" t="e">
        <f>(Table133[[#This Row],[Price at hi of squeeze]]-Table133[[#This Row],[PM Hi]])/Table133[[#This Row],[PM Hi]]</f>
        <v>#DIV/0!</v>
      </c>
      <c r="AD156" s="18"/>
      <c r="AE156" s="20" t="e">
        <f>Table133[[#This Row],[PM VOL]]/1000000/Table133[[#This Row],[FLOAT(M)]]</f>
        <v>#DIV/0!</v>
      </c>
      <c r="AF156" s="23" t="e">
        <f>(Table133[[#This Row],[Volume]]/1000000)/Table133[[#This Row],[FLOAT(M)]]</f>
        <v>#DIV/0!</v>
      </c>
      <c r="AH156" s="18" t="e">
        <f>(Table133[[#This Row],[PM Hi]]-Table133[[#This Row],[MKT Open Price]])/(Table133[[#This Row],[PM Hi]])</f>
        <v>#DIV/0!</v>
      </c>
      <c r="AI156" s="18" t="e">
        <f>IF(Table133[[#This Row],[PM LO]]&gt;Table133[[#This Row],[Prior day close]],(Table133[[#This Row],[PM Hi]]-Table133[[#This Row],[MKT Open Price]])/(Table133[[#This Row],[PM Hi]]-Table133[[#This Row],[Prior day close]]),(Table133[[#This Row],[PM Hi]]-Table133[[#This Row],[MKT Open Price]])/(Table133[[#This Row],[PM Hi]]-Table133[[#This Row],[PM LO]]))</f>
        <v>#DIV/0!</v>
      </c>
      <c r="AJ156" s="48" t="e">
        <f>IF(Table133[[#This Row],[Prior day close]]&lt;Table133[[#This Row],[PM LO]],(I156-K156)/(I156-Table133[[#This Row],[Prior day close]]),(I156-K156)/(I156-Table133[[#This Row],[PM LO]]))</f>
        <v>#DIV/0!</v>
      </c>
      <c r="AK156" s="48" t="e">
        <f>Table133[[#This Row],[Spike % on open before drop]]+AL156</f>
        <v>#DIV/0!</v>
      </c>
      <c r="AL156" s="16" t="e">
        <f t="shared" si="11"/>
        <v>#DIV/0!</v>
      </c>
      <c r="AM156" s="18" t="e">
        <f>IF($J156&gt;=$F156,($J156-$K156)/($J156),(IF($H156&lt;=$K156,($F156-$H156)/($F156),(Table133[[#This Row],[PM Hi]]-Table133[[#This Row],[Lowest lo from open to squeeze]])/(Table133[[#This Row],[PM Hi]]))))</f>
        <v>#DIV/0!</v>
      </c>
      <c r="AN156" s="48" t="e">
        <f>IF(Table133[[#This Row],[Prior day close]]&lt;=Table133[[#This Row],[PM LO]],IF($J156&gt;=$F156,($J156-$K156)/($J156-Table133[[#This Row],[Prior day close]]),(IF($H156&lt;=$K156,($F156-$H156)/($F156-Table133[[#This Row],[Prior day close]]),(Table133[[#This Row],[PM Hi]]-Table133[[#This Row],[Lowest lo from open to squeeze]])/(Table133[[#This Row],[PM Hi]]-Table133[[#This Row],[Prior day close]])))),IF($J156&gt;=$F156,($J156-$K156)/($J156-Table133[[#This Row],[PM LO]]),(IF($H156&lt;=$K156,($F156-$H156)/($F156-Table133[[#This Row],[PM LO]]),(Table133[[#This Row],[PM Hi]]-Table133[[#This Row],[Lowest lo from open to squeeze]])/(Table133[[#This Row],[PM Hi]]-Table133[[#This Row],[PM LO]])))))</f>
        <v>#DIV/0!</v>
      </c>
      <c r="AO156" s="18" t="e">
        <f>IF(J156&gt;=F156,(J156-K156)/(J156-D156),(IF(H156&lt;=K156,(F156-H156)/(F156-D156),(Table133[[#This Row],[PM Hi]]-Table133[[#This Row],[Lowest lo from open to squeeze]])/(Table133[[#This Row],[PM Hi]]-Table133[[#This Row],[Prior day close]]))))</f>
        <v>#DIV/0!</v>
      </c>
      <c r="AP156" s="17">
        <f>390+Table133[[#This Row],[Time until ideal entry point (mins) from open]]</f>
        <v>390</v>
      </c>
      <c r="AQ156" s="17">
        <f>Table133[[#This Row],[Time until ideal entry + 390 (6:30)]]+Table133[[#This Row],[Duration of frontside (mins)]]</f>
        <v>390</v>
      </c>
    </row>
    <row r="157" spans="1:43" x14ac:dyDescent="0.25">
      <c r="A157" s="24" t="s">
        <v>164</v>
      </c>
      <c r="B157" s="47">
        <v>44172</v>
      </c>
      <c r="C157" s="47" t="s">
        <v>256</v>
      </c>
      <c r="D157" s="12"/>
      <c r="E157" s="13"/>
      <c r="F157" s="12"/>
      <c r="G157" s="12"/>
      <c r="H157" s="12"/>
      <c r="I157" s="12"/>
      <c r="J157" s="12"/>
      <c r="K157" s="12"/>
      <c r="N157" s="13"/>
      <c r="P157" s="37"/>
      <c r="Q157" s="46"/>
      <c r="R157" s="37"/>
      <c r="S157" s="37"/>
      <c r="T157" s="37"/>
      <c r="U157" s="38"/>
      <c r="V157" s="46"/>
      <c r="W157" s="37"/>
      <c r="X157" s="46"/>
      <c r="Y157" s="41">
        <f>Table133[[#This Row],[Time until ideal entry + 390 (6:30)]]/(1440)</f>
        <v>0.27083333333333331</v>
      </c>
      <c r="Z157" s="18" t="e">
        <f t="shared" si="12"/>
        <v>#DIV/0!</v>
      </c>
      <c r="AA157" s="18" t="e">
        <f>IF(Table133[[#This Row],[HOD AFTER PM HI]]&gt;=Table133[[#This Row],[PM Hi]],((Table133[[#This Row],[HOD AFTER PM HI]]-Table133[[#This Row],[Prior day close]])/Table133[[#This Row],[Prior day close]]),Table133[[#This Row],[Prior Close to PM Hi %]])</f>
        <v>#DIV/0!</v>
      </c>
      <c r="AB157" s="42" t="e">
        <f>(Table133[[#This Row],[Price at hi of squeeze]]-Table133[[#This Row],[MKT Open Price]])/Table133[[#This Row],[MKT Open Price]]</f>
        <v>#DIV/0!</v>
      </c>
      <c r="AC157" s="18" t="e">
        <f>(Table133[[#This Row],[Price at hi of squeeze]]-Table133[[#This Row],[PM Hi]])/Table133[[#This Row],[PM Hi]]</f>
        <v>#DIV/0!</v>
      </c>
      <c r="AD157" s="18"/>
      <c r="AE157" s="20" t="e">
        <f>Table133[[#This Row],[PM VOL]]/1000000/Table133[[#This Row],[FLOAT(M)]]</f>
        <v>#DIV/0!</v>
      </c>
      <c r="AF157" s="23" t="e">
        <f>(Table133[[#This Row],[Volume]]/1000000)/Table133[[#This Row],[FLOAT(M)]]</f>
        <v>#DIV/0!</v>
      </c>
      <c r="AH157" s="18" t="e">
        <f>(Table133[[#This Row],[PM Hi]]-Table133[[#This Row],[MKT Open Price]])/(Table133[[#This Row],[PM Hi]])</f>
        <v>#DIV/0!</v>
      </c>
      <c r="AI157" s="18" t="e">
        <f>IF(Table133[[#This Row],[PM LO]]&gt;Table133[[#This Row],[Prior day close]],(Table133[[#This Row],[PM Hi]]-Table133[[#This Row],[MKT Open Price]])/(Table133[[#This Row],[PM Hi]]-Table133[[#This Row],[Prior day close]]),(Table133[[#This Row],[PM Hi]]-Table133[[#This Row],[MKT Open Price]])/(Table133[[#This Row],[PM Hi]]-Table133[[#This Row],[PM LO]]))</f>
        <v>#DIV/0!</v>
      </c>
      <c r="AJ157" s="48" t="e">
        <f>IF(Table133[[#This Row],[Prior day close]]&lt;Table133[[#This Row],[PM LO]],(I157-K157)/(I157-Table133[[#This Row],[Prior day close]]),(I157-K157)/(I157-Table133[[#This Row],[PM LO]]))</f>
        <v>#DIV/0!</v>
      </c>
      <c r="AK157" s="48" t="e">
        <f>Table133[[#This Row],[Spike % on open before drop]]+AL157</f>
        <v>#DIV/0!</v>
      </c>
      <c r="AL157" s="16" t="e">
        <f t="shared" si="11"/>
        <v>#DIV/0!</v>
      </c>
      <c r="AM157" s="18" t="e">
        <f>IF($J157&gt;=$F157,($J157-$K157)/($J157),(IF($H157&lt;=$K157,($F157-$H157)/($F157),(Table133[[#This Row],[PM Hi]]-Table133[[#This Row],[Lowest lo from open to squeeze]])/(Table133[[#This Row],[PM Hi]]))))</f>
        <v>#DIV/0!</v>
      </c>
      <c r="AN157" s="48" t="e">
        <f>IF(Table133[[#This Row],[Prior day close]]&lt;=Table133[[#This Row],[PM LO]],IF($J157&gt;=$F157,($J157-$K157)/($J157-Table133[[#This Row],[Prior day close]]),(IF($H157&lt;=$K157,($F157-$H157)/($F157-Table133[[#This Row],[Prior day close]]),(Table133[[#This Row],[PM Hi]]-Table133[[#This Row],[Lowest lo from open to squeeze]])/(Table133[[#This Row],[PM Hi]]-Table133[[#This Row],[Prior day close]])))),IF($J157&gt;=$F157,($J157-$K157)/($J157-Table133[[#This Row],[PM LO]]),(IF($H157&lt;=$K157,($F157-$H157)/($F157-Table133[[#This Row],[PM LO]]),(Table133[[#This Row],[PM Hi]]-Table133[[#This Row],[Lowest lo from open to squeeze]])/(Table133[[#This Row],[PM Hi]]-Table133[[#This Row],[PM LO]])))))</f>
        <v>#DIV/0!</v>
      </c>
      <c r="AO157" s="18" t="e">
        <f>IF(J157&gt;=F157,(J157-K157)/(J157-D157),(IF(H157&lt;=K157,(F157-H157)/(F157-D157),(Table133[[#This Row],[PM Hi]]-Table133[[#This Row],[Lowest lo from open to squeeze]])/(Table133[[#This Row],[PM Hi]]-Table133[[#This Row],[Prior day close]]))))</f>
        <v>#DIV/0!</v>
      </c>
      <c r="AP157" s="17">
        <f>390+Table133[[#This Row],[Time until ideal entry point (mins) from open]]</f>
        <v>390</v>
      </c>
      <c r="AQ157" s="17">
        <f>Table133[[#This Row],[Time until ideal entry + 390 (6:30)]]+Table133[[#This Row],[Duration of frontside (mins)]]</f>
        <v>390</v>
      </c>
    </row>
    <row r="158" spans="1:43" x14ac:dyDescent="0.25">
      <c r="A158" s="24" t="s">
        <v>132</v>
      </c>
      <c r="B158" s="47">
        <v>44172</v>
      </c>
      <c r="C158" s="47" t="s">
        <v>256</v>
      </c>
      <c r="D158" s="12"/>
      <c r="E158" s="13"/>
      <c r="F158" s="12"/>
      <c r="G158" s="12"/>
      <c r="H158" s="12"/>
      <c r="I158" s="12"/>
      <c r="J158" s="12"/>
      <c r="K158" s="12"/>
      <c r="N158" s="13"/>
      <c r="P158" s="37"/>
      <c r="Q158" s="46"/>
      <c r="R158" s="37"/>
      <c r="S158" s="37"/>
      <c r="T158" s="37"/>
      <c r="U158" s="38"/>
      <c r="V158" s="46"/>
      <c r="W158" s="37"/>
      <c r="X158" s="46"/>
      <c r="Y158" s="41">
        <f>Table133[[#This Row],[Time until ideal entry + 390 (6:30)]]/(1440)</f>
        <v>0.27083333333333331</v>
      </c>
      <c r="Z158" s="18" t="e">
        <f t="shared" si="12"/>
        <v>#DIV/0!</v>
      </c>
      <c r="AA158" s="18" t="e">
        <f>IF(Table133[[#This Row],[HOD AFTER PM HI]]&gt;=Table133[[#This Row],[PM Hi]],((Table133[[#This Row],[HOD AFTER PM HI]]-Table133[[#This Row],[Prior day close]])/Table133[[#This Row],[Prior day close]]),Table133[[#This Row],[Prior Close to PM Hi %]])</f>
        <v>#DIV/0!</v>
      </c>
      <c r="AB158" s="42" t="e">
        <f>(Table133[[#This Row],[Price at hi of squeeze]]-Table133[[#This Row],[MKT Open Price]])/Table133[[#This Row],[MKT Open Price]]</f>
        <v>#DIV/0!</v>
      </c>
      <c r="AC158" s="18" t="e">
        <f>(Table133[[#This Row],[Price at hi of squeeze]]-Table133[[#This Row],[PM Hi]])/Table133[[#This Row],[PM Hi]]</f>
        <v>#DIV/0!</v>
      </c>
      <c r="AD158" s="18"/>
      <c r="AE158" s="20" t="e">
        <f>Table133[[#This Row],[PM VOL]]/1000000/Table133[[#This Row],[FLOAT(M)]]</f>
        <v>#DIV/0!</v>
      </c>
      <c r="AF158" s="23" t="e">
        <f>(Table133[[#This Row],[Volume]]/1000000)/Table133[[#This Row],[FLOAT(M)]]</f>
        <v>#DIV/0!</v>
      </c>
      <c r="AH158" s="18" t="e">
        <f>(Table133[[#This Row],[PM Hi]]-Table133[[#This Row],[MKT Open Price]])/(Table133[[#This Row],[PM Hi]])</f>
        <v>#DIV/0!</v>
      </c>
      <c r="AI158" s="18" t="e">
        <f>IF(Table133[[#This Row],[PM LO]]&gt;Table133[[#This Row],[Prior day close]],(Table133[[#This Row],[PM Hi]]-Table133[[#This Row],[MKT Open Price]])/(Table133[[#This Row],[PM Hi]]-Table133[[#This Row],[Prior day close]]),(Table133[[#This Row],[PM Hi]]-Table133[[#This Row],[MKT Open Price]])/(Table133[[#This Row],[PM Hi]]-Table133[[#This Row],[PM LO]]))</f>
        <v>#DIV/0!</v>
      </c>
      <c r="AJ158" s="48" t="e">
        <f>IF(Table133[[#This Row],[Prior day close]]&lt;Table133[[#This Row],[PM LO]],(I158-K158)/(I158-Table133[[#This Row],[Prior day close]]),(I158-K158)/(I158-Table133[[#This Row],[PM LO]]))</f>
        <v>#DIV/0!</v>
      </c>
      <c r="AK158" s="48" t="e">
        <f>Table133[[#This Row],[Spike % on open before drop]]+AL158</f>
        <v>#DIV/0!</v>
      </c>
      <c r="AL158" s="16" t="e">
        <f t="shared" si="11"/>
        <v>#DIV/0!</v>
      </c>
      <c r="AM158" s="18" t="e">
        <f>IF($J158&gt;=$F158,($J158-$K158)/($J158),(IF($H158&lt;=$K158,($F158-$H158)/($F158),(Table133[[#This Row],[PM Hi]]-Table133[[#This Row],[Lowest lo from open to squeeze]])/(Table133[[#This Row],[PM Hi]]))))</f>
        <v>#DIV/0!</v>
      </c>
      <c r="AN158" s="48" t="e">
        <f>IF(Table133[[#This Row],[Prior day close]]&lt;=Table133[[#This Row],[PM LO]],IF($J158&gt;=$F158,($J158-$K158)/($J158-Table133[[#This Row],[Prior day close]]),(IF($H158&lt;=$K158,($F158-$H158)/($F158-Table133[[#This Row],[Prior day close]]),(Table133[[#This Row],[PM Hi]]-Table133[[#This Row],[Lowest lo from open to squeeze]])/(Table133[[#This Row],[PM Hi]]-Table133[[#This Row],[Prior day close]])))),IF($J158&gt;=$F158,($J158-$K158)/($J158-Table133[[#This Row],[PM LO]]),(IF($H158&lt;=$K158,($F158-$H158)/($F158-Table133[[#This Row],[PM LO]]),(Table133[[#This Row],[PM Hi]]-Table133[[#This Row],[Lowest lo from open to squeeze]])/(Table133[[#This Row],[PM Hi]]-Table133[[#This Row],[PM LO]])))))</f>
        <v>#DIV/0!</v>
      </c>
      <c r="AO158" s="18" t="e">
        <f>IF(J158&gt;=F158,(J158-K158)/(J158-D158),(IF(H158&lt;=K158,(F158-H158)/(F158-D158),(Table133[[#This Row],[PM Hi]]-Table133[[#This Row],[Lowest lo from open to squeeze]])/(Table133[[#This Row],[PM Hi]]-Table133[[#This Row],[Prior day close]]))))</f>
        <v>#DIV/0!</v>
      </c>
      <c r="AP158" s="17">
        <f>390+Table133[[#This Row],[Time until ideal entry point (mins) from open]]</f>
        <v>390</v>
      </c>
      <c r="AQ158" s="17">
        <f>Table133[[#This Row],[Time until ideal entry + 390 (6:30)]]+Table133[[#This Row],[Duration of frontside (mins)]]</f>
        <v>390</v>
      </c>
    </row>
    <row r="159" spans="1:43" x14ac:dyDescent="0.25">
      <c r="A159" s="24" t="s">
        <v>241</v>
      </c>
      <c r="B159" s="47">
        <v>44181</v>
      </c>
      <c r="C159" s="47" t="s">
        <v>256</v>
      </c>
      <c r="D159" s="12"/>
      <c r="E159" s="13"/>
      <c r="F159" s="12"/>
      <c r="G159" s="12"/>
      <c r="H159" s="12"/>
      <c r="I159" s="12"/>
      <c r="J159" s="12"/>
      <c r="K159" s="12"/>
      <c r="N159" s="13"/>
      <c r="P159" s="37"/>
      <c r="Q159" s="46"/>
      <c r="R159" s="37"/>
      <c r="S159" s="37"/>
      <c r="T159" s="37"/>
      <c r="U159" s="38"/>
      <c r="V159" s="46"/>
      <c r="W159" s="37"/>
      <c r="X159" s="46"/>
      <c r="Y159" s="41">
        <f>Table133[[#This Row],[Time until ideal entry + 390 (6:30)]]/(1440)</f>
        <v>0.27083333333333331</v>
      </c>
      <c r="Z159" s="18" t="e">
        <f t="shared" si="12"/>
        <v>#DIV/0!</v>
      </c>
      <c r="AA159" s="18" t="e">
        <f>IF(Table133[[#This Row],[HOD AFTER PM HI]]&gt;=Table133[[#This Row],[PM Hi]],((Table133[[#This Row],[HOD AFTER PM HI]]-Table133[[#This Row],[Prior day close]])/Table133[[#This Row],[Prior day close]]),Table133[[#This Row],[Prior Close to PM Hi %]])</f>
        <v>#DIV/0!</v>
      </c>
      <c r="AB159" s="42" t="e">
        <f>(Table133[[#This Row],[Price at hi of squeeze]]-Table133[[#This Row],[MKT Open Price]])/Table133[[#This Row],[MKT Open Price]]</f>
        <v>#DIV/0!</v>
      </c>
      <c r="AC159" s="18" t="e">
        <f>(Table133[[#This Row],[Price at hi of squeeze]]-Table133[[#This Row],[PM Hi]])/Table133[[#This Row],[PM Hi]]</f>
        <v>#DIV/0!</v>
      </c>
      <c r="AD159" s="18"/>
      <c r="AE159" s="20" t="e">
        <f>Table133[[#This Row],[PM VOL]]/1000000/Table133[[#This Row],[FLOAT(M)]]</f>
        <v>#DIV/0!</v>
      </c>
      <c r="AF159" s="23" t="e">
        <f>(Table133[[#This Row],[Volume]]/1000000)/Table133[[#This Row],[FLOAT(M)]]</f>
        <v>#DIV/0!</v>
      </c>
      <c r="AH159" s="18" t="e">
        <f>(Table133[[#This Row],[PM Hi]]-Table133[[#This Row],[MKT Open Price]])/(Table133[[#This Row],[PM Hi]])</f>
        <v>#DIV/0!</v>
      </c>
      <c r="AI159" s="18" t="e">
        <f>IF(Table133[[#This Row],[PM LO]]&gt;Table133[[#This Row],[Prior day close]],(Table133[[#This Row],[PM Hi]]-Table133[[#This Row],[MKT Open Price]])/(Table133[[#This Row],[PM Hi]]-Table133[[#This Row],[Prior day close]]),(Table133[[#This Row],[PM Hi]]-Table133[[#This Row],[MKT Open Price]])/(Table133[[#This Row],[PM Hi]]-Table133[[#This Row],[PM LO]]))</f>
        <v>#DIV/0!</v>
      </c>
      <c r="AJ159" s="48" t="e">
        <f>IF(Table133[[#This Row],[Prior day close]]&lt;Table133[[#This Row],[PM LO]],(I159-K159)/(I159-Table133[[#This Row],[Prior day close]]),(I159-K159)/(I159-Table133[[#This Row],[PM LO]]))</f>
        <v>#DIV/0!</v>
      </c>
      <c r="AK159" s="48" t="e">
        <f>Table133[[#This Row],[Spike % on open before drop]]+AL159</f>
        <v>#DIV/0!</v>
      </c>
      <c r="AL159" s="16" t="e">
        <f t="shared" si="11"/>
        <v>#DIV/0!</v>
      </c>
      <c r="AM159" s="18" t="e">
        <f>IF($J159&gt;=$F159,($J159-$K159)/($J159),(IF($H159&lt;=$K159,($F159-$H159)/($F159),(Table133[[#This Row],[PM Hi]]-Table133[[#This Row],[Lowest lo from open to squeeze]])/(Table133[[#This Row],[PM Hi]]))))</f>
        <v>#DIV/0!</v>
      </c>
      <c r="AN159" s="48" t="e">
        <f>IF(Table133[[#This Row],[Prior day close]]&lt;=Table133[[#This Row],[PM LO]],IF($J159&gt;=$F159,($J159-$K159)/($J159-Table133[[#This Row],[Prior day close]]),(IF($H159&lt;=$K159,($F159-$H159)/($F159-Table133[[#This Row],[Prior day close]]),(Table133[[#This Row],[PM Hi]]-Table133[[#This Row],[Lowest lo from open to squeeze]])/(Table133[[#This Row],[PM Hi]]-Table133[[#This Row],[Prior day close]])))),IF($J159&gt;=$F159,($J159-$K159)/($J159-Table133[[#This Row],[PM LO]]),(IF($H159&lt;=$K159,($F159-$H159)/($F159-Table133[[#This Row],[PM LO]]),(Table133[[#This Row],[PM Hi]]-Table133[[#This Row],[Lowest lo from open to squeeze]])/(Table133[[#This Row],[PM Hi]]-Table133[[#This Row],[PM LO]])))))</f>
        <v>#DIV/0!</v>
      </c>
      <c r="AO159" s="18" t="e">
        <f>IF(J159&gt;=F159,(J159-K159)/(J159-D159),(IF(H159&lt;=K159,(F159-H159)/(F159-D159),(Table133[[#This Row],[PM Hi]]-Table133[[#This Row],[Lowest lo from open to squeeze]])/(Table133[[#This Row],[PM Hi]]-Table133[[#This Row],[Prior day close]]))))</f>
        <v>#DIV/0!</v>
      </c>
      <c r="AP159" s="17">
        <f>390+Table133[[#This Row],[Time until ideal entry point (mins) from open]]</f>
        <v>390</v>
      </c>
      <c r="AQ159" s="17">
        <f>Table133[[#This Row],[Time until ideal entry + 390 (6:30)]]+Table133[[#This Row],[Duration of frontside (mins)]]</f>
        <v>390</v>
      </c>
    </row>
    <row r="160" spans="1:43" x14ac:dyDescent="0.25">
      <c r="A160" s="24" t="s">
        <v>57</v>
      </c>
      <c r="B160" s="47">
        <v>44182</v>
      </c>
      <c r="C160" s="47" t="s">
        <v>256</v>
      </c>
      <c r="D160" s="12"/>
      <c r="E160" s="13"/>
      <c r="F160" s="12"/>
      <c r="G160" s="12"/>
      <c r="H160" s="12"/>
      <c r="I160" s="12"/>
      <c r="J160" s="12"/>
      <c r="K160" s="12"/>
      <c r="N160" s="13"/>
      <c r="P160" s="37"/>
      <c r="Q160" s="46"/>
      <c r="R160" s="37"/>
      <c r="S160" s="37"/>
      <c r="T160" s="37"/>
      <c r="U160" s="38"/>
      <c r="V160" s="46"/>
      <c r="W160" s="37"/>
      <c r="X160" s="46"/>
      <c r="Y160" s="41">
        <f>Table133[[#This Row],[Time until ideal entry + 390 (6:30)]]/(1440)</f>
        <v>0.27083333333333331</v>
      </c>
      <c r="Z160" s="18" t="e">
        <f t="shared" si="12"/>
        <v>#DIV/0!</v>
      </c>
      <c r="AA160" s="18" t="e">
        <f>IF(Table133[[#This Row],[HOD AFTER PM HI]]&gt;=Table133[[#This Row],[PM Hi]],((Table133[[#This Row],[HOD AFTER PM HI]]-Table133[[#This Row],[Prior day close]])/Table133[[#This Row],[Prior day close]]),Table133[[#This Row],[Prior Close to PM Hi %]])</f>
        <v>#DIV/0!</v>
      </c>
      <c r="AB160" s="42" t="e">
        <f>(Table133[[#This Row],[Price at hi of squeeze]]-Table133[[#This Row],[MKT Open Price]])/Table133[[#This Row],[MKT Open Price]]</f>
        <v>#DIV/0!</v>
      </c>
      <c r="AC160" s="18" t="e">
        <f>(Table133[[#This Row],[Price at hi of squeeze]]-Table133[[#This Row],[PM Hi]])/Table133[[#This Row],[PM Hi]]</f>
        <v>#DIV/0!</v>
      </c>
      <c r="AD160" s="18"/>
      <c r="AE160" s="20" t="e">
        <f>Table133[[#This Row],[PM VOL]]/1000000/Table133[[#This Row],[FLOAT(M)]]</f>
        <v>#DIV/0!</v>
      </c>
      <c r="AF160" s="23" t="e">
        <f>(Table133[[#This Row],[Volume]]/1000000)/Table133[[#This Row],[FLOAT(M)]]</f>
        <v>#DIV/0!</v>
      </c>
      <c r="AH160" s="18" t="e">
        <f>(Table133[[#This Row],[PM Hi]]-Table133[[#This Row],[MKT Open Price]])/(Table133[[#This Row],[PM Hi]])</f>
        <v>#DIV/0!</v>
      </c>
      <c r="AI160" s="18" t="e">
        <f>IF(Table133[[#This Row],[PM LO]]&gt;Table133[[#This Row],[Prior day close]],(Table133[[#This Row],[PM Hi]]-Table133[[#This Row],[MKT Open Price]])/(Table133[[#This Row],[PM Hi]]-Table133[[#This Row],[Prior day close]]),(Table133[[#This Row],[PM Hi]]-Table133[[#This Row],[MKT Open Price]])/(Table133[[#This Row],[PM Hi]]-Table133[[#This Row],[PM LO]]))</f>
        <v>#DIV/0!</v>
      </c>
      <c r="AJ160" s="48" t="e">
        <f>IF(Table133[[#This Row],[Prior day close]]&lt;Table133[[#This Row],[PM LO]],(I160-K160)/(I160-Table133[[#This Row],[Prior day close]]),(I160-K160)/(I160-Table133[[#This Row],[PM LO]]))</f>
        <v>#DIV/0!</v>
      </c>
      <c r="AK160" s="48" t="e">
        <f>Table133[[#This Row],[Spike % on open before drop]]+AL160</f>
        <v>#DIV/0!</v>
      </c>
      <c r="AL160" s="16" t="e">
        <f t="shared" si="11"/>
        <v>#DIV/0!</v>
      </c>
      <c r="AM160" s="18" t="e">
        <f>IF($J160&gt;=$F160,($J160-$K160)/($J160),(IF($H160&lt;=$K160,($F160-$H160)/($F160),(Table133[[#This Row],[PM Hi]]-Table133[[#This Row],[Lowest lo from open to squeeze]])/(Table133[[#This Row],[PM Hi]]))))</f>
        <v>#DIV/0!</v>
      </c>
      <c r="AN160" s="48" t="e">
        <f>IF(Table133[[#This Row],[Prior day close]]&lt;=Table133[[#This Row],[PM LO]],IF($J160&gt;=$F160,($J160-$K160)/($J160-Table133[[#This Row],[Prior day close]]),(IF($H160&lt;=$K160,($F160-$H160)/($F160-Table133[[#This Row],[Prior day close]]),(Table133[[#This Row],[PM Hi]]-Table133[[#This Row],[Lowest lo from open to squeeze]])/(Table133[[#This Row],[PM Hi]]-Table133[[#This Row],[Prior day close]])))),IF($J160&gt;=$F160,($J160-$K160)/($J160-Table133[[#This Row],[PM LO]]),(IF($H160&lt;=$K160,($F160-$H160)/($F160-Table133[[#This Row],[PM LO]]),(Table133[[#This Row],[PM Hi]]-Table133[[#This Row],[Lowest lo from open to squeeze]])/(Table133[[#This Row],[PM Hi]]-Table133[[#This Row],[PM LO]])))))</f>
        <v>#DIV/0!</v>
      </c>
      <c r="AO160" s="18" t="e">
        <f>IF(J160&gt;=F160,(J160-K160)/(J160-D160),(IF(H160&lt;=K160,(F160-H160)/(F160-D160),(Table133[[#This Row],[PM Hi]]-Table133[[#This Row],[Lowest lo from open to squeeze]])/(Table133[[#This Row],[PM Hi]]-Table133[[#This Row],[Prior day close]]))))</f>
        <v>#DIV/0!</v>
      </c>
      <c r="AP160" s="17">
        <f>390+Table133[[#This Row],[Time until ideal entry point (mins) from open]]</f>
        <v>390</v>
      </c>
      <c r="AQ160" s="17">
        <f>Table133[[#This Row],[Time until ideal entry + 390 (6:30)]]+Table133[[#This Row],[Duration of frontside (mins)]]</f>
        <v>390</v>
      </c>
    </row>
    <row r="161" spans="1:43" x14ac:dyDescent="0.25">
      <c r="A161" s="24" t="s">
        <v>243</v>
      </c>
      <c r="B161" s="47">
        <v>44187</v>
      </c>
      <c r="C161" s="47" t="s">
        <v>256</v>
      </c>
      <c r="D161" s="12"/>
      <c r="E161" s="13"/>
      <c r="F161" s="12"/>
      <c r="G161" s="12"/>
      <c r="H161" s="12"/>
      <c r="I161" s="12"/>
      <c r="J161" s="12"/>
      <c r="K161" s="12"/>
      <c r="N161" s="13"/>
      <c r="P161" s="37"/>
      <c r="Q161" s="46"/>
      <c r="R161" s="37"/>
      <c r="S161" s="37"/>
      <c r="T161" s="37"/>
      <c r="U161" s="38"/>
      <c r="V161" s="46"/>
      <c r="W161" s="37"/>
      <c r="X161" s="46"/>
      <c r="Y161" s="41">
        <f>Table133[[#This Row],[Time until ideal entry + 390 (6:30)]]/(1440)</f>
        <v>0.27083333333333331</v>
      </c>
      <c r="Z161" s="18" t="e">
        <f t="shared" si="12"/>
        <v>#DIV/0!</v>
      </c>
      <c r="AA161" s="18" t="e">
        <f>IF(Table133[[#This Row],[HOD AFTER PM HI]]&gt;=Table133[[#This Row],[PM Hi]],((Table133[[#This Row],[HOD AFTER PM HI]]-Table133[[#This Row],[Prior day close]])/Table133[[#This Row],[Prior day close]]),Table133[[#This Row],[Prior Close to PM Hi %]])</f>
        <v>#DIV/0!</v>
      </c>
      <c r="AB161" s="42" t="e">
        <f>(Table133[[#This Row],[Price at hi of squeeze]]-Table133[[#This Row],[MKT Open Price]])/Table133[[#This Row],[MKT Open Price]]</f>
        <v>#DIV/0!</v>
      </c>
      <c r="AC161" s="18" t="e">
        <f>(Table133[[#This Row],[Price at hi of squeeze]]-Table133[[#This Row],[PM Hi]])/Table133[[#This Row],[PM Hi]]</f>
        <v>#DIV/0!</v>
      </c>
      <c r="AD161" s="18"/>
      <c r="AE161" s="20" t="e">
        <f>Table133[[#This Row],[PM VOL]]/1000000/Table133[[#This Row],[FLOAT(M)]]</f>
        <v>#DIV/0!</v>
      </c>
      <c r="AF161" s="23" t="e">
        <f>(Table133[[#This Row],[Volume]]/1000000)/Table133[[#This Row],[FLOAT(M)]]</f>
        <v>#DIV/0!</v>
      </c>
      <c r="AH161" s="18" t="e">
        <f>(Table133[[#This Row],[PM Hi]]-Table133[[#This Row],[MKT Open Price]])/(Table133[[#This Row],[PM Hi]])</f>
        <v>#DIV/0!</v>
      </c>
      <c r="AI161" s="18" t="e">
        <f>IF(Table133[[#This Row],[PM LO]]&gt;Table133[[#This Row],[Prior day close]],(Table133[[#This Row],[PM Hi]]-Table133[[#This Row],[MKT Open Price]])/(Table133[[#This Row],[PM Hi]]-Table133[[#This Row],[Prior day close]]),(Table133[[#This Row],[PM Hi]]-Table133[[#This Row],[MKT Open Price]])/(Table133[[#This Row],[PM Hi]]-Table133[[#This Row],[PM LO]]))</f>
        <v>#DIV/0!</v>
      </c>
      <c r="AJ161" s="48" t="e">
        <f>IF(Table133[[#This Row],[Prior day close]]&lt;Table133[[#This Row],[PM LO]],(I161-K161)/(I161-Table133[[#This Row],[Prior day close]]),(I161-K161)/(I161-Table133[[#This Row],[PM LO]]))</f>
        <v>#DIV/0!</v>
      </c>
      <c r="AK161" s="48" t="e">
        <f>Table133[[#This Row],[Spike % on open before drop]]+AL161</f>
        <v>#DIV/0!</v>
      </c>
      <c r="AL161" s="16" t="e">
        <f t="shared" si="11"/>
        <v>#DIV/0!</v>
      </c>
      <c r="AM161" s="18" t="e">
        <f>IF($J161&gt;=$F161,($J161-$K161)/($J161),(IF($H161&lt;=$K161,($F161-$H161)/($F161),(Table133[[#This Row],[PM Hi]]-Table133[[#This Row],[Lowest lo from open to squeeze]])/(Table133[[#This Row],[PM Hi]]))))</f>
        <v>#DIV/0!</v>
      </c>
      <c r="AN161" s="48" t="e">
        <f>IF(Table133[[#This Row],[Prior day close]]&lt;=Table133[[#This Row],[PM LO]],IF($J161&gt;=$F161,($J161-$K161)/($J161-Table133[[#This Row],[Prior day close]]),(IF($H161&lt;=$K161,($F161-$H161)/($F161-Table133[[#This Row],[Prior day close]]),(Table133[[#This Row],[PM Hi]]-Table133[[#This Row],[Lowest lo from open to squeeze]])/(Table133[[#This Row],[PM Hi]]-Table133[[#This Row],[Prior day close]])))),IF($J161&gt;=$F161,($J161-$K161)/($J161-Table133[[#This Row],[PM LO]]),(IF($H161&lt;=$K161,($F161-$H161)/($F161-Table133[[#This Row],[PM LO]]),(Table133[[#This Row],[PM Hi]]-Table133[[#This Row],[Lowest lo from open to squeeze]])/(Table133[[#This Row],[PM Hi]]-Table133[[#This Row],[PM LO]])))))</f>
        <v>#DIV/0!</v>
      </c>
      <c r="AO161" s="18" t="e">
        <f>IF(J161&gt;=F161,(J161-K161)/(J161-D161),(IF(H161&lt;=K161,(F161-H161)/(F161-D161),(Table133[[#This Row],[PM Hi]]-Table133[[#This Row],[Lowest lo from open to squeeze]])/(Table133[[#This Row],[PM Hi]]-Table133[[#This Row],[Prior day close]]))))</f>
        <v>#DIV/0!</v>
      </c>
      <c r="AP161" s="17">
        <f>390+Table133[[#This Row],[Time until ideal entry point (mins) from open]]</f>
        <v>390</v>
      </c>
      <c r="AQ161" s="17">
        <f>Table133[[#This Row],[Time until ideal entry + 390 (6:30)]]+Table133[[#This Row],[Duration of frontside (mins)]]</f>
        <v>390</v>
      </c>
    </row>
    <row r="162" spans="1:43" x14ac:dyDescent="0.25">
      <c r="A162" s="24" t="s">
        <v>245</v>
      </c>
      <c r="B162" s="47">
        <v>44195</v>
      </c>
      <c r="C162" s="47" t="s">
        <v>256</v>
      </c>
      <c r="D162" s="12"/>
      <c r="E162" s="13"/>
      <c r="F162" s="12"/>
      <c r="G162" s="12"/>
      <c r="H162" s="12"/>
      <c r="I162" s="12"/>
      <c r="J162" s="12"/>
      <c r="K162" s="12"/>
      <c r="N162" s="13"/>
      <c r="P162" s="37"/>
      <c r="Q162" s="46"/>
      <c r="R162" s="37"/>
      <c r="S162" s="37"/>
      <c r="T162" s="37"/>
      <c r="U162" s="38"/>
      <c r="V162" s="46"/>
      <c r="W162" s="37"/>
      <c r="X162" s="46"/>
      <c r="Y162" s="41">
        <f>Table133[[#This Row],[Time until ideal entry + 390 (6:30)]]/(1440)</f>
        <v>0.27083333333333331</v>
      </c>
      <c r="Z162" s="18" t="e">
        <f t="shared" si="12"/>
        <v>#DIV/0!</v>
      </c>
      <c r="AA162" s="18" t="e">
        <f>IF(Table133[[#This Row],[HOD AFTER PM HI]]&gt;=Table133[[#This Row],[PM Hi]],((Table133[[#This Row],[HOD AFTER PM HI]]-Table133[[#This Row],[Prior day close]])/Table133[[#This Row],[Prior day close]]),Table133[[#This Row],[Prior Close to PM Hi %]])</f>
        <v>#DIV/0!</v>
      </c>
      <c r="AB162" s="42" t="e">
        <f>(Table133[[#This Row],[Price at hi of squeeze]]-Table133[[#This Row],[MKT Open Price]])/Table133[[#This Row],[MKT Open Price]]</f>
        <v>#DIV/0!</v>
      </c>
      <c r="AC162" s="18" t="e">
        <f>(Table133[[#This Row],[Price at hi of squeeze]]-Table133[[#This Row],[PM Hi]])/Table133[[#This Row],[PM Hi]]</f>
        <v>#DIV/0!</v>
      </c>
      <c r="AD162" s="18"/>
      <c r="AE162" s="20" t="e">
        <f>Table133[[#This Row],[PM VOL]]/1000000/Table133[[#This Row],[FLOAT(M)]]</f>
        <v>#DIV/0!</v>
      </c>
      <c r="AF162" s="23" t="e">
        <f>(Table133[[#This Row],[Volume]]/1000000)/Table133[[#This Row],[FLOAT(M)]]</f>
        <v>#DIV/0!</v>
      </c>
      <c r="AH162" s="18" t="e">
        <f>(Table133[[#This Row],[PM Hi]]-Table133[[#This Row],[MKT Open Price]])/(Table133[[#This Row],[PM Hi]])</f>
        <v>#DIV/0!</v>
      </c>
      <c r="AI162" s="18" t="e">
        <f>IF(Table133[[#This Row],[PM LO]]&gt;Table133[[#This Row],[Prior day close]],(Table133[[#This Row],[PM Hi]]-Table133[[#This Row],[MKT Open Price]])/(Table133[[#This Row],[PM Hi]]-Table133[[#This Row],[Prior day close]]),(Table133[[#This Row],[PM Hi]]-Table133[[#This Row],[MKT Open Price]])/(Table133[[#This Row],[PM Hi]]-Table133[[#This Row],[PM LO]]))</f>
        <v>#DIV/0!</v>
      </c>
      <c r="AJ162" s="48" t="e">
        <f>IF(Table133[[#This Row],[Prior day close]]&lt;Table133[[#This Row],[PM LO]],(I162-K162)/(I162-Table133[[#This Row],[Prior day close]]),(I162-K162)/(I162-Table133[[#This Row],[PM LO]]))</f>
        <v>#DIV/0!</v>
      </c>
      <c r="AK162" s="48" t="e">
        <f>Table133[[#This Row],[Spike % on open before drop]]+AL162</f>
        <v>#DIV/0!</v>
      </c>
      <c r="AL162" s="16" t="e">
        <f t="shared" ref="AL162:AL174" si="13">(I162-K162)/I162</f>
        <v>#DIV/0!</v>
      </c>
      <c r="AM162" s="18" t="e">
        <f>IF($J162&gt;=$F162,($J162-$K162)/($J162),(IF($H162&lt;=$K162,($F162-$H162)/($F162),(Table133[[#This Row],[PM Hi]]-Table133[[#This Row],[Lowest lo from open to squeeze]])/(Table133[[#This Row],[PM Hi]]))))</f>
        <v>#DIV/0!</v>
      </c>
      <c r="AN162" s="48" t="e">
        <f>IF(Table133[[#This Row],[Prior day close]]&lt;=Table133[[#This Row],[PM LO]],IF($J162&gt;=$F162,($J162-$K162)/($J162-Table133[[#This Row],[Prior day close]]),(IF($H162&lt;=$K162,($F162-$H162)/($F162-Table133[[#This Row],[Prior day close]]),(Table133[[#This Row],[PM Hi]]-Table133[[#This Row],[Lowest lo from open to squeeze]])/(Table133[[#This Row],[PM Hi]]-Table133[[#This Row],[Prior day close]])))),IF($J162&gt;=$F162,($J162-$K162)/($J162-Table133[[#This Row],[PM LO]]),(IF($H162&lt;=$K162,($F162-$H162)/($F162-Table133[[#This Row],[PM LO]]),(Table133[[#This Row],[PM Hi]]-Table133[[#This Row],[Lowest lo from open to squeeze]])/(Table133[[#This Row],[PM Hi]]-Table133[[#This Row],[PM LO]])))))</f>
        <v>#DIV/0!</v>
      </c>
      <c r="AO162" s="18" t="e">
        <f>IF(J162&gt;=F162,(J162-K162)/(J162-D162),(IF(H162&lt;=K162,(F162-H162)/(F162-D162),(Table133[[#This Row],[PM Hi]]-Table133[[#This Row],[Lowest lo from open to squeeze]])/(Table133[[#This Row],[PM Hi]]-Table133[[#This Row],[Prior day close]]))))</f>
        <v>#DIV/0!</v>
      </c>
      <c r="AP162" s="17">
        <f>390+Table133[[#This Row],[Time until ideal entry point (mins) from open]]</f>
        <v>390</v>
      </c>
      <c r="AQ162" s="17">
        <f>Table133[[#This Row],[Time until ideal entry + 390 (6:30)]]+Table133[[#This Row],[Duration of frontside (mins)]]</f>
        <v>390</v>
      </c>
    </row>
    <row r="163" spans="1:43" x14ac:dyDescent="0.25">
      <c r="A163" s="25" t="s">
        <v>133</v>
      </c>
      <c r="B163" s="47">
        <v>44203</v>
      </c>
      <c r="C163" s="47" t="s">
        <v>256</v>
      </c>
      <c r="D163" s="12"/>
      <c r="E163" s="13"/>
      <c r="F163" s="12"/>
      <c r="G163" s="12"/>
      <c r="H163" s="12"/>
      <c r="I163" s="12"/>
      <c r="J163" s="12"/>
      <c r="K163" s="12"/>
      <c r="N163" s="13"/>
      <c r="P163" s="37"/>
      <c r="Q163" s="46"/>
      <c r="R163" s="37"/>
      <c r="S163" s="37"/>
      <c r="T163" s="37"/>
      <c r="U163" s="38"/>
      <c r="V163" s="46"/>
      <c r="W163" s="37"/>
      <c r="X163" s="46"/>
      <c r="Y163" s="41">
        <f>Table133[[#This Row],[Time until ideal entry + 390 (6:30)]]/(1440)</f>
        <v>0.27083333333333331</v>
      </c>
      <c r="Z163" s="18" t="e">
        <f t="shared" si="12"/>
        <v>#DIV/0!</v>
      </c>
      <c r="AA163" s="18" t="e">
        <f>IF(Table133[[#This Row],[HOD AFTER PM HI]]&gt;=Table133[[#This Row],[PM Hi]],((Table133[[#This Row],[HOD AFTER PM HI]]-Table133[[#This Row],[Prior day close]])/Table133[[#This Row],[Prior day close]]),Table133[[#This Row],[Prior Close to PM Hi %]])</f>
        <v>#DIV/0!</v>
      </c>
      <c r="AB163" s="42" t="e">
        <f>(Table133[[#This Row],[Price at hi of squeeze]]-Table133[[#This Row],[MKT Open Price]])/Table133[[#This Row],[MKT Open Price]]</f>
        <v>#DIV/0!</v>
      </c>
      <c r="AC163" s="18" t="e">
        <f>(Table133[[#This Row],[Price at hi of squeeze]]-Table133[[#This Row],[PM Hi]])/Table133[[#This Row],[PM Hi]]</f>
        <v>#DIV/0!</v>
      </c>
      <c r="AD163" s="18"/>
      <c r="AE163" s="20" t="e">
        <f>Table133[[#This Row],[PM VOL]]/1000000/Table133[[#This Row],[FLOAT(M)]]</f>
        <v>#DIV/0!</v>
      </c>
      <c r="AF163" s="23" t="e">
        <f>(Table133[[#This Row],[Volume]]/1000000)/Table133[[#This Row],[FLOAT(M)]]</f>
        <v>#DIV/0!</v>
      </c>
      <c r="AH163" s="18" t="e">
        <f>(Table133[[#This Row],[PM Hi]]-Table133[[#This Row],[MKT Open Price]])/(Table133[[#This Row],[PM Hi]])</f>
        <v>#DIV/0!</v>
      </c>
      <c r="AI163" s="18" t="e">
        <f>IF(Table133[[#This Row],[PM LO]]&gt;Table133[[#This Row],[Prior day close]],(Table133[[#This Row],[PM Hi]]-Table133[[#This Row],[MKT Open Price]])/(Table133[[#This Row],[PM Hi]]-Table133[[#This Row],[Prior day close]]),(Table133[[#This Row],[PM Hi]]-Table133[[#This Row],[MKT Open Price]])/(Table133[[#This Row],[PM Hi]]-Table133[[#This Row],[PM LO]]))</f>
        <v>#DIV/0!</v>
      </c>
      <c r="AJ163" s="48" t="e">
        <f>IF(Table133[[#This Row],[Prior day close]]&lt;Table133[[#This Row],[PM LO]],(I163-K163)/(I163-Table133[[#This Row],[Prior day close]]),(I163-K163)/(I163-Table133[[#This Row],[PM LO]]))</f>
        <v>#DIV/0!</v>
      </c>
      <c r="AK163" s="48" t="e">
        <f>Table133[[#This Row],[Spike % on open before drop]]+AL163</f>
        <v>#DIV/0!</v>
      </c>
      <c r="AL163" s="16" t="e">
        <f t="shared" si="13"/>
        <v>#DIV/0!</v>
      </c>
      <c r="AM163" s="18" t="e">
        <f>IF($J163&gt;=$F163,($J163-$K163)/($J163),(IF($H163&lt;=$K163,($F163-$H163)/($F163),(Table133[[#This Row],[PM Hi]]-Table133[[#This Row],[Lowest lo from open to squeeze]])/(Table133[[#This Row],[PM Hi]]))))</f>
        <v>#DIV/0!</v>
      </c>
      <c r="AN163" s="48" t="e">
        <f>IF(Table133[[#This Row],[Prior day close]]&lt;=Table133[[#This Row],[PM LO]],IF($J163&gt;=$F163,($J163-$K163)/($J163-Table133[[#This Row],[Prior day close]]),(IF($H163&lt;=$K163,($F163-$H163)/($F163-Table133[[#This Row],[Prior day close]]),(Table133[[#This Row],[PM Hi]]-Table133[[#This Row],[Lowest lo from open to squeeze]])/(Table133[[#This Row],[PM Hi]]-Table133[[#This Row],[Prior day close]])))),IF($J163&gt;=$F163,($J163-$K163)/($J163-Table133[[#This Row],[PM LO]]),(IF($H163&lt;=$K163,($F163-$H163)/($F163-Table133[[#This Row],[PM LO]]),(Table133[[#This Row],[PM Hi]]-Table133[[#This Row],[Lowest lo from open to squeeze]])/(Table133[[#This Row],[PM Hi]]-Table133[[#This Row],[PM LO]])))))</f>
        <v>#DIV/0!</v>
      </c>
      <c r="AO163" s="18" t="e">
        <f>IF(J163&gt;=F163,(J163-K163)/(J163-D163),(IF(H163&lt;=K163,(F163-H163)/(F163-D163),(Table133[[#This Row],[PM Hi]]-Table133[[#This Row],[Lowest lo from open to squeeze]])/(Table133[[#This Row],[PM Hi]]-Table133[[#This Row],[Prior day close]]))))</f>
        <v>#DIV/0!</v>
      </c>
      <c r="AP163" s="17">
        <f>390+Table133[[#This Row],[Time until ideal entry point (mins) from open]]</f>
        <v>390</v>
      </c>
      <c r="AQ163" s="17">
        <f>Table133[[#This Row],[Time until ideal entry + 390 (6:30)]]+Table133[[#This Row],[Duration of frontside (mins)]]</f>
        <v>390</v>
      </c>
    </row>
    <row r="164" spans="1:43" x14ac:dyDescent="0.25">
      <c r="A164" s="24" t="s">
        <v>64</v>
      </c>
      <c r="B164" s="45">
        <v>43844</v>
      </c>
      <c r="C164" s="47" t="s">
        <v>256</v>
      </c>
      <c r="D164" s="12"/>
      <c r="E164" s="13"/>
      <c r="F164" s="12"/>
      <c r="G164" s="12"/>
      <c r="H164" s="12"/>
      <c r="I164" s="12"/>
      <c r="J164" s="12"/>
      <c r="K164" s="12"/>
      <c r="N164" s="13"/>
      <c r="P164" s="37"/>
      <c r="Q164" s="46"/>
      <c r="R164" s="37"/>
      <c r="S164" s="37"/>
      <c r="T164" s="37"/>
      <c r="U164" s="38"/>
      <c r="V164" s="46"/>
      <c r="W164" s="37"/>
      <c r="X164" s="46"/>
      <c r="Y164" s="41">
        <f>Table133[[#This Row],[Time until ideal entry + 390 (6:30)]]/(1440)</f>
        <v>0.27083333333333331</v>
      </c>
      <c r="Z164" s="18" t="e">
        <f t="shared" si="12"/>
        <v>#DIV/0!</v>
      </c>
      <c r="AA164" s="18" t="e">
        <f>IF(Table133[[#This Row],[HOD AFTER PM HI]]&gt;=Table133[[#This Row],[PM Hi]],((Table133[[#This Row],[HOD AFTER PM HI]]-Table133[[#This Row],[Prior day close]])/Table133[[#This Row],[Prior day close]]),Table133[[#This Row],[Prior Close to PM Hi %]])</f>
        <v>#DIV/0!</v>
      </c>
      <c r="AB164" s="42" t="e">
        <f>(Table133[[#This Row],[Price at hi of squeeze]]-Table133[[#This Row],[MKT Open Price]])/Table133[[#This Row],[MKT Open Price]]</f>
        <v>#DIV/0!</v>
      </c>
      <c r="AC164" s="18" t="e">
        <f>(Table133[[#This Row],[Price at hi of squeeze]]-Table133[[#This Row],[PM Hi]])/Table133[[#This Row],[PM Hi]]</f>
        <v>#DIV/0!</v>
      </c>
      <c r="AD164" s="18"/>
      <c r="AE164" s="20" t="e">
        <f>Table133[[#This Row],[PM VOL]]/1000000/Table133[[#This Row],[FLOAT(M)]]</f>
        <v>#DIV/0!</v>
      </c>
      <c r="AF164" s="23" t="e">
        <f>(Table133[[#This Row],[Volume]]/1000000)/Table133[[#This Row],[FLOAT(M)]]</f>
        <v>#DIV/0!</v>
      </c>
      <c r="AH164" s="18" t="e">
        <f>(Table133[[#This Row],[PM Hi]]-Table133[[#This Row],[MKT Open Price]])/(Table133[[#This Row],[PM Hi]])</f>
        <v>#DIV/0!</v>
      </c>
      <c r="AI164" s="18" t="e">
        <f>IF(Table133[[#This Row],[PM LO]]&gt;Table133[[#This Row],[Prior day close]],(Table133[[#This Row],[PM Hi]]-Table133[[#This Row],[MKT Open Price]])/(Table133[[#This Row],[PM Hi]]-Table133[[#This Row],[Prior day close]]),(Table133[[#This Row],[PM Hi]]-Table133[[#This Row],[MKT Open Price]])/(Table133[[#This Row],[PM Hi]]-Table133[[#This Row],[PM LO]]))</f>
        <v>#DIV/0!</v>
      </c>
      <c r="AJ164" s="48" t="e">
        <f>IF(Table133[[#This Row],[Prior day close]]&lt;Table133[[#This Row],[PM LO]],(I164-K164)/(I164-Table133[[#This Row],[Prior day close]]),(I164-K164)/(I164-Table133[[#This Row],[PM LO]]))</f>
        <v>#DIV/0!</v>
      </c>
      <c r="AK164" s="48" t="e">
        <f>Table133[[#This Row],[Spike % on open before drop]]+AL164</f>
        <v>#DIV/0!</v>
      </c>
      <c r="AL164" s="16" t="e">
        <f t="shared" si="13"/>
        <v>#DIV/0!</v>
      </c>
      <c r="AM164" s="18" t="e">
        <f>IF($J164&gt;=$F164,($J164-$K164)/($J164),(IF($H164&lt;=$K164,($F164-$H164)/($F164),(Table133[[#This Row],[PM Hi]]-Table133[[#This Row],[Lowest lo from open to squeeze]])/(Table133[[#This Row],[PM Hi]]))))</f>
        <v>#DIV/0!</v>
      </c>
      <c r="AN164" s="48" t="e">
        <f>IF(Table133[[#This Row],[Prior day close]]&lt;=Table133[[#This Row],[PM LO]],IF($J164&gt;=$F164,($J164-$K164)/($J164-Table133[[#This Row],[Prior day close]]),(IF($H164&lt;=$K164,($F164-$H164)/($F164-Table133[[#This Row],[Prior day close]]),(Table133[[#This Row],[PM Hi]]-Table133[[#This Row],[Lowest lo from open to squeeze]])/(Table133[[#This Row],[PM Hi]]-Table133[[#This Row],[Prior day close]])))),IF($J164&gt;=$F164,($J164-$K164)/($J164-Table133[[#This Row],[PM LO]]),(IF($H164&lt;=$K164,($F164-$H164)/($F164-Table133[[#This Row],[PM LO]]),(Table133[[#This Row],[PM Hi]]-Table133[[#This Row],[Lowest lo from open to squeeze]])/(Table133[[#This Row],[PM Hi]]-Table133[[#This Row],[PM LO]])))))</f>
        <v>#DIV/0!</v>
      </c>
      <c r="AO164" s="18" t="e">
        <f>IF(J164&gt;=F164,(J164-K164)/(J164-D164),(IF(H164&lt;=K164,(F164-H164)/(F164-D164),(Table133[[#This Row],[PM Hi]]-Table133[[#This Row],[Lowest lo from open to squeeze]])/(Table133[[#This Row],[PM Hi]]-Table133[[#This Row],[Prior day close]]))))</f>
        <v>#DIV/0!</v>
      </c>
      <c r="AP164" s="17">
        <f>390+Table133[[#This Row],[Time until ideal entry point (mins) from open]]</f>
        <v>390</v>
      </c>
      <c r="AQ164" s="17">
        <f>Table133[[#This Row],[Time until ideal entry + 390 (6:30)]]+Table133[[#This Row],[Duration of frontside (mins)]]</f>
        <v>390</v>
      </c>
    </row>
    <row r="165" spans="1:43" x14ac:dyDescent="0.25">
      <c r="A165" s="24" t="s">
        <v>75</v>
      </c>
      <c r="B165" s="47">
        <v>43849</v>
      </c>
      <c r="C165" s="47" t="s">
        <v>256</v>
      </c>
      <c r="D165" s="12"/>
      <c r="E165" s="13"/>
      <c r="F165" s="12"/>
      <c r="G165" s="12"/>
      <c r="H165" s="12"/>
      <c r="I165" s="12"/>
      <c r="J165" s="12"/>
      <c r="K165" s="12"/>
      <c r="N165" s="13"/>
      <c r="P165" s="37"/>
      <c r="Q165" s="46"/>
      <c r="R165" s="37"/>
      <c r="S165" s="37"/>
      <c r="T165" s="37"/>
      <c r="U165" s="38"/>
      <c r="V165" s="46"/>
      <c r="W165" s="37"/>
      <c r="X165" s="46"/>
      <c r="Y165" s="41">
        <f>Table133[[#This Row],[Time until ideal entry + 390 (6:30)]]/(1440)</f>
        <v>0.27083333333333331</v>
      </c>
      <c r="Z165" s="18" t="e">
        <f t="shared" si="12"/>
        <v>#DIV/0!</v>
      </c>
      <c r="AA165" s="18" t="e">
        <f>IF(Table133[[#This Row],[HOD AFTER PM HI]]&gt;=Table133[[#This Row],[PM Hi]],((Table133[[#This Row],[HOD AFTER PM HI]]-Table133[[#This Row],[Prior day close]])/Table133[[#This Row],[Prior day close]]),Table133[[#This Row],[Prior Close to PM Hi %]])</f>
        <v>#DIV/0!</v>
      </c>
      <c r="AB165" s="42" t="e">
        <f>(Table133[[#This Row],[Price at hi of squeeze]]-Table133[[#This Row],[MKT Open Price]])/Table133[[#This Row],[MKT Open Price]]</f>
        <v>#DIV/0!</v>
      </c>
      <c r="AC165" s="18" t="e">
        <f>(Table133[[#This Row],[Price at hi of squeeze]]-Table133[[#This Row],[PM Hi]])/Table133[[#This Row],[PM Hi]]</f>
        <v>#DIV/0!</v>
      </c>
      <c r="AD165" s="18"/>
      <c r="AE165" s="20" t="e">
        <f>Table133[[#This Row],[PM VOL]]/1000000/Table133[[#This Row],[FLOAT(M)]]</f>
        <v>#DIV/0!</v>
      </c>
      <c r="AF165" s="23" t="e">
        <f>(Table133[[#This Row],[Volume]]/1000000)/Table133[[#This Row],[FLOAT(M)]]</f>
        <v>#DIV/0!</v>
      </c>
      <c r="AH165" s="18" t="e">
        <f>(Table133[[#This Row],[PM Hi]]-Table133[[#This Row],[MKT Open Price]])/(Table133[[#This Row],[PM Hi]])</f>
        <v>#DIV/0!</v>
      </c>
      <c r="AI165" s="18" t="e">
        <f>IF(Table133[[#This Row],[PM LO]]&gt;Table133[[#This Row],[Prior day close]],(Table133[[#This Row],[PM Hi]]-Table133[[#This Row],[MKT Open Price]])/(Table133[[#This Row],[PM Hi]]-Table133[[#This Row],[Prior day close]]),(Table133[[#This Row],[PM Hi]]-Table133[[#This Row],[MKT Open Price]])/(Table133[[#This Row],[PM Hi]]-Table133[[#This Row],[PM LO]]))</f>
        <v>#DIV/0!</v>
      </c>
      <c r="AJ165" s="48" t="e">
        <f>IF(Table133[[#This Row],[Prior day close]]&lt;Table133[[#This Row],[PM LO]],(I165-K165)/(I165-Table133[[#This Row],[Prior day close]]),(I165-K165)/(I165-Table133[[#This Row],[PM LO]]))</f>
        <v>#DIV/0!</v>
      </c>
      <c r="AK165" s="48" t="e">
        <f>Table133[[#This Row],[Spike % on open before drop]]+AL165</f>
        <v>#DIV/0!</v>
      </c>
      <c r="AL165" s="16" t="e">
        <f t="shared" si="13"/>
        <v>#DIV/0!</v>
      </c>
      <c r="AM165" s="18" t="e">
        <f>IF($J165&gt;=$F165,($J165-$K165)/($J165),(IF($H165&lt;=$K165,($F165-$H165)/($F165),(Table133[[#This Row],[PM Hi]]-Table133[[#This Row],[Lowest lo from open to squeeze]])/(Table133[[#This Row],[PM Hi]]))))</f>
        <v>#DIV/0!</v>
      </c>
      <c r="AN165" s="48" t="e">
        <f>IF(Table133[[#This Row],[Prior day close]]&lt;=Table133[[#This Row],[PM LO]],IF($J165&gt;=$F165,($J165-$K165)/($J165-Table133[[#This Row],[Prior day close]]),(IF($H165&lt;=$K165,($F165-$H165)/($F165-Table133[[#This Row],[Prior day close]]),(Table133[[#This Row],[PM Hi]]-Table133[[#This Row],[Lowest lo from open to squeeze]])/(Table133[[#This Row],[PM Hi]]-Table133[[#This Row],[Prior day close]])))),IF($J165&gt;=$F165,($J165-$K165)/($J165-Table133[[#This Row],[PM LO]]),(IF($H165&lt;=$K165,($F165-$H165)/($F165-Table133[[#This Row],[PM LO]]),(Table133[[#This Row],[PM Hi]]-Table133[[#This Row],[Lowest lo from open to squeeze]])/(Table133[[#This Row],[PM Hi]]-Table133[[#This Row],[PM LO]])))))</f>
        <v>#DIV/0!</v>
      </c>
      <c r="AO165" s="18" t="e">
        <f>IF(J165&gt;=F165,(J165-K165)/(J165-D165),(IF(H165&lt;=K165,(F165-H165)/(F165-D165),(Table133[[#This Row],[PM Hi]]-Table133[[#This Row],[Lowest lo from open to squeeze]])/(Table133[[#This Row],[PM Hi]]-Table133[[#This Row],[Prior day close]]))))</f>
        <v>#DIV/0!</v>
      </c>
      <c r="AP165" s="17">
        <f>390+Table133[[#This Row],[Time until ideal entry point (mins) from open]]</f>
        <v>390</v>
      </c>
      <c r="AQ165" s="17">
        <f>Table133[[#This Row],[Time until ideal entry + 390 (6:30)]]+Table133[[#This Row],[Duration of frontside (mins)]]</f>
        <v>390</v>
      </c>
    </row>
    <row r="166" spans="1:43" x14ac:dyDescent="0.25">
      <c r="A166" s="24" t="s">
        <v>233</v>
      </c>
      <c r="B166" s="47">
        <v>44221</v>
      </c>
      <c r="C166" s="47" t="s">
        <v>256</v>
      </c>
      <c r="D166" s="12"/>
      <c r="E166" s="13"/>
      <c r="F166" s="12"/>
      <c r="G166" s="12"/>
      <c r="H166" s="12"/>
      <c r="I166" s="12"/>
      <c r="J166" s="12"/>
      <c r="K166" s="12"/>
      <c r="N166" s="13"/>
      <c r="P166" s="37"/>
      <c r="Q166" s="46"/>
      <c r="R166" s="37"/>
      <c r="S166" s="37"/>
      <c r="T166" s="37"/>
      <c r="U166" s="38"/>
      <c r="V166" s="46"/>
      <c r="W166" s="37"/>
      <c r="X166" s="46"/>
      <c r="Y166" s="41">
        <f>Table133[[#This Row],[Time until ideal entry + 390 (6:30)]]/(1440)</f>
        <v>0.27083333333333331</v>
      </c>
      <c r="Z166" s="18" t="e">
        <f t="shared" si="12"/>
        <v>#DIV/0!</v>
      </c>
      <c r="AA166" s="18" t="e">
        <f>IF(Table133[[#This Row],[HOD AFTER PM HI]]&gt;=Table133[[#This Row],[PM Hi]],((Table133[[#This Row],[HOD AFTER PM HI]]-Table133[[#This Row],[Prior day close]])/Table133[[#This Row],[Prior day close]]),Table133[[#This Row],[Prior Close to PM Hi %]])</f>
        <v>#DIV/0!</v>
      </c>
      <c r="AB166" s="42" t="e">
        <f>(Table133[[#This Row],[Price at hi of squeeze]]-Table133[[#This Row],[MKT Open Price]])/Table133[[#This Row],[MKT Open Price]]</f>
        <v>#DIV/0!</v>
      </c>
      <c r="AC166" s="18" t="e">
        <f>(Table133[[#This Row],[Price at hi of squeeze]]-Table133[[#This Row],[PM Hi]])/Table133[[#This Row],[PM Hi]]</f>
        <v>#DIV/0!</v>
      </c>
      <c r="AD166" s="18"/>
      <c r="AE166" s="20" t="e">
        <f>Table133[[#This Row],[PM VOL]]/1000000/Table133[[#This Row],[FLOAT(M)]]</f>
        <v>#DIV/0!</v>
      </c>
      <c r="AF166" s="23" t="e">
        <f>(Table133[[#This Row],[Volume]]/1000000)/Table133[[#This Row],[FLOAT(M)]]</f>
        <v>#DIV/0!</v>
      </c>
      <c r="AH166" s="18" t="e">
        <f>(Table133[[#This Row],[PM Hi]]-Table133[[#This Row],[MKT Open Price]])/(Table133[[#This Row],[PM Hi]])</f>
        <v>#DIV/0!</v>
      </c>
      <c r="AI166" s="18" t="e">
        <f>IF(Table133[[#This Row],[PM LO]]&gt;Table133[[#This Row],[Prior day close]],(Table133[[#This Row],[PM Hi]]-Table133[[#This Row],[MKT Open Price]])/(Table133[[#This Row],[PM Hi]]-Table133[[#This Row],[Prior day close]]),(Table133[[#This Row],[PM Hi]]-Table133[[#This Row],[MKT Open Price]])/(Table133[[#This Row],[PM Hi]]-Table133[[#This Row],[PM LO]]))</f>
        <v>#DIV/0!</v>
      </c>
      <c r="AJ166" s="48" t="e">
        <f>IF(Table133[[#This Row],[Prior day close]]&lt;Table133[[#This Row],[PM LO]],(I166-K166)/(I166-Table133[[#This Row],[Prior day close]]),(I166-K166)/(I166-Table133[[#This Row],[PM LO]]))</f>
        <v>#DIV/0!</v>
      </c>
      <c r="AK166" s="48" t="e">
        <f>Table133[[#This Row],[Spike % on open before drop]]+AL166</f>
        <v>#DIV/0!</v>
      </c>
      <c r="AL166" s="16" t="e">
        <f t="shared" si="13"/>
        <v>#DIV/0!</v>
      </c>
      <c r="AM166" s="18" t="e">
        <f>IF($J166&gt;=$F166,($J166-$K166)/($J166),(IF($H166&lt;=$K166,($F166-$H166)/($F166),(Table133[[#This Row],[PM Hi]]-Table133[[#This Row],[Lowest lo from open to squeeze]])/(Table133[[#This Row],[PM Hi]]))))</f>
        <v>#DIV/0!</v>
      </c>
      <c r="AN166" s="48" t="e">
        <f>IF(Table133[[#This Row],[Prior day close]]&lt;=Table133[[#This Row],[PM LO]],IF($J166&gt;=$F166,($J166-$K166)/($J166-Table133[[#This Row],[Prior day close]]),(IF($H166&lt;=$K166,($F166-$H166)/($F166-Table133[[#This Row],[Prior day close]]),(Table133[[#This Row],[PM Hi]]-Table133[[#This Row],[Lowest lo from open to squeeze]])/(Table133[[#This Row],[PM Hi]]-Table133[[#This Row],[Prior day close]])))),IF($J166&gt;=$F166,($J166-$K166)/($J166-Table133[[#This Row],[PM LO]]),(IF($H166&lt;=$K166,($F166-$H166)/($F166-Table133[[#This Row],[PM LO]]),(Table133[[#This Row],[PM Hi]]-Table133[[#This Row],[Lowest lo from open to squeeze]])/(Table133[[#This Row],[PM Hi]]-Table133[[#This Row],[PM LO]])))))</f>
        <v>#DIV/0!</v>
      </c>
      <c r="AO166" s="18" t="e">
        <f>IF(J166&gt;=F166,(J166-K166)/(J166-D166),(IF(H166&lt;=K166,(F166-H166)/(F166-D166),(Table133[[#This Row],[PM Hi]]-Table133[[#This Row],[Lowest lo from open to squeeze]])/(Table133[[#This Row],[PM Hi]]-Table133[[#This Row],[Prior day close]]))))</f>
        <v>#DIV/0!</v>
      </c>
      <c r="AP166" s="17">
        <f>390+Table133[[#This Row],[Time until ideal entry point (mins) from open]]</f>
        <v>390</v>
      </c>
      <c r="AQ166" s="17">
        <f>Table133[[#This Row],[Time until ideal entry + 390 (6:30)]]+Table133[[#This Row],[Duration of frontside (mins)]]</f>
        <v>390</v>
      </c>
    </row>
    <row r="167" spans="1:43" x14ac:dyDescent="0.25">
      <c r="A167" s="24" t="s">
        <v>254</v>
      </c>
      <c r="B167" s="47">
        <v>44223</v>
      </c>
      <c r="C167" s="47" t="s">
        <v>256</v>
      </c>
      <c r="D167" s="12"/>
      <c r="E167" s="13"/>
      <c r="F167" s="12"/>
      <c r="G167" s="12"/>
      <c r="H167" s="12"/>
      <c r="I167" s="12"/>
      <c r="J167" s="12"/>
      <c r="K167" s="12"/>
      <c r="N167" s="13"/>
      <c r="P167" s="37"/>
      <c r="Q167" s="46"/>
      <c r="R167" s="37"/>
      <c r="S167" s="37"/>
      <c r="T167" s="37"/>
      <c r="U167" s="38"/>
      <c r="V167" s="46"/>
      <c r="W167" s="37"/>
      <c r="X167" s="46"/>
      <c r="Y167" s="41">
        <f>Table133[[#This Row],[Time until ideal entry + 390 (6:30)]]/(1440)</f>
        <v>0.27083333333333331</v>
      </c>
      <c r="Z167" s="18" t="e">
        <f t="shared" ref="Z167:Z174" si="14">(F167-D167)/D167</f>
        <v>#DIV/0!</v>
      </c>
      <c r="AA167" s="18" t="e">
        <f>IF(Table133[[#This Row],[HOD AFTER PM HI]]&gt;=Table133[[#This Row],[PM Hi]],((Table133[[#This Row],[HOD AFTER PM HI]]-Table133[[#This Row],[Prior day close]])/Table133[[#This Row],[Prior day close]]),Table133[[#This Row],[Prior Close to PM Hi %]])</f>
        <v>#DIV/0!</v>
      </c>
      <c r="AB167" s="42" t="e">
        <f>(Table133[[#This Row],[Price at hi of squeeze]]-Table133[[#This Row],[MKT Open Price]])/Table133[[#This Row],[MKT Open Price]]</f>
        <v>#DIV/0!</v>
      </c>
      <c r="AC167" s="18" t="e">
        <f>(Table133[[#This Row],[Price at hi of squeeze]]-Table133[[#This Row],[PM Hi]])/Table133[[#This Row],[PM Hi]]</f>
        <v>#DIV/0!</v>
      </c>
      <c r="AD167" s="18"/>
      <c r="AE167" s="20" t="e">
        <f>Table133[[#This Row],[PM VOL]]/1000000/Table133[[#This Row],[FLOAT(M)]]</f>
        <v>#DIV/0!</v>
      </c>
      <c r="AF167" s="23" t="e">
        <f>(Table133[[#This Row],[Volume]]/1000000)/Table133[[#This Row],[FLOAT(M)]]</f>
        <v>#DIV/0!</v>
      </c>
      <c r="AH167" s="18" t="e">
        <f>(Table133[[#This Row],[PM Hi]]-Table133[[#This Row],[MKT Open Price]])/(Table133[[#This Row],[PM Hi]])</f>
        <v>#DIV/0!</v>
      </c>
      <c r="AI167" s="18" t="e">
        <f>IF(Table133[[#This Row],[PM LO]]&gt;Table133[[#This Row],[Prior day close]],(Table133[[#This Row],[PM Hi]]-Table133[[#This Row],[MKT Open Price]])/(Table133[[#This Row],[PM Hi]]-Table133[[#This Row],[Prior day close]]),(Table133[[#This Row],[PM Hi]]-Table133[[#This Row],[MKT Open Price]])/(Table133[[#This Row],[PM Hi]]-Table133[[#This Row],[PM LO]]))</f>
        <v>#DIV/0!</v>
      </c>
      <c r="AJ167" s="48" t="e">
        <f>IF(Table133[[#This Row],[Prior day close]]&lt;Table133[[#This Row],[PM LO]],(I167-K167)/(I167-Table133[[#This Row],[Prior day close]]),(I167-K167)/(I167-Table133[[#This Row],[PM LO]]))</f>
        <v>#DIV/0!</v>
      </c>
      <c r="AK167" s="48" t="e">
        <f>Table133[[#This Row],[Spike % on open before drop]]+AL167</f>
        <v>#DIV/0!</v>
      </c>
      <c r="AL167" s="16" t="e">
        <f t="shared" si="13"/>
        <v>#DIV/0!</v>
      </c>
      <c r="AM167" s="18" t="e">
        <f>IF($J167&gt;=$F167,($J167-$K167)/($J167),(IF($H167&lt;=$K167,($F167-$H167)/($F167),(Table133[[#This Row],[PM Hi]]-Table133[[#This Row],[Lowest lo from open to squeeze]])/(Table133[[#This Row],[PM Hi]]))))</f>
        <v>#DIV/0!</v>
      </c>
      <c r="AN167" s="48" t="e">
        <f>IF(Table133[[#This Row],[Prior day close]]&lt;=Table133[[#This Row],[PM LO]],IF($J167&gt;=$F167,($J167-$K167)/($J167-Table133[[#This Row],[Prior day close]]),(IF($H167&lt;=$K167,($F167-$H167)/($F167-Table133[[#This Row],[Prior day close]]),(Table133[[#This Row],[PM Hi]]-Table133[[#This Row],[Lowest lo from open to squeeze]])/(Table133[[#This Row],[PM Hi]]-Table133[[#This Row],[Prior day close]])))),IF($J167&gt;=$F167,($J167-$K167)/($J167-Table133[[#This Row],[PM LO]]),(IF($H167&lt;=$K167,($F167-$H167)/($F167-Table133[[#This Row],[PM LO]]),(Table133[[#This Row],[PM Hi]]-Table133[[#This Row],[Lowest lo from open to squeeze]])/(Table133[[#This Row],[PM Hi]]-Table133[[#This Row],[PM LO]])))))</f>
        <v>#DIV/0!</v>
      </c>
      <c r="AO167" s="18" t="e">
        <f>IF(J167&gt;=F167,(J167-K167)/(J167-D167),(IF(H167&lt;=K167,(F167-H167)/(F167-D167),(Table133[[#This Row],[PM Hi]]-Table133[[#This Row],[Lowest lo from open to squeeze]])/(Table133[[#This Row],[PM Hi]]-Table133[[#This Row],[Prior day close]]))))</f>
        <v>#DIV/0!</v>
      </c>
      <c r="AP167" s="17">
        <f>390+Table133[[#This Row],[Time until ideal entry point (mins) from open]]</f>
        <v>390</v>
      </c>
      <c r="AQ167" s="17">
        <f>Table133[[#This Row],[Time until ideal entry + 390 (6:30)]]+Table133[[#This Row],[Duration of frontside (mins)]]</f>
        <v>390</v>
      </c>
    </row>
    <row r="168" spans="1:43" x14ac:dyDescent="0.25">
      <c r="A168" s="24" t="s">
        <v>85</v>
      </c>
      <c r="B168" s="47">
        <v>44225</v>
      </c>
      <c r="C168" s="47" t="s">
        <v>256</v>
      </c>
      <c r="D168" s="12"/>
      <c r="E168" s="13"/>
      <c r="F168" s="12"/>
      <c r="G168" s="12"/>
      <c r="H168" s="12"/>
      <c r="I168" s="12"/>
      <c r="J168" s="12"/>
      <c r="K168" s="12"/>
      <c r="N168" s="13"/>
      <c r="P168" s="37"/>
      <c r="Q168" s="46"/>
      <c r="R168" s="37"/>
      <c r="S168" s="37"/>
      <c r="T168" s="37"/>
      <c r="U168" s="38"/>
      <c r="V168" s="46"/>
      <c r="W168" s="37"/>
      <c r="X168" s="46"/>
      <c r="Y168" s="41">
        <f>Table133[[#This Row],[Time until ideal entry + 390 (6:30)]]/(1440)</f>
        <v>0.27083333333333331</v>
      </c>
      <c r="Z168" s="18" t="e">
        <f t="shared" si="14"/>
        <v>#DIV/0!</v>
      </c>
      <c r="AA168" s="18" t="e">
        <f>IF(Table133[[#This Row],[HOD AFTER PM HI]]&gt;=Table133[[#This Row],[PM Hi]],((Table133[[#This Row],[HOD AFTER PM HI]]-Table133[[#This Row],[Prior day close]])/Table133[[#This Row],[Prior day close]]),Table133[[#This Row],[Prior Close to PM Hi %]])</f>
        <v>#DIV/0!</v>
      </c>
      <c r="AB168" s="42" t="e">
        <f>(Table133[[#This Row],[Price at hi of squeeze]]-Table133[[#This Row],[MKT Open Price]])/Table133[[#This Row],[MKT Open Price]]</f>
        <v>#DIV/0!</v>
      </c>
      <c r="AC168" s="18" t="e">
        <f>(Table133[[#This Row],[Price at hi of squeeze]]-Table133[[#This Row],[PM Hi]])/Table133[[#This Row],[PM Hi]]</f>
        <v>#DIV/0!</v>
      </c>
      <c r="AD168" s="18"/>
      <c r="AE168" s="20" t="e">
        <f>Table133[[#This Row],[PM VOL]]/1000000/Table133[[#This Row],[FLOAT(M)]]</f>
        <v>#DIV/0!</v>
      </c>
      <c r="AF168" s="23" t="e">
        <f>(Table133[[#This Row],[Volume]]/1000000)/Table133[[#This Row],[FLOAT(M)]]</f>
        <v>#DIV/0!</v>
      </c>
      <c r="AH168" s="18" t="e">
        <f>(Table133[[#This Row],[PM Hi]]-Table133[[#This Row],[MKT Open Price]])/(Table133[[#This Row],[PM Hi]])</f>
        <v>#DIV/0!</v>
      </c>
      <c r="AI168" s="18" t="e">
        <f>IF(Table133[[#This Row],[PM LO]]&gt;Table133[[#This Row],[Prior day close]],(Table133[[#This Row],[PM Hi]]-Table133[[#This Row],[MKT Open Price]])/(Table133[[#This Row],[PM Hi]]-Table133[[#This Row],[Prior day close]]),(Table133[[#This Row],[PM Hi]]-Table133[[#This Row],[MKT Open Price]])/(Table133[[#This Row],[PM Hi]]-Table133[[#This Row],[PM LO]]))</f>
        <v>#DIV/0!</v>
      </c>
      <c r="AJ168" s="48" t="e">
        <f>IF(Table133[[#This Row],[Prior day close]]&lt;Table133[[#This Row],[PM LO]],(I168-K168)/(I168-Table133[[#This Row],[Prior day close]]),(I168-K168)/(I168-Table133[[#This Row],[PM LO]]))</f>
        <v>#DIV/0!</v>
      </c>
      <c r="AK168" s="48" t="e">
        <f>Table133[[#This Row],[Spike % on open before drop]]+AL168</f>
        <v>#DIV/0!</v>
      </c>
      <c r="AL168" s="16" t="e">
        <f t="shared" si="13"/>
        <v>#DIV/0!</v>
      </c>
      <c r="AM168" s="18" t="e">
        <f>IF($J168&gt;=$F168,($J168-$K168)/($J168),(IF($H168&lt;=$K168,($F168-$H168)/($F168),(Table133[[#This Row],[PM Hi]]-Table133[[#This Row],[Lowest lo from open to squeeze]])/(Table133[[#This Row],[PM Hi]]))))</f>
        <v>#DIV/0!</v>
      </c>
      <c r="AN168" s="48" t="e">
        <f>IF(Table133[[#This Row],[Prior day close]]&lt;=Table133[[#This Row],[PM LO]],IF($J168&gt;=$F168,($J168-$K168)/($J168-Table133[[#This Row],[Prior day close]]),(IF($H168&lt;=$K168,($F168-$H168)/($F168-Table133[[#This Row],[Prior day close]]),(Table133[[#This Row],[PM Hi]]-Table133[[#This Row],[Lowest lo from open to squeeze]])/(Table133[[#This Row],[PM Hi]]-Table133[[#This Row],[Prior day close]])))),IF($J168&gt;=$F168,($J168-$K168)/($J168-Table133[[#This Row],[PM LO]]),(IF($H168&lt;=$K168,($F168-$H168)/($F168-Table133[[#This Row],[PM LO]]),(Table133[[#This Row],[PM Hi]]-Table133[[#This Row],[Lowest lo from open to squeeze]])/(Table133[[#This Row],[PM Hi]]-Table133[[#This Row],[PM LO]])))))</f>
        <v>#DIV/0!</v>
      </c>
      <c r="AO168" s="18" t="e">
        <f>IF(J168&gt;=F168,(J168-K168)/(J168-D168),(IF(H168&lt;=K168,(F168-H168)/(F168-D168),(Table133[[#This Row],[PM Hi]]-Table133[[#This Row],[Lowest lo from open to squeeze]])/(Table133[[#This Row],[PM Hi]]-Table133[[#This Row],[Prior day close]]))))</f>
        <v>#DIV/0!</v>
      </c>
      <c r="AP168" s="17">
        <f>390+Table133[[#This Row],[Time until ideal entry point (mins) from open]]</f>
        <v>390</v>
      </c>
      <c r="AQ168" s="17">
        <f>Table133[[#This Row],[Time until ideal entry + 390 (6:30)]]+Table133[[#This Row],[Duration of frontside (mins)]]</f>
        <v>390</v>
      </c>
    </row>
    <row r="169" spans="1:43" x14ac:dyDescent="0.25">
      <c r="A169" s="24" t="s">
        <v>237</v>
      </c>
      <c r="B169" s="47">
        <v>44147</v>
      </c>
      <c r="C169" s="47" t="s">
        <v>143</v>
      </c>
      <c r="D169" s="12"/>
      <c r="E169" s="13"/>
      <c r="F169" s="12"/>
      <c r="G169" s="12"/>
      <c r="H169" s="12"/>
      <c r="I169" s="12"/>
      <c r="J169" s="12"/>
      <c r="K169" s="12"/>
      <c r="N169" s="13"/>
      <c r="P169" s="37"/>
      <c r="Q169" s="46"/>
      <c r="R169" s="37"/>
      <c r="S169" s="37"/>
      <c r="T169" s="37"/>
      <c r="U169" s="38"/>
      <c r="V169" s="46"/>
      <c r="W169" s="37"/>
      <c r="X169" s="46"/>
      <c r="Y169" s="41">
        <f>Table133[[#This Row],[Time until ideal entry + 390 (6:30)]]/(1440)</f>
        <v>0.27083333333333331</v>
      </c>
      <c r="Z169" s="18" t="e">
        <f t="shared" si="14"/>
        <v>#DIV/0!</v>
      </c>
      <c r="AA169" s="18" t="e">
        <f>IF(Table133[[#This Row],[HOD AFTER PM HI]]&gt;=Table133[[#This Row],[PM Hi]],((Table133[[#This Row],[HOD AFTER PM HI]]-Table133[[#This Row],[Prior day close]])/Table133[[#This Row],[Prior day close]]),Table133[[#This Row],[Prior Close to PM Hi %]])</f>
        <v>#DIV/0!</v>
      </c>
      <c r="AB169" s="42" t="e">
        <f>(Table133[[#This Row],[Price at hi of squeeze]]-Table133[[#This Row],[MKT Open Price]])/Table133[[#This Row],[MKT Open Price]]</f>
        <v>#DIV/0!</v>
      </c>
      <c r="AC169" s="18" t="e">
        <f>(Table133[[#This Row],[Price at hi of squeeze]]-Table133[[#This Row],[PM Hi]])/Table133[[#This Row],[PM Hi]]</f>
        <v>#DIV/0!</v>
      </c>
      <c r="AD169" s="18"/>
      <c r="AE169" s="20" t="e">
        <f>Table133[[#This Row],[PM VOL]]/1000000/Table133[[#This Row],[FLOAT(M)]]</f>
        <v>#DIV/0!</v>
      </c>
      <c r="AF169" s="23" t="e">
        <f>(Table133[[#This Row],[Volume]]/1000000)/Table133[[#This Row],[FLOAT(M)]]</f>
        <v>#DIV/0!</v>
      </c>
      <c r="AH169" s="18" t="e">
        <f>(Table133[[#This Row],[PM Hi]]-Table133[[#This Row],[MKT Open Price]])/(Table133[[#This Row],[PM Hi]])</f>
        <v>#DIV/0!</v>
      </c>
      <c r="AI169" s="18" t="e">
        <f>IF(Table133[[#This Row],[PM LO]]&gt;Table133[[#This Row],[Prior day close]],(Table133[[#This Row],[PM Hi]]-Table133[[#This Row],[MKT Open Price]])/(Table133[[#This Row],[PM Hi]]-Table133[[#This Row],[Prior day close]]),(Table133[[#This Row],[PM Hi]]-Table133[[#This Row],[MKT Open Price]])/(Table133[[#This Row],[PM Hi]]-Table133[[#This Row],[PM LO]]))</f>
        <v>#DIV/0!</v>
      </c>
      <c r="AJ169" s="48" t="e">
        <f>IF(Table133[[#This Row],[Prior day close]]&lt;Table133[[#This Row],[PM LO]],(I169-K169)/(I169-Table133[[#This Row],[Prior day close]]),(I169-K169)/(I169-Table133[[#This Row],[PM LO]]))</f>
        <v>#DIV/0!</v>
      </c>
      <c r="AK169" s="48" t="e">
        <f>Table133[[#This Row],[Spike % on open before drop]]+AL169</f>
        <v>#DIV/0!</v>
      </c>
      <c r="AL169" s="16" t="e">
        <f t="shared" si="13"/>
        <v>#DIV/0!</v>
      </c>
      <c r="AM169" s="18" t="e">
        <f>IF($J169&gt;=$F169,($J169-$K169)/($J169),(IF($H169&lt;=$K169,($F169-$H169)/($F169),(Table133[[#This Row],[PM Hi]]-Table133[[#This Row],[Lowest lo from open to squeeze]])/(Table133[[#This Row],[PM Hi]]))))</f>
        <v>#DIV/0!</v>
      </c>
      <c r="AN169" s="48" t="e">
        <f>IF(Table133[[#This Row],[Prior day close]]&lt;=Table133[[#This Row],[PM LO]],IF($J169&gt;=$F169,($J169-$K169)/($J169-Table133[[#This Row],[Prior day close]]),(IF($H169&lt;=$K169,($F169-$H169)/($F169-Table133[[#This Row],[Prior day close]]),(Table133[[#This Row],[PM Hi]]-Table133[[#This Row],[Lowest lo from open to squeeze]])/(Table133[[#This Row],[PM Hi]]-Table133[[#This Row],[Prior day close]])))),IF($J169&gt;=$F169,($J169-$K169)/($J169-Table133[[#This Row],[PM LO]]),(IF($H169&lt;=$K169,($F169-$H169)/($F169-Table133[[#This Row],[PM LO]]),(Table133[[#This Row],[PM Hi]]-Table133[[#This Row],[Lowest lo from open to squeeze]])/(Table133[[#This Row],[PM Hi]]-Table133[[#This Row],[PM LO]])))))</f>
        <v>#DIV/0!</v>
      </c>
      <c r="AO169" s="18" t="e">
        <f>IF(J169&gt;=F169,(J169-K169)/(J169-D169),(IF(H169&lt;=K169,(F169-H169)/(F169-D169),(Table133[[#This Row],[PM Hi]]-Table133[[#This Row],[Lowest lo from open to squeeze]])/(Table133[[#This Row],[PM Hi]]-Table133[[#This Row],[Prior day close]]))))</f>
        <v>#DIV/0!</v>
      </c>
      <c r="AP169" s="17">
        <f>390+Table133[[#This Row],[Time until ideal entry point (mins) from open]]</f>
        <v>390</v>
      </c>
      <c r="AQ169" s="17">
        <f>Table133[[#This Row],[Time until ideal entry + 390 (6:30)]]+Table133[[#This Row],[Duration of frontside (mins)]]</f>
        <v>390</v>
      </c>
    </row>
    <row r="170" spans="1:43" x14ac:dyDescent="0.25">
      <c r="A170" s="49"/>
      <c r="B170" s="47"/>
      <c r="C170" s="47"/>
      <c r="D170" s="12"/>
      <c r="E170" s="13"/>
      <c r="F170" s="12"/>
      <c r="G170" s="12"/>
      <c r="H170" s="12"/>
      <c r="I170" s="12"/>
      <c r="J170" s="12"/>
      <c r="K170" s="12"/>
      <c r="N170" s="13"/>
      <c r="P170" s="37"/>
      <c r="Q170" s="46"/>
      <c r="R170" s="37"/>
      <c r="S170" s="37"/>
      <c r="T170" s="37"/>
      <c r="U170" s="38"/>
      <c r="V170" s="46"/>
      <c r="W170" s="37"/>
      <c r="X170" s="46"/>
      <c r="Y170" s="41">
        <f>Table133[[#This Row],[Time until ideal entry + 390 (6:30)]]/(1440)</f>
        <v>0.27083333333333331</v>
      </c>
      <c r="Z170" s="18" t="e">
        <f t="shared" si="14"/>
        <v>#DIV/0!</v>
      </c>
      <c r="AA170" s="18" t="e">
        <f>IF(Table133[[#This Row],[HOD AFTER PM HI]]&gt;=Table133[[#This Row],[PM Hi]],((Table133[[#This Row],[HOD AFTER PM HI]]-Table133[[#This Row],[Prior day close]])/Table133[[#This Row],[Prior day close]]),Table133[[#This Row],[Prior Close to PM Hi %]])</f>
        <v>#DIV/0!</v>
      </c>
      <c r="AB170" s="42" t="e">
        <f>(Table133[[#This Row],[Price at hi of squeeze]]-Table133[[#This Row],[MKT Open Price]])/Table133[[#This Row],[MKT Open Price]]</f>
        <v>#DIV/0!</v>
      </c>
      <c r="AC170" s="18" t="e">
        <f>(Table133[[#This Row],[Price at hi of squeeze]]-Table133[[#This Row],[PM Hi]])/Table133[[#This Row],[PM Hi]]</f>
        <v>#DIV/0!</v>
      </c>
      <c r="AD170" s="18"/>
      <c r="AE170" s="20" t="e">
        <f>Table133[[#This Row],[PM VOL]]/1000000/Table133[[#This Row],[FLOAT(M)]]</f>
        <v>#DIV/0!</v>
      </c>
      <c r="AF170" s="23" t="e">
        <f>(Table133[[#This Row],[Volume]]/1000000)/Table133[[#This Row],[FLOAT(M)]]</f>
        <v>#DIV/0!</v>
      </c>
      <c r="AH170" s="18" t="e">
        <f>(Table133[[#This Row],[PM Hi]]-Table133[[#This Row],[MKT Open Price]])/(Table133[[#This Row],[PM Hi]])</f>
        <v>#DIV/0!</v>
      </c>
      <c r="AI170" s="18" t="e">
        <f>IF(Table133[[#This Row],[PM LO]]&gt;Table133[[#This Row],[Prior day close]],(Table133[[#This Row],[PM Hi]]-Table133[[#This Row],[MKT Open Price]])/(Table133[[#This Row],[PM Hi]]-Table133[[#This Row],[Prior day close]]),(Table133[[#This Row],[PM Hi]]-Table133[[#This Row],[MKT Open Price]])/(Table133[[#This Row],[PM Hi]]-Table133[[#This Row],[PM LO]]))</f>
        <v>#DIV/0!</v>
      </c>
      <c r="AJ170" s="48" t="e">
        <f>IF(Table133[[#This Row],[Prior day close]]&lt;Table133[[#This Row],[PM LO]],(I170-K170)/(I170-Table133[[#This Row],[Prior day close]]),(I170-K170)/(I170-Table133[[#This Row],[PM LO]]))</f>
        <v>#DIV/0!</v>
      </c>
      <c r="AK170" s="48" t="e">
        <f>Table133[[#This Row],[Spike % on open before drop]]+AL170</f>
        <v>#DIV/0!</v>
      </c>
      <c r="AL170" s="16" t="e">
        <f t="shared" si="13"/>
        <v>#DIV/0!</v>
      </c>
      <c r="AM170" s="18" t="e">
        <f>IF($J170&gt;=$F170,($J170-$K170)/($J170),(IF($H170&lt;=$K170,($F170-$H170)/($F170),(Table133[[#This Row],[PM Hi]]-Table133[[#This Row],[Lowest lo from open to squeeze]])/(Table133[[#This Row],[PM Hi]]))))</f>
        <v>#DIV/0!</v>
      </c>
      <c r="AN170" s="48" t="e">
        <f>IF(Table133[[#This Row],[Prior day close]]&lt;=Table133[[#This Row],[PM LO]],IF($J170&gt;=$F170,($J170-$K170)/($J170-Table133[[#This Row],[Prior day close]]),(IF($H170&lt;=$K170,($F170-$H170)/($F170-Table133[[#This Row],[Prior day close]]),(Table133[[#This Row],[PM Hi]]-Table133[[#This Row],[Lowest lo from open to squeeze]])/(Table133[[#This Row],[PM Hi]]-Table133[[#This Row],[Prior day close]])))),IF($J170&gt;=$F170,($J170-$K170)/($J170-Table133[[#This Row],[PM LO]]),(IF($H170&lt;=$K170,($F170-$H170)/($F170-Table133[[#This Row],[PM LO]]),(Table133[[#This Row],[PM Hi]]-Table133[[#This Row],[Lowest lo from open to squeeze]])/(Table133[[#This Row],[PM Hi]]-Table133[[#This Row],[PM LO]])))))</f>
        <v>#DIV/0!</v>
      </c>
      <c r="AO170" s="18" t="e">
        <f>IF(J170&gt;=F170,(J170-K170)/(J170-D170),(IF(H170&lt;=K170,(F170-H170)/(F170-D170),(Table133[[#This Row],[PM Hi]]-Table133[[#This Row],[Lowest lo from open to squeeze]])/(Table133[[#This Row],[PM Hi]]-Table133[[#This Row],[Prior day close]]))))</f>
        <v>#DIV/0!</v>
      </c>
      <c r="AP170" s="17">
        <f>390+Table133[[#This Row],[Time until ideal entry point (mins) from open]]</f>
        <v>390</v>
      </c>
      <c r="AQ170" s="17">
        <f>Table133[[#This Row],[Time until ideal entry + 390 (6:30)]]+Table133[[#This Row],[Duration of frontside (mins)]]</f>
        <v>390</v>
      </c>
    </row>
    <row r="171" spans="1:43" x14ac:dyDescent="0.25">
      <c r="A171" s="49"/>
      <c r="B171" s="47"/>
      <c r="C171" s="47"/>
      <c r="D171" s="12"/>
      <c r="E171" s="13"/>
      <c r="F171" s="12"/>
      <c r="G171" s="12"/>
      <c r="H171" s="12"/>
      <c r="I171" s="12"/>
      <c r="J171" s="12"/>
      <c r="K171" s="12"/>
      <c r="N171" s="13"/>
      <c r="P171" s="37"/>
      <c r="Q171" s="46"/>
      <c r="R171" s="37"/>
      <c r="S171" s="37"/>
      <c r="T171" s="37"/>
      <c r="U171" s="38"/>
      <c r="V171" s="46"/>
      <c r="W171" s="37"/>
      <c r="X171" s="46"/>
      <c r="Y171" s="41">
        <f>Table133[[#This Row],[Time until ideal entry + 390 (6:30)]]/(1440)</f>
        <v>0.27083333333333331</v>
      </c>
      <c r="Z171" s="18" t="e">
        <f t="shared" si="14"/>
        <v>#DIV/0!</v>
      </c>
      <c r="AA171" s="18" t="e">
        <f>IF(Table133[[#This Row],[HOD AFTER PM HI]]&gt;=Table133[[#This Row],[PM Hi]],((Table133[[#This Row],[HOD AFTER PM HI]]-Table133[[#This Row],[Prior day close]])/Table133[[#This Row],[Prior day close]]),Table133[[#This Row],[Prior Close to PM Hi %]])</f>
        <v>#DIV/0!</v>
      </c>
      <c r="AB171" s="42" t="e">
        <f>(Table133[[#This Row],[Price at hi of squeeze]]-Table133[[#This Row],[MKT Open Price]])/Table133[[#This Row],[MKT Open Price]]</f>
        <v>#DIV/0!</v>
      </c>
      <c r="AC171" s="18" t="e">
        <f>(Table133[[#This Row],[Price at hi of squeeze]]-Table133[[#This Row],[PM Hi]])/Table133[[#This Row],[PM Hi]]</f>
        <v>#DIV/0!</v>
      </c>
      <c r="AD171" s="18"/>
      <c r="AE171" s="20" t="e">
        <f>Table133[[#This Row],[PM VOL]]/1000000/Table133[[#This Row],[FLOAT(M)]]</f>
        <v>#DIV/0!</v>
      </c>
      <c r="AF171" s="23" t="e">
        <f>(Table133[[#This Row],[Volume]]/1000000)/Table133[[#This Row],[FLOAT(M)]]</f>
        <v>#DIV/0!</v>
      </c>
      <c r="AH171" s="18" t="e">
        <f>(Table133[[#This Row],[PM Hi]]-Table133[[#This Row],[MKT Open Price]])/(Table133[[#This Row],[PM Hi]])</f>
        <v>#DIV/0!</v>
      </c>
      <c r="AI171" s="18" t="e">
        <f>IF(Table133[[#This Row],[PM LO]]&gt;Table133[[#This Row],[Prior day close]],(Table133[[#This Row],[PM Hi]]-Table133[[#This Row],[MKT Open Price]])/(Table133[[#This Row],[PM Hi]]-Table133[[#This Row],[Prior day close]]),(Table133[[#This Row],[PM Hi]]-Table133[[#This Row],[MKT Open Price]])/(Table133[[#This Row],[PM Hi]]-Table133[[#This Row],[PM LO]]))</f>
        <v>#DIV/0!</v>
      </c>
      <c r="AJ171" s="48" t="e">
        <f>IF(Table133[[#This Row],[Prior day close]]&lt;Table133[[#This Row],[PM LO]],(I171-K171)/(I171-Table133[[#This Row],[Prior day close]]),(I171-K171)/(I171-Table133[[#This Row],[PM LO]]))</f>
        <v>#DIV/0!</v>
      </c>
      <c r="AK171" s="48" t="e">
        <f>Table133[[#This Row],[Spike % on open before drop]]+AL171</f>
        <v>#DIV/0!</v>
      </c>
      <c r="AL171" s="16" t="e">
        <f t="shared" si="13"/>
        <v>#DIV/0!</v>
      </c>
      <c r="AM171" s="18" t="e">
        <f>IF($J171&gt;=$F171,($J171-$K171)/($J171),(IF($H171&lt;=$K171,($F171-$H171)/($F171),(Table133[[#This Row],[PM Hi]]-Table133[[#This Row],[Lowest lo from open to squeeze]])/(Table133[[#This Row],[PM Hi]]))))</f>
        <v>#DIV/0!</v>
      </c>
      <c r="AN171" s="48" t="e">
        <f>IF(Table133[[#This Row],[Prior day close]]&lt;=Table133[[#This Row],[PM LO]],IF($J171&gt;=$F171,($J171-$K171)/($J171-Table133[[#This Row],[Prior day close]]),(IF($H171&lt;=$K171,($F171-$H171)/($F171-Table133[[#This Row],[Prior day close]]),(Table133[[#This Row],[PM Hi]]-Table133[[#This Row],[Lowest lo from open to squeeze]])/(Table133[[#This Row],[PM Hi]]-Table133[[#This Row],[Prior day close]])))),IF($J171&gt;=$F171,($J171-$K171)/($J171-Table133[[#This Row],[PM LO]]),(IF($H171&lt;=$K171,($F171-$H171)/($F171-Table133[[#This Row],[PM LO]]),(Table133[[#This Row],[PM Hi]]-Table133[[#This Row],[Lowest lo from open to squeeze]])/(Table133[[#This Row],[PM Hi]]-Table133[[#This Row],[PM LO]])))))</f>
        <v>#DIV/0!</v>
      </c>
      <c r="AO171" s="18" t="e">
        <f>IF(J171&gt;=F171,(J171-K171)/(J171-D171),(IF(H171&lt;=K171,(F171-H171)/(F171-D171),(Table133[[#This Row],[PM Hi]]-Table133[[#This Row],[Lowest lo from open to squeeze]])/(Table133[[#This Row],[PM Hi]]-Table133[[#This Row],[Prior day close]]))))</f>
        <v>#DIV/0!</v>
      </c>
      <c r="AP171" s="17">
        <f>390+Table133[[#This Row],[Time until ideal entry point (mins) from open]]</f>
        <v>390</v>
      </c>
      <c r="AQ171" s="17">
        <f>Table133[[#This Row],[Time until ideal entry + 390 (6:30)]]+Table133[[#This Row],[Duration of frontside (mins)]]</f>
        <v>390</v>
      </c>
    </row>
    <row r="172" spans="1:43" x14ac:dyDescent="0.25">
      <c r="A172" s="49"/>
      <c r="B172" s="47"/>
      <c r="C172" s="47"/>
      <c r="D172" s="12"/>
      <c r="E172" s="13"/>
      <c r="F172" s="12"/>
      <c r="G172" s="12"/>
      <c r="H172" s="12"/>
      <c r="I172" s="12"/>
      <c r="J172" s="12"/>
      <c r="K172" s="12"/>
      <c r="N172" s="13"/>
      <c r="P172" s="37"/>
      <c r="Q172" s="46"/>
      <c r="R172" s="37"/>
      <c r="S172" s="37"/>
      <c r="T172" s="37"/>
      <c r="U172" s="38"/>
      <c r="V172" s="46"/>
      <c r="W172" s="37"/>
      <c r="X172" s="46"/>
      <c r="Y172" s="41">
        <f>Table133[[#This Row],[Time until ideal entry + 390 (6:30)]]/(1440)</f>
        <v>0.27083333333333331</v>
      </c>
      <c r="Z172" s="18" t="e">
        <f t="shared" si="14"/>
        <v>#DIV/0!</v>
      </c>
      <c r="AA172" s="18" t="e">
        <f>IF(Table133[[#This Row],[HOD AFTER PM HI]]&gt;=Table133[[#This Row],[PM Hi]],((Table133[[#This Row],[HOD AFTER PM HI]]-Table133[[#This Row],[Prior day close]])/Table133[[#This Row],[Prior day close]]),Table133[[#This Row],[Prior Close to PM Hi %]])</f>
        <v>#DIV/0!</v>
      </c>
      <c r="AB172" s="42" t="e">
        <f>(Table133[[#This Row],[Price at hi of squeeze]]-Table133[[#This Row],[MKT Open Price]])/Table133[[#This Row],[MKT Open Price]]</f>
        <v>#DIV/0!</v>
      </c>
      <c r="AC172" s="18" t="e">
        <f>(Table133[[#This Row],[Price at hi of squeeze]]-Table133[[#This Row],[PM Hi]])/Table133[[#This Row],[PM Hi]]</f>
        <v>#DIV/0!</v>
      </c>
      <c r="AD172" s="18"/>
      <c r="AE172" s="20" t="e">
        <f>Table133[[#This Row],[PM VOL]]/1000000/Table133[[#This Row],[FLOAT(M)]]</f>
        <v>#DIV/0!</v>
      </c>
      <c r="AF172" s="23" t="e">
        <f>(Table133[[#This Row],[Volume]]/1000000)/Table133[[#This Row],[FLOAT(M)]]</f>
        <v>#DIV/0!</v>
      </c>
      <c r="AH172" s="18" t="e">
        <f>(Table133[[#This Row],[PM Hi]]-Table133[[#This Row],[MKT Open Price]])/(Table133[[#This Row],[PM Hi]])</f>
        <v>#DIV/0!</v>
      </c>
      <c r="AI172" s="18" t="e">
        <f>IF(Table133[[#This Row],[PM LO]]&gt;Table133[[#This Row],[Prior day close]],(Table133[[#This Row],[PM Hi]]-Table133[[#This Row],[MKT Open Price]])/(Table133[[#This Row],[PM Hi]]-Table133[[#This Row],[Prior day close]]),(Table133[[#This Row],[PM Hi]]-Table133[[#This Row],[MKT Open Price]])/(Table133[[#This Row],[PM Hi]]-Table133[[#This Row],[PM LO]]))</f>
        <v>#DIV/0!</v>
      </c>
      <c r="AJ172" s="48" t="e">
        <f>IF(Table133[[#This Row],[Prior day close]]&lt;Table133[[#This Row],[PM LO]],(I172-K172)/(I172-Table133[[#This Row],[Prior day close]]),(I172-K172)/(I172-Table133[[#This Row],[PM LO]]))</f>
        <v>#DIV/0!</v>
      </c>
      <c r="AK172" s="48" t="e">
        <f>Table133[[#This Row],[Spike % on open before drop]]+AL172</f>
        <v>#DIV/0!</v>
      </c>
      <c r="AL172" s="16" t="e">
        <f t="shared" si="13"/>
        <v>#DIV/0!</v>
      </c>
      <c r="AM172" s="18" t="e">
        <f>IF($J172&gt;=$F172,($J172-$K172)/($J172),(IF($H172&lt;=$K172,($F172-$H172)/($F172),(Table133[[#This Row],[PM Hi]]-Table133[[#This Row],[Lowest lo from open to squeeze]])/(Table133[[#This Row],[PM Hi]]))))</f>
        <v>#DIV/0!</v>
      </c>
      <c r="AN172" s="48" t="e">
        <f>IF(Table133[[#This Row],[Prior day close]]&lt;=Table133[[#This Row],[PM LO]],IF($J172&gt;=$F172,($J172-$K172)/($J172-Table133[[#This Row],[Prior day close]]),(IF($H172&lt;=$K172,($F172-$H172)/($F172-Table133[[#This Row],[Prior day close]]),(Table133[[#This Row],[PM Hi]]-Table133[[#This Row],[Lowest lo from open to squeeze]])/(Table133[[#This Row],[PM Hi]]-Table133[[#This Row],[Prior day close]])))),IF($J172&gt;=$F172,($J172-$K172)/($J172-Table133[[#This Row],[PM LO]]),(IF($H172&lt;=$K172,($F172-$H172)/($F172-Table133[[#This Row],[PM LO]]),(Table133[[#This Row],[PM Hi]]-Table133[[#This Row],[Lowest lo from open to squeeze]])/(Table133[[#This Row],[PM Hi]]-Table133[[#This Row],[PM LO]])))))</f>
        <v>#DIV/0!</v>
      </c>
      <c r="AO172" s="18" t="e">
        <f>IF(J172&gt;=F172,(J172-K172)/(J172-D172),(IF(H172&lt;=K172,(F172-H172)/(F172-D172),(Table133[[#This Row],[PM Hi]]-Table133[[#This Row],[Lowest lo from open to squeeze]])/(Table133[[#This Row],[PM Hi]]-Table133[[#This Row],[Prior day close]]))))</f>
        <v>#DIV/0!</v>
      </c>
      <c r="AP172" s="17">
        <f>390+Table133[[#This Row],[Time until ideal entry point (mins) from open]]</f>
        <v>390</v>
      </c>
      <c r="AQ172" s="17">
        <f>Table133[[#This Row],[Time until ideal entry + 390 (6:30)]]+Table133[[#This Row],[Duration of frontside (mins)]]</f>
        <v>390</v>
      </c>
    </row>
    <row r="173" spans="1:43" x14ac:dyDescent="0.25">
      <c r="A173" s="49"/>
      <c r="B173" s="47"/>
      <c r="C173" s="47"/>
      <c r="D173" s="12"/>
      <c r="E173" s="13"/>
      <c r="F173" s="12"/>
      <c r="G173" s="12"/>
      <c r="H173" s="12"/>
      <c r="I173" s="12"/>
      <c r="J173" s="12"/>
      <c r="K173" s="12"/>
      <c r="N173" s="13"/>
      <c r="P173" s="37"/>
      <c r="Q173" s="46"/>
      <c r="R173" s="37"/>
      <c r="S173" s="37"/>
      <c r="T173" s="37"/>
      <c r="U173" s="38"/>
      <c r="V173" s="46"/>
      <c r="W173" s="37"/>
      <c r="X173" s="46"/>
      <c r="Y173" s="41">
        <f>Table133[[#This Row],[Time until ideal entry + 390 (6:30)]]/(1440)</f>
        <v>0.27083333333333331</v>
      </c>
      <c r="Z173" s="18" t="e">
        <f t="shared" si="14"/>
        <v>#DIV/0!</v>
      </c>
      <c r="AA173" s="18" t="e">
        <f>IF(Table133[[#This Row],[HOD AFTER PM HI]]&gt;=Table133[[#This Row],[PM Hi]],((Table133[[#This Row],[HOD AFTER PM HI]]-Table133[[#This Row],[Prior day close]])/Table133[[#This Row],[Prior day close]]),Table133[[#This Row],[Prior Close to PM Hi %]])</f>
        <v>#DIV/0!</v>
      </c>
      <c r="AB173" s="42" t="e">
        <f>(Table133[[#This Row],[Price at hi of squeeze]]-Table133[[#This Row],[MKT Open Price]])/Table133[[#This Row],[MKT Open Price]]</f>
        <v>#DIV/0!</v>
      </c>
      <c r="AC173" s="18" t="e">
        <f>(Table133[[#This Row],[Price at hi of squeeze]]-Table133[[#This Row],[PM Hi]])/Table133[[#This Row],[PM Hi]]</f>
        <v>#DIV/0!</v>
      </c>
      <c r="AD173" s="18"/>
      <c r="AE173" s="20" t="e">
        <f>Table133[[#This Row],[PM VOL]]/1000000/Table133[[#This Row],[FLOAT(M)]]</f>
        <v>#DIV/0!</v>
      </c>
      <c r="AF173" s="23" t="e">
        <f>(Table133[[#This Row],[Volume]]/1000000)/Table133[[#This Row],[FLOAT(M)]]</f>
        <v>#DIV/0!</v>
      </c>
      <c r="AH173" s="18" t="e">
        <f>(Table133[[#This Row],[PM Hi]]-Table133[[#This Row],[MKT Open Price]])/(Table133[[#This Row],[PM Hi]])</f>
        <v>#DIV/0!</v>
      </c>
      <c r="AI173" s="18" t="e">
        <f>IF(Table133[[#This Row],[PM LO]]&gt;Table133[[#This Row],[Prior day close]],(Table133[[#This Row],[PM Hi]]-Table133[[#This Row],[MKT Open Price]])/(Table133[[#This Row],[PM Hi]]-Table133[[#This Row],[Prior day close]]),(Table133[[#This Row],[PM Hi]]-Table133[[#This Row],[MKT Open Price]])/(Table133[[#This Row],[PM Hi]]-Table133[[#This Row],[PM LO]]))</f>
        <v>#DIV/0!</v>
      </c>
      <c r="AJ173" s="48" t="e">
        <f>IF(Table133[[#This Row],[Prior day close]]&lt;Table133[[#This Row],[PM LO]],(I173-K173)/(I173-Table133[[#This Row],[Prior day close]]),(I173-K173)/(I173-Table133[[#This Row],[PM LO]]))</f>
        <v>#DIV/0!</v>
      </c>
      <c r="AK173" s="48" t="e">
        <f>Table133[[#This Row],[Spike % on open before drop]]+AL173</f>
        <v>#DIV/0!</v>
      </c>
      <c r="AL173" s="16" t="e">
        <f t="shared" si="13"/>
        <v>#DIV/0!</v>
      </c>
      <c r="AM173" s="18" t="e">
        <f>IF($J173&gt;=$F173,($J173-$K173)/($J173),(IF($H173&lt;=$K173,($F173-$H173)/($F173),(Table133[[#This Row],[PM Hi]]-Table133[[#This Row],[Lowest lo from open to squeeze]])/(Table133[[#This Row],[PM Hi]]))))</f>
        <v>#DIV/0!</v>
      </c>
      <c r="AN173" s="48" t="e">
        <f>IF(Table133[[#This Row],[Prior day close]]&lt;=Table133[[#This Row],[PM LO]],IF($J173&gt;=$F173,($J173-$K173)/($J173-Table133[[#This Row],[Prior day close]]),(IF($H173&lt;=$K173,($F173-$H173)/($F173-Table133[[#This Row],[Prior day close]]),(Table133[[#This Row],[PM Hi]]-Table133[[#This Row],[Lowest lo from open to squeeze]])/(Table133[[#This Row],[PM Hi]]-Table133[[#This Row],[Prior day close]])))),IF($J173&gt;=$F173,($J173-$K173)/($J173-Table133[[#This Row],[PM LO]]),(IF($H173&lt;=$K173,($F173-$H173)/($F173-Table133[[#This Row],[PM LO]]),(Table133[[#This Row],[PM Hi]]-Table133[[#This Row],[Lowest lo from open to squeeze]])/(Table133[[#This Row],[PM Hi]]-Table133[[#This Row],[PM LO]])))))</f>
        <v>#DIV/0!</v>
      </c>
      <c r="AO173" s="18" t="e">
        <f>IF(J173&gt;=F173,(J173-K173)/(J173-D173),(IF(H173&lt;=K173,(F173-H173)/(F173-D173),(Table133[[#This Row],[PM Hi]]-Table133[[#This Row],[Lowest lo from open to squeeze]])/(Table133[[#This Row],[PM Hi]]-Table133[[#This Row],[Prior day close]]))))</f>
        <v>#DIV/0!</v>
      </c>
      <c r="AP173" s="17">
        <f>390+Table133[[#This Row],[Time until ideal entry point (mins) from open]]</f>
        <v>390</v>
      </c>
      <c r="AQ173" s="17">
        <f>Table133[[#This Row],[Time until ideal entry + 390 (6:30)]]+Table133[[#This Row],[Duration of frontside (mins)]]</f>
        <v>390</v>
      </c>
    </row>
    <row r="174" spans="1:43" x14ac:dyDescent="0.25">
      <c r="A174" s="25" t="s">
        <v>146</v>
      </c>
      <c r="B174" s="11">
        <v>44209</v>
      </c>
      <c r="C174" s="11" t="s">
        <v>143</v>
      </c>
      <c r="J174" s="12"/>
      <c r="K174" s="12"/>
      <c r="U174" s="50"/>
      <c r="Z174" s="18" t="e">
        <f t="shared" si="14"/>
        <v>#DIV/0!</v>
      </c>
      <c r="AL174" s="16" t="e">
        <f t="shared" si="13"/>
        <v>#DIV/0!</v>
      </c>
      <c r="AM174" s="18" t="e">
        <f>IF($J174&gt;=$F174,($J174-$K174)/($J174),(IF($H174&lt;=$K174,($F174-$H174)/($F174),(Table133[[#This Row],[PM Hi]]-Table133[[#This Row],[Lowest lo from open to squeeze]])/(Table133[[#This Row],[PM Hi]]))))</f>
        <v>#DIV/0!</v>
      </c>
      <c r="AO174" s="18" t="e">
        <f>IF(J174&gt;=F174,(J174-K174)/(J174-D174),(IF(H174&lt;=K174,(F174-H174)/(F174-D174),(Table133[[#This Row],[PM Hi]]-Table133[[#This Row],[Lowest lo from open to squeeze]])/(Table133[[#This Row],[PM Hi]]-Table133[[#This Row],[Prior day close]]))))</f>
        <v>#DIV/0!</v>
      </c>
    </row>
  </sheetData>
  <conditionalFormatting sqref="AD2:AD65">
    <cfRule type="cellIs" dxfId="10" priority="6" operator="between">
      <formula>0.2</formula>
      <formula>0.5</formula>
    </cfRule>
    <cfRule type="cellIs" dxfId="9" priority="11" operator="greaterThan">
      <formula>0.5</formula>
    </cfRule>
  </conditionalFormatting>
  <conditionalFormatting sqref="R2:R49 R52:R54 R56:R59">
    <cfRule type="cellIs" dxfId="8" priority="10" operator="greaterThan">
      <formula>10000000</formula>
    </cfRule>
  </conditionalFormatting>
  <conditionalFormatting sqref="P2:P65">
    <cfRule type="cellIs" dxfId="7" priority="8" operator="between">
      <formula>15</formula>
      <formula>100</formula>
    </cfRule>
    <cfRule type="cellIs" dxfId="6" priority="9" operator="lessThan">
      <formula>15</formula>
    </cfRule>
  </conditionalFormatting>
  <conditionalFormatting sqref="P2:P65 O113:O1048576">
    <cfRule type="cellIs" dxfId="5" priority="7" operator="greaterThan">
      <formula>100</formula>
    </cfRule>
  </conditionalFormatting>
  <conditionalFormatting sqref="AL2:AL174">
    <cfRule type="cellIs" dxfId="4" priority="5" operator="greaterThan">
      <formula>0.15</formula>
    </cfRule>
  </conditionalFormatting>
  <conditionalFormatting sqref="R50">
    <cfRule type="cellIs" dxfId="3" priority="4" operator="greaterThan">
      <formula>10000000</formula>
    </cfRule>
  </conditionalFormatting>
  <conditionalFormatting sqref="R51">
    <cfRule type="cellIs" dxfId="2" priority="3" operator="greaterThan">
      <formula>10000000</formula>
    </cfRule>
  </conditionalFormatting>
  <conditionalFormatting sqref="R55">
    <cfRule type="cellIs" dxfId="1" priority="2" operator="greaterThan">
      <formula>10000000</formula>
    </cfRule>
  </conditionalFormatting>
  <conditionalFormatting sqref="AA113:AB1048576">
    <cfRule type="colorScale" priority="12">
      <colorScale>
        <cfvo type="min"/>
        <cfvo type="percentile" val="50"/>
        <cfvo type="percent" val="100"/>
        <color rgb="FFFF0000"/>
        <color rgb="FFFFEB84"/>
        <color theme="9"/>
      </colorScale>
    </cfRule>
    <cfRule type="cellIs" dxfId="0" priority="13" operator="greaterThan">
      <formula>1</formula>
    </cfRule>
  </conditionalFormatting>
  <hyperlinks>
    <hyperlink ref="A56" r:id="rId1" xr:uid="{EA012A1A-A592-47A7-990F-5EC2E420063A}"/>
    <hyperlink ref="A28" r:id="rId2" xr:uid="{BCA4DC81-F798-4698-A6C7-FC30A2D579B8}"/>
    <hyperlink ref="A57" r:id="rId3" xr:uid="{2024025C-5BC8-414B-9969-F5CB23FC98B1}"/>
    <hyperlink ref="A23" r:id="rId4" xr:uid="{CB7EA5EB-E680-4849-B14E-9AB917A496F8}"/>
    <hyperlink ref="A47" r:id="rId5" xr:uid="{7648F697-A66B-40E0-9918-44B57E2579C4}"/>
    <hyperlink ref="A32" r:id="rId6" xr:uid="{ACC0ECCE-6CB3-43BA-B045-93966067DEB8}"/>
    <hyperlink ref="A29" r:id="rId7" xr:uid="{17CDD97A-AA6E-4292-AB80-79EACA386B91}"/>
    <hyperlink ref="A18" r:id="rId8" xr:uid="{57E18DF9-D53F-48E7-9052-A65A0AA0F99C}"/>
    <hyperlink ref="A80" r:id="rId9" xr:uid="{9EDED93A-776A-4ADB-8F90-C57BB1D43783}"/>
    <hyperlink ref="A60" r:id="rId10" xr:uid="{B51ABCA5-B9DC-42B3-8E73-984911470B08}"/>
    <hyperlink ref="A22" r:id="rId11" xr:uid="{1CF112CA-049E-4FFA-8719-44CB2FD3BEEF}"/>
    <hyperlink ref="A70" r:id="rId12" xr:uid="{980003C6-367F-464A-84A9-847F0FDB2EE8}"/>
    <hyperlink ref="B46" r:id="rId13" display="http://tos.mx/cu8M3kQ" xr:uid="{1EB79345-E757-47D0-89AE-F17C73A67851}"/>
    <hyperlink ref="A46" r:id="rId14" xr:uid="{0AF22D93-C144-4C00-96E2-D15750729DCF}"/>
    <hyperlink ref="A39" r:id="rId15" xr:uid="{0168EAC7-8E35-4AD9-AAA4-137510CD6446}"/>
    <hyperlink ref="A20" r:id="rId16" xr:uid="{46122078-28B1-4DEB-85B2-D5982A86A743}"/>
    <hyperlink ref="A65" r:id="rId17" xr:uid="{853D24F4-4E13-4CD5-8076-0F780063C026}"/>
    <hyperlink ref="A61" r:id="rId18" xr:uid="{B5232B47-37AF-492E-833A-DCBA5711B754}"/>
    <hyperlink ref="A19" r:id="rId19" xr:uid="{277DB923-C05E-4964-8CB6-FFE203609008}"/>
    <hyperlink ref="A35" r:id="rId20" xr:uid="{285435DE-485D-4DA6-BC87-A688790368B7}"/>
    <hyperlink ref="A79" r:id="rId21" xr:uid="{DC8E244B-0897-4164-9AAE-B15A688D8477}"/>
    <hyperlink ref="A59" r:id="rId22" xr:uid="{DA4BC22E-4FDA-40CD-BF3A-60DB658FA479}"/>
    <hyperlink ref="A24" r:id="rId23" xr:uid="{3D60B976-1F60-4989-885B-64D16B2E5738}"/>
    <hyperlink ref="A50" r:id="rId24" xr:uid="{15E078EE-5E3D-4CB6-9675-F709E7F4C5FA}"/>
    <hyperlink ref="A68" r:id="rId25" xr:uid="{9BD65751-04D6-473F-90FE-E7AC399D6D2E}"/>
    <hyperlink ref="A9" r:id="rId26" xr:uid="{2173B1E9-5893-40B4-B34A-E4462388F917}"/>
    <hyperlink ref="A27" r:id="rId27" xr:uid="{A638E510-4EFC-4FA3-AC3D-181686946C45}"/>
    <hyperlink ref="A10" r:id="rId28" xr:uid="{88448D65-8DDA-4961-AE40-D5DD8F83568D}"/>
    <hyperlink ref="A72" r:id="rId29" xr:uid="{895591A6-CCBB-4162-99B0-26F2A7C03808}"/>
    <hyperlink ref="A26" r:id="rId30" xr:uid="{523E3912-5623-447C-AD3F-BC970D446CDD}"/>
    <hyperlink ref="A15" r:id="rId31" xr:uid="{107C3B9D-4B9D-4FBF-84B4-2B70A01AD082}"/>
    <hyperlink ref="A76" r:id="rId32" xr:uid="{D724A52A-AA4C-4AA7-8F65-BE2CD46ACB5D}"/>
    <hyperlink ref="A82" r:id="rId33" xr:uid="{2D295E23-1F34-4B0D-9F0D-C7061DD6BF80}"/>
    <hyperlink ref="A4" r:id="rId34" xr:uid="{F5AB5468-6BC6-4A28-946F-61E31EBB3E23}"/>
    <hyperlink ref="A17" r:id="rId35" xr:uid="{A8C3E973-4C18-40EB-8E25-AF4D0749D9AE}"/>
    <hyperlink ref="A6" r:id="rId36" xr:uid="{95F0E1DE-A2F5-47EE-BA1A-1852F8A1AE0F}"/>
    <hyperlink ref="A5" r:id="rId37" xr:uid="{8978F712-BD3F-405A-82C5-7FB4A7F45E64}"/>
    <hyperlink ref="A16" r:id="rId38" xr:uid="{E253167D-D98D-4C7A-B1A4-CD77D5B40013}"/>
    <hyperlink ref="A45" r:id="rId39" xr:uid="{507A7B08-9042-4E4B-A269-29F36DC6CEDA}"/>
    <hyperlink ref="A55" r:id="rId40" xr:uid="{64431D25-2DA4-40A5-B9CB-C0B5F2A7712A}"/>
    <hyperlink ref="B35" r:id="rId41" display="http://tos.mx/r65xX7P" xr:uid="{AF7B682E-026B-4295-87E7-A338BE509B1D}"/>
    <hyperlink ref="A21" r:id="rId42" xr:uid="{B355AEA8-FD2D-4660-9364-0F8A90F773A1}"/>
    <hyperlink ref="B22" r:id="rId43" display="http://tos.mx/tEx3xJB" xr:uid="{846A6FE0-409E-4657-91A9-65347926F1EE}"/>
    <hyperlink ref="A73" r:id="rId44" xr:uid="{67FEF5E0-B08E-4C7E-BC3B-64227D32F3CC}"/>
    <hyperlink ref="B23" r:id="rId45" display="http://tos.mx/La9CxYF" xr:uid="{0A9C2689-D1A6-4EC7-A07D-84A8F027C83D}"/>
    <hyperlink ref="B27" r:id="rId46" display="http://tos.mx/3F551mk" xr:uid="{C339F441-B4C7-4609-B2A1-7262894A63EA}"/>
    <hyperlink ref="A71" r:id="rId47" xr:uid="{F3683771-BCA6-465A-A446-A1840E4D6799}"/>
    <hyperlink ref="B50" r:id="rId48" display="http://tos.mx/5zGutQc" xr:uid="{608C44D1-4330-47CA-9290-C40BC2F1CBE1}"/>
    <hyperlink ref="A14" r:id="rId49" xr:uid="{C108AAB7-305F-4FB7-BC5E-723457823FEC}"/>
    <hyperlink ref="A78" r:id="rId50" xr:uid="{89053232-86A0-4516-A744-519F894324A9}"/>
    <hyperlink ref="B19" r:id="rId51" display="http://tos.mx/9YEwUT9" xr:uid="{13E2F541-D97D-4B5B-A192-64975833A973}"/>
    <hyperlink ref="A69" r:id="rId52" xr:uid="{03C7A039-A273-4EA7-8273-F6ABCCEED2E7}"/>
    <hyperlink ref="B15" r:id="rId53" display="http://tos.mx/bPf3LIq" xr:uid="{789F67BC-ACA2-442B-A6B9-A014D97C71DD}"/>
    <hyperlink ref="A33" r:id="rId54" xr:uid="{93D4E5DB-1851-4C99-A5AD-862A90640FC0}"/>
    <hyperlink ref="A54" r:id="rId55" xr:uid="{3A645FA2-9E73-43A6-850B-B4DA90B23781}"/>
    <hyperlink ref="A36" r:id="rId56" xr:uid="{5CEA06B8-A32B-4D5D-8D20-B71AB76603B2}"/>
    <hyperlink ref="A41" r:id="rId57" xr:uid="{F93F3BE7-3587-4BAB-A9B0-36E2A581CCD1}"/>
    <hyperlink ref="A58" r:id="rId58" xr:uid="{EE698628-D853-44EE-B66C-6EDAE100FA24}"/>
    <hyperlink ref="A12" r:id="rId59" xr:uid="{7469C67A-2CE9-4A97-B4E2-2DE707E66634}"/>
    <hyperlink ref="A30" r:id="rId60" xr:uid="{D6B45254-21B4-48C6-B9F2-C6318B1DADB5}"/>
    <hyperlink ref="A44" r:id="rId61" xr:uid="{6CD71390-6480-424D-8600-0305F7A56BAA}"/>
    <hyperlink ref="A49" r:id="rId62" xr:uid="{FF639DA8-1D53-4A38-8102-2482BC8819CB}"/>
    <hyperlink ref="A40" r:id="rId63" xr:uid="{5BA9BEC7-A604-4BE6-BE62-A18F907E7462}"/>
    <hyperlink ref="A52" r:id="rId64" xr:uid="{1A4D3D84-8526-453D-9E2E-184A09287519}"/>
    <hyperlink ref="A62" r:id="rId65" xr:uid="{ADC428DD-3C88-4AA1-B47E-B80F5870B008}"/>
    <hyperlink ref="B62" r:id="rId66" display="..\..\..\Broken Down Trading Charts\PPSI_12_4_2020_MARKEDUP.png" xr:uid="{D82AA808-2639-4055-B91B-4B435114CB78}"/>
    <hyperlink ref="B52" r:id="rId67" display="..\..\..\Broken Down Trading Charts\LIZI_12_3_2020_MarkedUp.png" xr:uid="{A35B10B1-D2BD-4AB8-B3B7-F27B55A15740}"/>
    <hyperlink ref="A83" r:id="rId68" xr:uid="{ACDC6FF5-B612-42FC-8B53-8E54C9849A7A}"/>
    <hyperlink ref="B83" r:id="rId69" display="..\..\..\Broken Down Trading Charts\GTEC_12_7_20_MARKEDUP.png" xr:uid="{0E3EC805-385A-4624-9EDA-055245DBDFA0}"/>
    <hyperlink ref="A64" r:id="rId70" xr:uid="{DCA71ADF-C92C-4FA3-80B4-A4B2323119DA}"/>
    <hyperlink ref="A25" r:id="rId71" xr:uid="{318BD112-13D1-4B60-BF1D-E2F31746E554}"/>
    <hyperlink ref="A43" r:id="rId72" xr:uid="{DE72F3AD-082E-4CDE-9370-38D01D396E78}"/>
    <hyperlink ref="A66" r:id="rId73" xr:uid="{415AD95C-DE7C-4D9A-85FA-EFD2DEEC5722}"/>
    <hyperlink ref="A11" r:id="rId74" xr:uid="{444955B7-74DB-43F9-B1B1-831A390138D8}"/>
    <hyperlink ref="A37" r:id="rId75" xr:uid="{C9F5F1C2-22E5-4351-9E23-3C4DE58A0722}"/>
    <hyperlink ref="A87" r:id="rId76" xr:uid="{377BB7C5-7808-49D7-997C-2F3CF5B31B44}"/>
    <hyperlink ref="A134" r:id="rId77" xr:uid="{4E7C4E83-482A-46E9-ABD2-EF7FD051F065}"/>
    <hyperlink ref="A135" r:id="rId78" xr:uid="{3276727A-9A49-4909-BEDD-DC3A3EBC21F9}"/>
    <hyperlink ref="A129" r:id="rId79" xr:uid="{8AB5CECB-5938-4A1A-B1F3-65C7130C8F97}"/>
    <hyperlink ref="A136" r:id="rId80" xr:uid="{97EEB897-C0CC-42F2-89B0-1EDDFC75496A}"/>
    <hyperlink ref="A137" r:id="rId81" xr:uid="{435426ED-611A-4DAA-80D0-94D65D72026C}"/>
    <hyperlink ref="A144" r:id="rId82" xr:uid="{98CA9EF9-B96C-43BF-A1DD-F80AAB897B47}"/>
    <hyperlink ref="A138" r:id="rId83" xr:uid="{2909D1D6-1B2A-4902-AC2B-1BA252B30D05}"/>
    <hyperlink ref="A139" r:id="rId84" xr:uid="{F0ED3941-8A0D-409F-BFC6-0DC88D0FAA3A}"/>
    <hyperlink ref="A115" r:id="rId85" xr:uid="{D13998FE-CEAE-4045-A8A8-C380E7396547}"/>
    <hyperlink ref="A140" r:id="rId86" xr:uid="{CB70B9C0-BB1A-4DB9-AC6E-5CF65B593CEA}"/>
    <hyperlink ref="A141" r:id="rId87" xr:uid="{7D561810-4A34-48D8-BBF8-9CA7AF7C98E7}"/>
    <hyperlink ref="A142" r:id="rId88" xr:uid="{9F53AAED-6675-4BDB-A7F1-EDA2D2030751}"/>
    <hyperlink ref="A143" r:id="rId89" xr:uid="{D5C87FDB-C0D7-4B7C-B012-2A611C1AC4A1}"/>
    <hyperlink ref="A88" r:id="rId90" xr:uid="{B646F052-6A8C-4D0B-8F95-E87D69CA2C47}"/>
    <hyperlink ref="A90" r:id="rId91" xr:uid="{47DB99AD-C1CF-4D49-9FBB-2DB309371B1D}"/>
    <hyperlink ref="A89" r:id="rId92" xr:uid="{9C204D9F-EFCD-4992-A802-AA705DFC05FD}"/>
    <hyperlink ref="A145" r:id="rId93" xr:uid="{BE87804E-547E-4008-8E89-1C1B8FE33E68}"/>
    <hyperlink ref="A127" r:id="rId94" xr:uid="{2BCF08BF-6F63-4838-9625-C2FB32A221D7}"/>
    <hyperlink ref="A91" r:id="rId95" xr:uid="{C3B3FB08-60A2-42E4-9E46-3FAF972E0367}"/>
    <hyperlink ref="A146" r:id="rId96" xr:uid="{BA5C21CD-5DBD-44EF-9F55-1B3EA3986EC3}"/>
    <hyperlink ref="A92" r:id="rId97" xr:uid="{547426AD-61D5-4599-9B35-24A0641D97DD}"/>
    <hyperlink ref="A147" r:id="rId98" xr:uid="{A07FA4A1-BE5D-48F6-91D2-39BBADD38C0B}"/>
    <hyperlink ref="A93" r:id="rId99" xr:uid="{0529705B-012F-48EA-9C6A-ADDEA0F3FC12}"/>
    <hyperlink ref="A120" r:id="rId100" xr:uid="{C2929DF5-163F-457D-B5B0-308E5B58EADB}"/>
    <hyperlink ref="A148" r:id="rId101" xr:uid="{A0289191-5C99-4653-B60B-E017A528F2A7}"/>
    <hyperlink ref="A106" r:id="rId102" xr:uid="{83F42134-E91B-4FBD-ADE3-CC5C39105554}"/>
    <hyperlink ref="A150" r:id="rId103" xr:uid="{C4FAE2FD-C915-405C-A8BD-2A98AB316E5F}"/>
    <hyperlink ref="A151" r:id="rId104" xr:uid="{E007B3EC-254B-4CBF-92D8-2A39F9D262E0}"/>
    <hyperlink ref="A152" r:id="rId105" xr:uid="{89BC31D3-2187-4533-A788-CBE00AB9DBE9}"/>
    <hyperlink ref="A153" r:id="rId106" xr:uid="{E60213CA-8232-4A59-AF29-55777A178312}"/>
    <hyperlink ref="A128" r:id="rId107" xr:uid="{453CBDFF-679C-4CF1-BAB7-9A72EA8F0D0E}"/>
    <hyperlink ref="A169" r:id="rId108" xr:uid="{7982EA17-1508-4538-AC55-8A22D2FA51AD}"/>
    <hyperlink ref="A154" r:id="rId109" xr:uid="{8B42BF3E-F149-448E-ACE7-E31E09B350C7}"/>
    <hyperlink ref="A155" r:id="rId110" xr:uid="{C3D33CD0-FF0D-4122-945F-0FEEED4E92F3}"/>
    <hyperlink ref="A156" r:id="rId111" xr:uid="{1FC10111-24E4-4D9F-A55B-322C658DE084}"/>
    <hyperlink ref="A94" r:id="rId112" xr:uid="{7017E4C8-5925-496B-905F-CE4F75BD4E2B}"/>
    <hyperlink ref="A157" r:id="rId113" xr:uid="{FFE6A30C-E1BC-47F6-AC79-BE27C95F3BD9}"/>
    <hyperlink ref="A158" r:id="rId114" xr:uid="{E7086DC4-2B1E-48AD-ABD7-ADABC73670B9}"/>
    <hyperlink ref="A95" r:id="rId115" xr:uid="{66F7F89B-88ED-412B-B508-5210846CC5ED}"/>
    <hyperlink ref="A96" r:id="rId116" xr:uid="{94E47B83-8743-4E72-A932-C658E29B0798}"/>
    <hyperlink ref="A121" r:id="rId117" xr:uid="{77CE1218-6C69-4B62-B998-9D1B304A1EC8}"/>
    <hyperlink ref="A97" r:id="rId118" xr:uid="{0E8B063C-4CE9-4D18-888F-687582B76AFE}"/>
    <hyperlink ref="A159" r:id="rId119" xr:uid="{D49A0C68-D632-441A-B094-A7C3ED18AB0D}"/>
    <hyperlink ref="A98" r:id="rId120" xr:uid="{D824B1D7-3124-4FA9-B8C7-C87C77BC2E3F}"/>
    <hyperlink ref="A160" r:id="rId121" xr:uid="{D1F8B550-7875-4C0C-9A63-331D7738A258}"/>
    <hyperlink ref="A161" r:id="rId122" xr:uid="{28CA1DD6-18E5-4276-8A8F-73C7F9C40597}"/>
    <hyperlink ref="A99" r:id="rId123" xr:uid="{3414300E-4B49-4458-BF30-02A223280CCA}"/>
    <hyperlink ref="A162" r:id="rId124" xr:uid="{5AB4F998-B76E-4709-AFF5-662F0F147CFD}"/>
    <hyperlink ref="A163" r:id="rId125" xr:uid="{609F5F34-6AE7-4AC0-A41C-4CE38AE8D122}"/>
    <hyperlink ref="A38" r:id="rId126" xr:uid="{801CB41C-BFFD-4411-8129-D3FA294FDC66}"/>
    <hyperlink ref="A51" r:id="rId127" xr:uid="{07954970-0F70-47BB-A666-C51532EF3C91}"/>
    <hyperlink ref="A164" r:id="rId128" xr:uid="{3C0F46C6-0BFD-419A-A11A-2185CF3D9A1F}"/>
    <hyperlink ref="B164" r:id="rId129" display="http://tos.mx/Iw7F8j1" xr:uid="{9C78F7BF-0357-4EC2-A6B2-803A1669A169}"/>
    <hyperlink ref="A116" r:id="rId130" xr:uid="{1A1423DE-E340-453A-843F-BD76B047C5EC}"/>
    <hyperlink ref="A165" r:id="rId131" xr:uid="{E7CADCCD-474D-403D-98AF-970153067415}"/>
    <hyperlink ref="A100" r:id="rId132" xr:uid="{D6ED4643-37BE-4532-B471-B825489E4811}"/>
    <hyperlink ref="A166" r:id="rId133" xr:uid="{BE5113FD-8E45-49D3-AE9F-54D06A3F9D5A}"/>
    <hyperlink ref="A167" r:id="rId134" xr:uid="{E0F1DD7C-D103-4A1D-A8AB-DB972773FACE}"/>
    <hyperlink ref="A168" r:id="rId135" xr:uid="{5A639FBF-AD2E-467E-967E-6F8F6ECD7C39}"/>
    <hyperlink ref="A103" r:id="rId136" xr:uid="{A759DC27-7F44-4055-8281-E21EBB3D0111}"/>
    <hyperlink ref="A174" r:id="rId137" xr:uid="{03653D40-1CB8-4C66-A29B-4DA34CE1F998}"/>
    <hyperlink ref="A84" r:id="rId138" xr:uid="{983808C7-58A0-4C93-BB61-6A684D3B720E}"/>
    <hyperlink ref="A85" r:id="rId139" xr:uid="{680AD01B-B638-430B-BCBF-62341AE1EF3B}"/>
    <hyperlink ref="A111" r:id="rId140" xr:uid="{A711C085-5695-4063-8B1C-071115B0A2B9}"/>
    <hyperlink ref="A101" r:id="rId141" xr:uid="{460BDF6F-2514-40AA-82C9-70111A899ED3}"/>
    <hyperlink ref="A104" r:id="rId142" xr:uid="{9D66906D-4ED8-4755-9A41-22015E9BA88B}"/>
    <hyperlink ref="A113" r:id="rId143" xr:uid="{753DD635-83A2-4755-B57A-7E693184BECF}"/>
    <hyperlink ref="A117" r:id="rId144" xr:uid="{B70045B6-1496-4FA3-9742-1F06F78BF629}"/>
    <hyperlink ref="A75" r:id="rId145" xr:uid="{0B1069BA-7A78-4798-9A24-341B20D7117C}"/>
    <hyperlink ref="A3" r:id="rId146" xr:uid="{5BCDC319-90C0-4807-9128-5536C0A4EAA2}"/>
    <hyperlink ref="A108" r:id="rId147" xr:uid="{DCA08B64-0D7E-4C95-8EEA-04F03FD1C58A}"/>
    <hyperlink ref="A105" r:id="rId148" xr:uid="{E64F3A1E-6A98-45B7-89A7-B3FDB3793080}"/>
    <hyperlink ref="A81" r:id="rId149" xr:uid="{4E2656F4-5258-44EF-AC6F-EFBB4FC1C3A7}"/>
    <hyperlink ref="A31" r:id="rId150" xr:uid="{F9C83714-11E9-4FC7-A660-D5CAE6D0D1A9}"/>
    <hyperlink ref="A42" r:id="rId151" xr:uid="{B8B91445-EAFC-4E17-B0AD-82E3B38D3E14}"/>
    <hyperlink ref="A74" r:id="rId152" xr:uid="{5E27F928-9CF1-4685-AC7D-17A6D8487AEF}"/>
    <hyperlink ref="A114" r:id="rId153" xr:uid="{5B1CF2DE-F3A2-437F-874E-D0633CBE8C1A}"/>
    <hyperlink ref="A118" r:id="rId154" xr:uid="{B4631880-B87A-4519-BAF2-2297C515A832}"/>
    <hyperlink ref="A109" r:id="rId155" xr:uid="{F30B91B7-43F7-452F-97FC-A534946BF9AB}"/>
    <hyperlink ref="A119" r:id="rId156" xr:uid="{A4B323AF-1606-4E98-B79F-6B504E8B227B}"/>
    <hyperlink ref="A34" r:id="rId157" xr:uid="{8245660F-E347-4C69-96CC-03EDDC8A4D01}"/>
    <hyperlink ref="A107" r:id="rId158" xr:uid="{39853014-8896-449F-8CFA-648BD48295FC}"/>
    <hyperlink ref="A122" r:id="rId159" xr:uid="{21E0A5B4-8B6F-4AAD-AE74-67F2108FBF31}"/>
    <hyperlink ref="A67" r:id="rId160" xr:uid="{EBF391DB-A15F-4B60-B359-65014BA15436}"/>
    <hyperlink ref="A13" r:id="rId161" xr:uid="{D755AD05-3E80-4571-9784-2696814C70AB}"/>
    <hyperlink ref="A124" r:id="rId162" xr:uid="{A4FA8950-8E82-4470-896E-04615E690ECE}"/>
    <hyperlink ref="A125" r:id="rId163" xr:uid="{59C173BE-A9BE-4FA1-9BA6-48E2DD67DA79}"/>
    <hyperlink ref="A126" r:id="rId164" xr:uid="{8FD4C806-0832-4EC2-A1A1-0ABF8ACE27B3}"/>
    <hyperlink ref="A132" r:id="rId165" xr:uid="{1E1F8FD4-C215-4A6C-A07C-6DDC8449A462}"/>
    <hyperlink ref="A7" r:id="rId166" xr:uid="{2F67E819-5105-4D2A-B5D6-089B73D2BF06}"/>
    <hyperlink ref="A48" r:id="rId167" xr:uid="{41A8B00A-E4DF-44A6-BE7C-77174A9A814B}"/>
    <hyperlink ref="A77" r:id="rId168" xr:uid="{EB098B70-9AF8-4197-AB7A-5A42ADEEF712}"/>
    <hyperlink ref="A53" r:id="rId169" xr:uid="{E92A3A56-9B20-41A0-9524-587C6759AA58}"/>
    <hyperlink ref="A8" r:id="rId170" xr:uid="{63E20D43-2D75-49CC-B4B1-0B4066125799}"/>
    <hyperlink ref="B8" r:id="rId171" display="http://tos.mx/VBRqEFz" xr:uid="{6730F094-90D3-4B0B-89C7-5B6A83EB7C03}"/>
    <hyperlink ref="A112" r:id="rId172" xr:uid="{B43568F9-A6C2-48E9-97E3-0C97F114BC4D}"/>
    <hyperlink ref="A110" r:id="rId173" xr:uid="{30FC3115-6F50-456C-9BFD-AD16F21DCD4C}"/>
    <hyperlink ref="A130" r:id="rId174" xr:uid="{D62121C3-E6BA-4304-A348-628A57B7F85B}"/>
    <hyperlink ref="A2" r:id="rId175" xr:uid="{836ECC6C-A04D-4021-B300-4DD2D058DBBD}"/>
    <hyperlink ref="A131" r:id="rId176" xr:uid="{0B939947-AAE5-43D2-972B-B0D9200986C3}"/>
    <hyperlink ref="A123" r:id="rId177" xr:uid="{0ECB46A9-3C30-488C-987C-47BE110D10B1}"/>
    <hyperlink ref="A86" r:id="rId178" xr:uid="{83A3352E-6C3F-4E64-9BD4-6C03FEDCD23A}"/>
    <hyperlink ref="A149" r:id="rId179" xr:uid="{86FCEEF8-48C3-4FD3-8CEE-14F4E437B944}"/>
    <hyperlink ref="A133" r:id="rId180" xr:uid="{C666AE47-CAA7-44A2-AFB2-C758F6DBAFCE}"/>
    <hyperlink ref="A63" r:id="rId181" xr:uid="{4780A48B-155A-4D3A-8AF3-6E67FDD834BB}"/>
    <hyperlink ref="A102" r:id="rId182" xr:uid="{74FE6405-4BD9-4009-B401-2FE36B241656}"/>
  </hyperlinks>
  <pageMargins left="0.7" right="0.7" top="0.75" bottom="0.75" header="0.3" footer="0.3"/>
  <pageSetup orientation="portrait" r:id="rId183"/>
  <legacyDrawing r:id="rId184"/>
  <tableParts count="1">
    <tablePart r:id="rId18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F70E5-9DE0-47CA-A090-64349AD402A7}">
  <dimension ref="A1:O33"/>
  <sheetViews>
    <sheetView zoomScale="106" zoomScaleNormal="106" workbookViewId="0">
      <selection sqref="A1:O33"/>
    </sheetView>
  </sheetViews>
  <sheetFormatPr defaultRowHeight="15" x14ac:dyDescent="0.25"/>
  <sheetData>
    <row r="1" spans="1:15" x14ac:dyDescent="0.25">
      <c r="A1" s="66"/>
      <c r="B1" s="66"/>
      <c r="C1" s="66"/>
      <c r="D1" s="66"/>
      <c r="E1" s="66"/>
      <c r="F1" s="66"/>
      <c r="G1" s="66"/>
      <c r="H1" s="66"/>
      <c r="I1" s="66"/>
      <c r="J1" s="66"/>
      <c r="K1" s="66"/>
      <c r="L1" s="66"/>
      <c r="M1" s="66"/>
      <c r="N1" s="66"/>
      <c r="O1" s="66"/>
    </row>
    <row r="2" spans="1:15" x14ac:dyDescent="0.25">
      <c r="A2" s="66"/>
      <c r="B2" s="66"/>
      <c r="C2" s="66"/>
      <c r="D2" s="66"/>
      <c r="E2" s="66"/>
      <c r="F2" s="66"/>
      <c r="G2" s="66"/>
      <c r="H2" s="66"/>
      <c r="I2" s="66"/>
      <c r="J2" s="66"/>
      <c r="K2" s="66"/>
      <c r="L2" s="66"/>
      <c r="M2" s="66"/>
      <c r="N2" s="66"/>
      <c r="O2" s="66"/>
    </row>
    <row r="3" spans="1:15" x14ac:dyDescent="0.25">
      <c r="A3" s="66"/>
      <c r="B3" s="66"/>
      <c r="C3" s="66"/>
      <c r="D3" s="66"/>
      <c r="E3" s="66"/>
      <c r="F3" s="66"/>
      <c r="G3" s="66"/>
      <c r="H3" s="66"/>
      <c r="I3" s="66"/>
      <c r="J3" s="66"/>
      <c r="K3" s="66"/>
      <c r="L3" s="66"/>
      <c r="M3" s="66"/>
      <c r="N3" s="66"/>
      <c r="O3" s="66"/>
    </row>
    <row r="4" spans="1:15" x14ac:dyDescent="0.25">
      <c r="A4" s="66"/>
      <c r="B4" s="66"/>
      <c r="C4" s="66"/>
      <c r="D4" s="66"/>
      <c r="E4" s="66"/>
      <c r="F4" s="66"/>
      <c r="G4" s="66"/>
      <c r="H4" s="66"/>
      <c r="I4" s="66"/>
      <c r="J4" s="66"/>
      <c r="K4" s="66"/>
      <c r="L4" s="66"/>
      <c r="M4" s="66"/>
      <c r="N4" s="66"/>
      <c r="O4" s="66"/>
    </row>
    <row r="5" spans="1:15" x14ac:dyDescent="0.25">
      <c r="A5" s="66"/>
      <c r="B5" s="66"/>
      <c r="C5" s="66"/>
      <c r="D5" s="66"/>
      <c r="E5" s="66"/>
      <c r="F5" s="66"/>
      <c r="G5" s="66"/>
      <c r="H5" s="66"/>
      <c r="I5" s="66"/>
      <c r="J5" s="66"/>
      <c r="K5" s="66"/>
      <c r="L5" s="66"/>
      <c r="M5" s="66"/>
      <c r="N5" s="66"/>
      <c r="O5" s="66"/>
    </row>
    <row r="6" spans="1:15" x14ac:dyDescent="0.25">
      <c r="A6" s="66"/>
      <c r="B6" s="66"/>
      <c r="C6" s="66"/>
      <c r="D6" s="66"/>
      <c r="E6" s="66"/>
      <c r="F6" s="66"/>
      <c r="G6" s="66"/>
      <c r="H6" s="66"/>
      <c r="I6" s="66"/>
      <c r="J6" s="66"/>
      <c r="K6" s="66"/>
      <c r="L6" s="66"/>
      <c r="M6" s="66"/>
      <c r="N6" s="66"/>
      <c r="O6" s="66"/>
    </row>
    <row r="7" spans="1:15" x14ac:dyDescent="0.25">
      <c r="A7" s="66"/>
      <c r="B7" s="66"/>
      <c r="C7" s="66"/>
      <c r="D7" s="66"/>
      <c r="E7" s="66"/>
      <c r="F7" s="66"/>
      <c r="G7" s="66"/>
      <c r="H7" s="66"/>
      <c r="I7" s="66"/>
      <c r="J7" s="66"/>
      <c r="K7" s="66"/>
      <c r="L7" s="66"/>
      <c r="M7" s="66"/>
      <c r="N7" s="66"/>
      <c r="O7" s="66"/>
    </row>
    <row r="8" spans="1:15" x14ac:dyDescent="0.25">
      <c r="A8" s="66"/>
      <c r="B8" s="66"/>
      <c r="C8" s="66"/>
      <c r="D8" s="66"/>
      <c r="E8" s="66"/>
      <c r="F8" s="66"/>
      <c r="G8" s="66"/>
      <c r="H8" s="66"/>
      <c r="I8" s="66"/>
      <c r="J8" s="66"/>
      <c r="K8" s="66"/>
      <c r="L8" s="66"/>
      <c r="M8" s="66"/>
      <c r="N8" s="66"/>
      <c r="O8" s="66"/>
    </row>
    <row r="9" spans="1:15" x14ac:dyDescent="0.25">
      <c r="A9" s="66"/>
      <c r="B9" s="66"/>
      <c r="C9" s="66"/>
      <c r="D9" s="66"/>
      <c r="E9" s="66"/>
      <c r="F9" s="66"/>
      <c r="G9" s="66"/>
      <c r="H9" s="66"/>
      <c r="I9" s="66"/>
      <c r="J9" s="66"/>
      <c r="K9" s="66"/>
      <c r="L9" s="66"/>
      <c r="M9" s="66"/>
      <c r="N9" s="66"/>
      <c r="O9" s="66"/>
    </row>
    <row r="10" spans="1:15" x14ac:dyDescent="0.25">
      <c r="A10" s="66"/>
      <c r="B10" s="66"/>
      <c r="C10" s="66"/>
      <c r="D10" s="66"/>
      <c r="E10" s="66"/>
      <c r="F10" s="66"/>
      <c r="G10" s="66"/>
      <c r="H10" s="66"/>
      <c r="I10" s="66"/>
      <c r="J10" s="66"/>
      <c r="K10" s="66"/>
      <c r="L10" s="66"/>
      <c r="M10" s="66"/>
      <c r="N10" s="66"/>
      <c r="O10" s="66"/>
    </row>
    <row r="11" spans="1:15" x14ac:dyDescent="0.25">
      <c r="A11" s="66"/>
      <c r="B11" s="66"/>
      <c r="C11" s="66"/>
      <c r="D11" s="66"/>
      <c r="E11" s="66"/>
      <c r="F11" s="66"/>
      <c r="G11" s="66"/>
      <c r="H11" s="66"/>
      <c r="I11" s="66"/>
      <c r="J11" s="66"/>
      <c r="K11" s="66"/>
      <c r="L11" s="66"/>
      <c r="M11" s="66"/>
      <c r="N11" s="66"/>
      <c r="O11" s="66"/>
    </row>
    <row r="12" spans="1:15" x14ac:dyDescent="0.25">
      <c r="A12" s="66"/>
      <c r="B12" s="66"/>
      <c r="C12" s="66"/>
      <c r="D12" s="66"/>
      <c r="E12" s="66"/>
      <c r="F12" s="66"/>
      <c r="G12" s="66"/>
      <c r="H12" s="66"/>
      <c r="I12" s="66"/>
      <c r="J12" s="66"/>
      <c r="K12" s="66"/>
      <c r="L12" s="66"/>
      <c r="M12" s="66"/>
      <c r="N12" s="66"/>
      <c r="O12" s="66"/>
    </row>
    <row r="13" spans="1:15" x14ac:dyDescent="0.25">
      <c r="A13" s="66"/>
      <c r="B13" s="66"/>
      <c r="C13" s="66"/>
      <c r="D13" s="66"/>
      <c r="E13" s="66"/>
      <c r="F13" s="66"/>
      <c r="G13" s="66"/>
      <c r="H13" s="66"/>
      <c r="I13" s="66"/>
      <c r="J13" s="66"/>
      <c r="K13" s="66"/>
      <c r="L13" s="66"/>
      <c r="M13" s="66"/>
      <c r="N13" s="66"/>
      <c r="O13" s="66"/>
    </row>
    <row r="14" spans="1:15" x14ac:dyDescent="0.25">
      <c r="A14" s="66"/>
      <c r="B14" s="66"/>
      <c r="C14" s="66"/>
      <c r="D14" s="66"/>
      <c r="E14" s="66"/>
      <c r="F14" s="66"/>
      <c r="G14" s="66"/>
      <c r="H14" s="66"/>
      <c r="I14" s="66"/>
      <c r="J14" s="66"/>
      <c r="K14" s="66"/>
      <c r="L14" s="66"/>
      <c r="M14" s="66"/>
      <c r="N14" s="66"/>
      <c r="O14" s="66"/>
    </row>
    <row r="15" spans="1:15" x14ac:dyDescent="0.25">
      <c r="A15" s="66"/>
      <c r="B15" s="66"/>
      <c r="C15" s="66"/>
      <c r="D15" s="66"/>
      <c r="E15" s="66"/>
      <c r="F15" s="66"/>
      <c r="G15" s="66"/>
      <c r="H15" s="66"/>
      <c r="I15" s="66"/>
      <c r="J15" s="66"/>
      <c r="K15" s="66"/>
      <c r="L15" s="66"/>
      <c r="M15" s="66"/>
      <c r="N15" s="66"/>
      <c r="O15" s="66"/>
    </row>
    <row r="16" spans="1:15" x14ac:dyDescent="0.25">
      <c r="A16" s="66"/>
      <c r="B16" s="66"/>
      <c r="C16" s="66"/>
      <c r="D16" s="66"/>
      <c r="E16" s="66"/>
      <c r="F16" s="66"/>
      <c r="G16" s="66"/>
      <c r="H16" s="66"/>
      <c r="I16" s="66"/>
      <c r="J16" s="66"/>
      <c r="K16" s="66"/>
      <c r="L16" s="66"/>
      <c r="M16" s="66"/>
      <c r="N16" s="66"/>
      <c r="O16" s="66"/>
    </row>
    <row r="17" spans="1:15" x14ac:dyDescent="0.25">
      <c r="A17" s="66"/>
      <c r="B17" s="66"/>
      <c r="C17" s="66"/>
      <c r="D17" s="66"/>
      <c r="E17" s="66"/>
      <c r="F17" s="66"/>
      <c r="G17" s="66"/>
      <c r="H17" s="66"/>
      <c r="I17" s="66"/>
      <c r="J17" s="66"/>
      <c r="K17" s="66"/>
      <c r="L17" s="66"/>
      <c r="M17" s="66"/>
      <c r="N17" s="66"/>
      <c r="O17" s="66"/>
    </row>
    <row r="18" spans="1:15" x14ac:dyDescent="0.25">
      <c r="A18" s="66"/>
      <c r="B18" s="66"/>
      <c r="C18" s="66"/>
      <c r="D18" s="66"/>
      <c r="E18" s="66"/>
      <c r="F18" s="66"/>
      <c r="G18" s="66"/>
      <c r="H18" s="66"/>
      <c r="I18" s="66"/>
      <c r="J18" s="66"/>
      <c r="K18" s="66"/>
      <c r="L18" s="66"/>
      <c r="M18" s="66"/>
      <c r="N18" s="66"/>
      <c r="O18" s="66"/>
    </row>
    <row r="19" spans="1:15" x14ac:dyDescent="0.25">
      <c r="A19" s="66"/>
      <c r="B19" s="66"/>
      <c r="C19" s="66"/>
      <c r="D19" s="66"/>
      <c r="E19" s="66"/>
      <c r="F19" s="66"/>
      <c r="G19" s="66"/>
      <c r="H19" s="66"/>
      <c r="I19" s="66"/>
      <c r="J19" s="66"/>
      <c r="K19" s="66"/>
      <c r="L19" s="66"/>
      <c r="M19" s="66"/>
      <c r="N19" s="66"/>
      <c r="O19" s="66"/>
    </row>
    <row r="20" spans="1:15" x14ac:dyDescent="0.25">
      <c r="A20" s="66"/>
      <c r="B20" s="66"/>
      <c r="C20" s="66"/>
      <c r="D20" s="66"/>
      <c r="E20" s="66"/>
      <c r="F20" s="66"/>
      <c r="G20" s="66"/>
      <c r="H20" s="66"/>
      <c r="I20" s="66"/>
      <c r="J20" s="66"/>
      <c r="K20" s="66"/>
      <c r="L20" s="66"/>
      <c r="M20" s="66"/>
      <c r="N20" s="66"/>
      <c r="O20" s="66"/>
    </row>
    <row r="21" spans="1:15" x14ac:dyDescent="0.25">
      <c r="A21" s="66"/>
      <c r="B21" s="66"/>
      <c r="C21" s="66"/>
      <c r="D21" s="66"/>
      <c r="E21" s="66"/>
      <c r="F21" s="66"/>
      <c r="G21" s="66"/>
      <c r="H21" s="66"/>
      <c r="I21" s="66"/>
      <c r="J21" s="66"/>
      <c r="K21" s="66"/>
      <c r="L21" s="66"/>
      <c r="M21" s="66"/>
      <c r="N21" s="66"/>
      <c r="O21" s="66"/>
    </row>
    <row r="22" spans="1:15" x14ac:dyDescent="0.25">
      <c r="A22" s="66"/>
      <c r="B22" s="66"/>
      <c r="C22" s="66"/>
      <c r="D22" s="66"/>
      <c r="E22" s="66"/>
      <c r="F22" s="66"/>
      <c r="G22" s="66"/>
      <c r="H22" s="66"/>
      <c r="I22" s="66"/>
      <c r="J22" s="66"/>
      <c r="K22" s="66"/>
      <c r="L22" s="66"/>
      <c r="M22" s="66"/>
      <c r="N22" s="66"/>
      <c r="O22" s="66"/>
    </row>
    <row r="23" spans="1:15" x14ac:dyDescent="0.25">
      <c r="A23" s="66"/>
      <c r="B23" s="66"/>
      <c r="C23" s="66"/>
      <c r="D23" s="66"/>
      <c r="E23" s="66"/>
      <c r="F23" s="66"/>
      <c r="G23" s="66"/>
      <c r="H23" s="66"/>
      <c r="I23" s="66"/>
      <c r="J23" s="66"/>
      <c r="K23" s="66"/>
      <c r="L23" s="66"/>
      <c r="M23" s="66"/>
      <c r="N23" s="66"/>
      <c r="O23" s="66"/>
    </row>
    <row r="24" spans="1:15" x14ac:dyDescent="0.25">
      <c r="A24" s="66"/>
      <c r="B24" s="66"/>
      <c r="C24" s="66"/>
      <c r="D24" s="66"/>
      <c r="E24" s="66"/>
      <c r="F24" s="66"/>
      <c r="G24" s="66"/>
      <c r="H24" s="66"/>
      <c r="I24" s="66"/>
      <c r="J24" s="66"/>
      <c r="K24" s="66"/>
      <c r="L24" s="66"/>
      <c r="M24" s="66"/>
      <c r="N24" s="66"/>
      <c r="O24" s="66"/>
    </row>
    <row r="25" spans="1:15" x14ac:dyDescent="0.25">
      <c r="A25" s="66"/>
      <c r="B25" s="66"/>
      <c r="C25" s="66"/>
      <c r="D25" s="66"/>
      <c r="E25" s="66"/>
      <c r="F25" s="66"/>
      <c r="G25" s="66"/>
      <c r="H25" s="66"/>
      <c r="I25" s="66"/>
      <c r="J25" s="66"/>
      <c r="K25" s="66"/>
      <c r="L25" s="66"/>
      <c r="M25" s="66"/>
      <c r="N25" s="66"/>
      <c r="O25" s="66"/>
    </row>
    <row r="26" spans="1:15" x14ac:dyDescent="0.25">
      <c r="A26" s="66"/>
      <c r="B26" s="66"/>
      <c r="C26" s="66"/>
      <c r="D26" s="66"/>
      <c r="E26" s="66"/>
      <c r="F26" s="66"/>
      <c r="G26" s="66"/>
      <c r="H26" s="66"/>
      <c r="I26" s="66"/>
      <c r="J26" s="66"/>
      <c r="K26" s="66"/>
      <c r="L26" s="66"/>
      <c r="M26" s="66"/>
      <c r="N26" s="66"/>
      <c r="O26" s="66"/>
    </row>
    <row r="27" spans="1:15" x14ac:dyDescent="0.25">
      <c r="A27" s="66"/>
      <c r="B27" s="66"/>
      <c r="C27" s="66"/>
      <c r="D27" s="66"/>
      <c r="E27" s="66"/>
      <c r="F27" s="66"/>
      <c r="G27" s="66"/>
      <c r="H27" s="66"/>
      <c r="I27" s="66"/>
      <c r="J27" s="66"/>
      <c r="K27" s="66"/>
      <c r="L27" s="66"/>
      <c r="M27" s="66"/>
      <c r="N27" s="66"/>
      <c r="O27" s="66"/>
    </row>
    <row r="28" spans="1:15" x14ac:dyDescent="0.25">
      <c r="A28" s="66"/>
      <c r="B28" s="66"/>
      <c r="C28" s="66"/>
      <c r="D28" s="66"/>
      <c r="E28" s="66"/>
      <c r="F28" s="66"/>
      <c r="G28" s="66"/>
      <c r="H28" s="66"/>
      <c r="I28" s="66"/>
      <c r="J28" s="66"/>
      <c r="K28" s="66"/>
      <c r="L28" s="66"/>
      <c r="M28" s="66"/>
      <c r="N28" s="66"/>
      <c r="O28" s="66"/>
    </row>
    <row r="29" spans="1:15" x14ac:dyDescent="0.25">
      <c r="A29" s="66"/>
      <c r="B29" s="66"/>
      <c r="C29" s="66"/>
      <c r="D29" s="66"/>
      <c r="E29" s="66"/>
      <c r="F29" s="66"/>
      <c r="G29" s="66"/>
      <c r="H29" s="66"/>
      <c r="I29" s="66"/>
      <c r="J29" s="66"/>
      <c r="K29" s="66"/>
      <c r="L29" s="66"/>
      <c r="M29" s="66"/>
      <c r="N29" s="66"/>
      <c r="O29" s="66"/>
    </row>
    <row r="30" spans="1:15" x14ac:dyDescent="0.25">
      <c r="A30" s="66"/>
      <c r="B30" s="66"/>
      <c r="C30" s="66"/>
      <c r="D30" s="66"/>
      <c r="E30" s="66"/>
      <c r="F30" s="66"/>
      <c r="G30" s="66"/>
      <c r="H30" s="66"/>
      <c r="I30" s="66"/>
      <c r="J30" s="66"/>
      <c r="K30" s="66"/>
      <c r="L30" s="66"/>
      <c r="M30" s="66"/>
      <c r="N30" s="66"/>
      <c r="O30" s="66"/>
    </row>
    <row r="31" spans="1:15" x14ac:dyDescent="0.25">
      <c r="A31" s="66"/>
      <c r="B31" s="66"/>
      <c r="C31" s="66"/>
      <c r="D31" s="66"/>
      <c r="E31" s="66"/>
      <c r="F31" s="66"/>
      <c r="G31" s="66"/>
      <c r="H31" s="66"/>
      <c r="I31" s="66"/>
      <c r="J31" s="66"/>
      <c r="K31" s="66"/>
      <c r="L31" s="66"/>
      <c r="M31" s="66"/>
      <c r="N31" s="66"/>
      <c r="O31" s="66"/>
    </row>
    <row r="32" spans="1:15" x14ac:dyDescent="0.25">
      <c r="A32" s="66"/>
      <c r="B32" s="66"/>
      <c r="C32" s="66"/>
      <c r="D32" s="66"/>
      <c r="E32" s="66"/>
      <c r="F32" s="66"/>
      <c r="G32" s="66"/>
      <c r="H32" s="66"/>
      <c r="I32" s="66"/>
      <c r="J32" s="66"/>
      <c r="K32" s="66"/>
      <c r="L32" s="66"/>
      <c r="M32" s="66"/>
      <c r="N32" s="66"/>
      <c r="O32" s="66"/>
    </row>
    <row r="33" spans="1:15" x14ac:dyDescent="0.25">
      <c r="A33" s="66"/>
      <c r="B33" s="66"/>
      <c r="C33" s="66"/>
      <c r="D33" s="66"/>
      <c r="E33" s="66"/>
      <c r="F33" s="66"/>
      <c r="G33" s="66"/>
      <c r="H33" s="66"/>
      <c r="I33" s="66"/>
      <c r="J33" s="66"/>
      <c r="K33" s="66"/>
      <c r="L33" s="66"/>
      <c r="M33" s="66"/>
      <c r="N33" s="66"/>
      <c r="O33" s="66"/>
    </row>
  </sheetData>
  <mergeCells count="1">
    <mergeCell ref="A1:O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98A10-5F17-4815-A1B0-9A4D8819214E}">
  <sheetPr>
    <tabColor rgb="FF00B0F0"/>
  </sheetPr>
  <dimension ref="A1:AG51"/>
  <sheetViews>
    <sheetView workbookViewId="0">
      <selection activeCell="H34" sqref="H34"/>
    </sheetView>
  </sheetViews>
  <sheetFormatPr defaultRowHeight="15" x14ac:dyDescent="0.25"/>
  <sheetData>
    <row r="1" spans="1:33" s="58" customFormat="1" x14ac:dyDescent="0.25"/>
    <row r="2" spans="1:33" s="58" customFormat="1" x14ac:dyDescent="0.25"/>
    <row r="3" spans="1:33" s="58" customFormat="1" x14ac:dyDescent="0.25"/>
    <row r="4" spans="1:33" x14ac:dyDescent="0.25">
      <c r="A4" s="63"/>
      <c r="B4" s="63"/>
      <c r="C4" s="63"/>
      <c r="D4" s="63"/>
      <c r="E4" s="63"/>
      <c r="F4" s="63"/>
      <c r="G4" s="63"/>
      <c r="H4" s="63"/>
      <c r="I4" s="63"/>
      <c r="L4" s="59"/>
      <c r="M4" s="59"/>
      <c r="N4" s="59"/>
      <c r="O4" s="59"/>
      <c r="P4" s="59"/>
      <c r="Q4" s="59"/>
      <c r="R4" s="59"/>
      <c r="S4" s="59"/>
      <c r="T4" s="59"/>
      <c r="U4" s="59"/>
      <c r="X4" s="64"/>
      <c r="Y4" s="64"/>
      <c r="Z4" s="64"/>
      <c r="AA4" s="64"/>
      <c r="AB4" s="64"/>
      <c r="AC4" s="64"/>
      <c r="AD4" s="64"/>
      <c r="AE4" s="64"/>
      <c r="AF4" s="64"/>
      <c r="AG4" s="64"/>
    </row>
    <row r="5" spans="1:33" x14ac:dyDescent="0.25">
      <c r="A5" s="63"/>
      <c r="B5" s="63"/>
      <c r="C5" s="63"/>
      <c r="D5" s="63"/>
      <c r="E5" s="63"/>
      <c r="F5" s="63"/>
      <c r="G5" s="63"/>
      <c r="H5" s="63"/>
      <c r="I5" s="63"/>
      <c r="L5" s="59"/>
      <c r="M5" s="59"/>
      <c r="N5" s="59"/>
      <c r="O5" s="59"/>
      <c r="P5" s="59"/>
      <c r="Q5" s="59"/>
      <c r="R5" s="59"/>
      <c r="S5" s="59"/>
      <c r="T5" s="59"/>
      <c r="U5" s="59"/>
      <c r="X5" s="64"/>
      <c r="Y5" s="64"/>
      <c r="Z5" s="64"/>
      <c r="AA5" s="64"/>
      <c r="AB5" s="64"/>
      <c r="AC5" s="64"/>
      <c r="AD5" s="64"/>
      <c r="AE5" s="64"/>
      <c r="AF5" s="64"/>
      <c r="AG5" s="64"/>
    </row>
    <row r="6" spans="1:33" x14ac:dyDescent="0.25">
      <c r="A6" s="63"/>
      <c r="B6" s="63"/>
      <c r="C6" s="63"/>
      <c r="D6" s="63"/>
      <c r="E6" s="63"/>
      <c r="F6" s="63"/>
      <c r="G6" s="63"/>
      <c r="H6" s="63"/>
      <c r="I6" s="63"/>
      <c r="L6" s="59"/>
      <c r="M6" s="59"/>
      <c r="N6" s="59"/>
      <c r="O6" s="59"/>
      <c r="P6" s="59"/>
      <c r="Q6" s="59"/>
      <c r="R6" s="59"/>
      <c r="S6" s="59"/>
      <c r="T6" s="59"/>
      <c r="U6" s="59"/>
      <c r="X6" s="64"/>
      <c r="Y6" s="64"/>
      <c r="Z6" s="64"/>
      <c r="AA6" s="64"/>
      <c r="AB6" s="64"/>
      <c r="AC6" s="64"/>
      <c r="AD6" s="64"/>
      <c r="AE6" s="64"/>
      <c r="AF6" s="64"/>
      <c r="AG6" s="64"/>
    </row>
    <row r="7" spans="1:33" x14ac:dyDescent="0.25">
      <c r="A7" s="63"/>
      <c r="B7" s="63"/>
      <c r="C7" s="63"/>
      <c r="D7" s="63"/>
      <c r="E7" s="63"/>
      <c r="F7" s="63"/>
      <c r="G7" s="63"/>
      <c r="H7" s="63"/>
      <c r="I7" s="63"/>
      <c r="L7" s="59"/>
      <c r="M7" s="59"/>
      <c r="N7" s="59"/>
      <c r="O7" s="59"/>
      <c r="P7" s="59"/>
      <c r="Q7" s="59"/>
      <c r="R7" s="59"/>
      <c r="S7" s="59"/>
      <c r="T7" s="59"/>
      <c r="U7" s="59"/>
      <c r="X7" s="64"/>
      <c r="Y7" s="64"/>
      <c r="Z7" s="64"/>
      <c r="AA7" s="64"/>
      <c r="AB7" s="64"/>
      <c r="AC7" s="64"/>
      <c r="AD7" s="64"/>
      <c r="AE7" s="64"/>
      <c r="AF7" s="64"/>
      <c r="AG7" s="64"/>
    </row>
    <row r="8" spans="1:33" x14ac:dyDescent="0.25">
      <c r="A8" s="63"/>
      <c r="B8" s="63"/>
      <c r="C8" s="63"/>
      <c r="D8" s="63"/>
      <c r="E8" s="63"/>
      <c r="F8" s="63"/>
      <c r="G8" s="63"/>
      <c r="H8" s="63"/>
      <c r="I8" s="63"/>
      <c r="L8" s="59"/>
      <c r="M8" s="59"/>
      <c r="N8" s="59"/>
      <c r="O8" s="59"/>
      <c r="P8" s="59"/>
      <c r="Q8" s="59"/>
      <c r="R8" s="59"/>
      <c r="S8" s="59"/>
      <c r="T8" s="59"/>
      <c r="U8" s="59"/>
      <c r="X8" s="64"/>
      <c r="Y8" s="64"/>
      <c r="Z8" s="64"/>
      <c r="AA8" s="64"/>
      <c r="AB8" s="64"/>
      <c r="AC8" s="64"/>
      <c r="AD8" s="64"/>
      <c r="AE8" s="64"/>
      <c r="AF8" s="64"/>
      <c r="AG8" s="64"/>
    </row>
    <row r="9" spans="1:33" x14ac:dyDescent="0.25">
      <c r="A9" s="63"/>
      <c r="B9" s="63"/>
      <c r="C9" s="63"/>
      <c r="D9" s="63"/>
      <c r="E9" s="63"/>
      <c r="F9" s="63"/>
      <c r="G9" s="63"/>
      <c r="H9" s="63"/>
      <c r="I9" s="63"/>
      <c r="L9" s="59"/>
      <c r="M9" s="59"/>
      <c r="N9" s="59"/>
      <c r="O9" s="59"/>
      <c r="P9" s="59"/>
      <c r="Q9" s="59"/>
      <c r="R9" s="59"/>
      <c r="S9" s="59"/>
      <c r="T9" s="59"/>
      <c r="U9" s="59"/>
      <c r="X9" s="64"/>
      <c r="Y9" s="64"/>
      <c r="Z9" s="64"/>
      <c r="AA9" s="64"/>
      <c r="AB9" s="64"/>
      <c r="AC9" s="64"/>
      <c r="AD9" s="64"/>
      <c r="AE9" s="64"/>
      <c r="AF9" s="64"/>
      <c r="AG9" s="64"/>
    </row>
    <row r="10" spans="1:33" x14ac:dyDescent="0.25">
      <c r="A10" s="63"/>
      <c r="B10" s="63"/>
      <c r="C10" s="63"/>
      <c r="D10" s="63"/>
      <c r="E10" s="63"/>
      <c r="F10" s="63"/>
      <c r="G10" s="63"/>
      <c r="H10" s="63"/>
      <c r="I10" s="63"/>
      <c r="L10" s="59"/>
      <c r="M10" s="59"/>
      <c r="N10" s="59"/>
      <c r="O10" s="59"/>
      <c r="P10" s="59"/>
      <c r="Q10" s="59"/>
      <c r="R10" s="59"/>
      <c r="S10" s="59"/>
      <c r="T10" s="59"/>
      <c r="U10" s="59"/>
      <c r="X10" s="64"/>
      <c r="Y10" s="64"/>
      <c r="Z10" s="64"/>
      <c r="AA10" s="64"/>
      <c r="AB10" s="64"/>
      <c r="AC10" s="64"/>
      <c r="AD10" s="64"/>
      <c r="AE10" s="64"/>
      <c r="AF10" s="64"/>
      <c r="AG10" s="64"/>
    </row>
    <row r="11" spans="1:33" x14ac:dyDescent="0.25">
      <c r="A11" s="63"/>
      <c r="B11" s="63"/>
      <c r="C11" s="63"/>
      <c r="D11" s="63"/>
      <c r="E11" s="63"/>
      <c r="F11" s="63"/>
      <c r="G11" s="63"/>
      <c r="H11" s="63"/>
      <c r="I11" s="63"/>
      <c r="L11" s="59"/>
      <c r="M11" s="59"/>
      <c r="N11" s="59"/>
      <c r="O11" s="59"/>
      <c r="P11" s="59"/>
      <c r="Q11" s="59"/>
      <c r="R11" s="59"/>
      <c r="S11" s="59"/>
      <c r="T11" s="59"/>
      <c r="U11" s="59"/>
      <c r="X11" s="64"/>
      <c r="Y11" s="64"/>
      <c r="Z11" s="64"/>
      <c r="AA11" s="64"/>
      <c r="AB11" s="64"/>
      <c r="AC11" s="64"/>
      <c r="AD11" s="64"/>
      <c r="AE11" s="64"/>
      <c r="AF11" s="64"/>
      <c r="AG11" s="64"/>
    </row>
    <row r="12" spans="1:33" x14ac:dyDescent="0.25">
      <c r="A12" s="63"/>
      <c r="B12" s="63"/>
      <c r="C12" s="63"/>
      <c r="D12" s="63"/>
      <c r="E12" s="63"/>
      <c r="F12" s="63"/>
      <c r="G12" s="63"/>
      <c r="H12" s="63"/>
      <c r="I12" s="63"/>
      <c r="L12" s="59"/>
      <c r="M12" s="59"/>
      <c r="N12" s="59"/>
      <c r="O12" s="59"/>
      <c r="P12" s="59"/>
      <c r="Q12" s="59"/>
      <c r="R12" s="59"/>
      <c r="S12" s="59"/>
      <c r="T12" s="59"/>
      <c r="U12" s="59"/>
      <c r="X12" s="64"/>
      <c r="Y12" s="64"/>
      <c r="Z12" s="64"/>
      <c r="AA12" s="64"/>
      <c r="AB12" s="64"/>
      <c r="AC12" s="64"/>
      <c r="AD12" s="64"/>
      <c r="AE12" s="64"/>
      <c r="AF12" s="64"/>
      <c r="AG12" s="64"/>
    </row>
    <row r="13" spans="1:33" x14ac:dyDescent="0.25">
      <c r="A13" s="63"/>
      <c r="B13" s="63"/>
      <c r="C13" s="63"/>
      <c r="D13" s="63"/>
      <c r="E13" s="63"/>
      <c r="F13" s="63"/>
      <c r="G13" s="63"/>
      <c r="H13" s="63"/>
      <c r="I13" s="63"/>
      <c r="L13" s="59"/>
      <c r="M13" s="59"/>
      <c r="N13" s="59"/>
      <c r="O13" s="59"/>
      <c r="P13" s="59"/>
      <c r="Q13" s="59"/>
      <c r="R13" s="59"/>
      <c r="S13" s="59"/>
      <c r="T13" s="59"/>
      <c r="U13" s="59"/>
      <c r="X13" s="64"/>
      <c r="Y13" s="64"/>
      <c r="Z13" s="64"/>
      <c r="AA13" s="64"/>
      <c r="AB13" s="64"/>
      <c r="AC13" s="64"/>
      <c r="AD13" s="64"/>
      <c r="AE13" s="64"/>
      <c r="AF13" s="64"/>
      <c r="AG13" s="64"/>
    </row>
    <row r="14" spans="1:33" x14ac:dyDescent="0.25">
      <c r="A14" s="63"/>
      <c r="B14" s="63"/>
      <c r="C14" s="63"/>
      <c r="D14" s="63"/>
      <c r="E14" s="63"/>
      <c r="F14" s="63"/>
      <c r="G14" s="63"/>
      <c r="H14" s="63"/>
      <c r="I14" s="63"/>
      <c r="L14" s="59"/>
      <c r="M14" s="59"/>
      <c r="N14" s="59"/>
      <c r="O14" s="59"/>
      <c r="P14" s="59"/>
      <c r="Q14" s="59"/>
      <c r="R14" s="59"/>
      <c r="S14" s="59"/>
      <c r="T14" s="59"/>
      <c r="U14" s="59"/>
      <c r="X14" s="64"/>
      <c r="Y14" s="64"/>
      <c r="Z14" s="64"/>
      <c r="AA14" s="64"/>
      <c r="AB14" s="64"/>
      <c r="AC14" s="64"/>
      <c r="AD14" s="64"/>
      <c r="AE14" s="64"/>
      <c r="AF14" s="64"/>
      <c r="AG14" s="64"/>
    </row>
    <row r="15" spans="1:33" x14ac:dyDescent="0.25">
      <c r="A15" s="63"/>
      <c r="B15" s="63"/>
      <c r="C15" s="63"/>
      <c r="D15" s="63"/>
      <c r="E15" s="63"/>
      <c r="F15" s="63"/>
      <c r="G15" s="63"/>
      <c r="H15" s="63"/>
      <c r="I15" s="63"/>
      <c r="L15" s="59"/>
      <c r="M15" s="59"/>
      <c r="N15" s="59"/>
      <c r="O15" s="59"/>
      <c r="P15" s="59"/>
      <c r="Q15" s="59"/>
      <c r="R15" s="59"/>
      <c r="S15" s="59"/>
      <c r="T15" s="59"/>
      <c r="U15" s="59"/>
      <c r="X15" s="64"/>
      <c r="Y15" s="64"/>
      <c r="Z15" s="64"/>
      <c r="AA15" s="64"/>
      <c r="AB15" s="64"/>
      <c r="AC15" s="64"/>
      <c r="AD15" s="64"/>
      <c r="AE15" s="64"/>
      <c r="AF15" s="64"/>
      <c r="AG15" s="64"/>
    </row>
    <row r="16" spans="1:33" x14ac:dyDescent="0.25">
      <c r="A16" s="63"/>
      <c r="B16" s="63"/>
      <c r="C16" s="63"/>
      <c r="D16" s="63"/>
      <c r="E16" s="63"/>
      <c r="F16" s="63"/>
      <c r="G16" s="63"/>
      <c r="H16" s="63"/>
      <c r="I16" s="63"/>
      <c r="L16" s="59"/>
      <c r="M16" s="59"/>
      <c r="N16" s="59"/>
      <c r="O16" s="59"/>
      <c r="P16" s="59"/>
      <c r="Q16" s="59"/>
      <c r="R16" s="59"/>
      <c r="S16" s="59"/>
      <c r="T16" s="59"/>
      <c r="U16" s="59"/>
      <c r="X16" s="64"/>
      <c r="Y16" s="64"/>
      <c r="Z16" s="64"/>
      <c r="AA16" s="64"/>
      <c r="AB16" s="64"/>
      <c r="AC16" s="64"/>
      <c r="AD16" s="64"/>
      <c r="AE16" s="64"/>
      <c r="AF16" s="64"/>
      <c r="AG16" s="64"/>
    </row>
    <row r="17" spans="1:33" x14ac:dyDescent="0.25">
      <c r="A17" s="63"/>
      <c r="B17" s="63"/>
      <c r="C17" s="63"/>
      <c r="D17" s="63"/>
      <c r="E17" s="63"/>
      <c r="F17" s="63"/>
      <c r="G17" s="63"/>
      <c r="H17" s="63"/>
      <c r="I17" s="63"/>
      <c r="L17" s="59"/>
      <c r="M17" s="59"/>
      <c r="N17" s="59"/>
      <c r="O17" s="59"/>
      <c r="P17" s="59"/>
      <c r="Q17" s="59"/>
      <c r="R17" s="59"/>
      <c r="S17" s="59"/>
      <c r="T17" s="59"/>
      <c r="U17" s="59"/>
      <c r="X17" s="64"/>
      <c r="Y17" s="64"/>
      <c r="Z17" s="64"/>
      <c r="AA17" s="64"/>
      <c r="AB17" s="64"/>
      <c r="AC17" s="64"/>
      <c r="AD17" s="64"/>
      <c r="AE17" s="64"/>
      <c r="AF17" s="64"/>
      <c r="AG17" s="64"/>
    </row>
    <row r="18" spans="1:33" x14ac:dyDescent="0.25">
      <c r="A18" s="63"/>
      <c r="B18" s="63"/>
      <c r="C18" s="63"/>
      <c r="D18" s="63"/>
      <c r="E18" s="63"/>
      <c r="F18" s="63"/>
      <c r="G18" s="63"/>
      <c r="H18" s="63"/>
      <c r="I18" s="63"/>
      <c r="L18" s="59"/>
      <c r="M18" s="59"/>
      <c r="N18" s="59"/>
      <c r="O18" s="59"/>
      <c r="P18" s="59"/>
      <c r="Q18" s="59"/>
      <c r="R18" s="59"/>
      <c r="S18" s="59"/>
      <c r="T18" s="59"/>
      <c r="U18" s="59"/>
      <c r="X18" s="64"/>
      <c r="Y18" s="64"/>
      <c r="Z18" s="64"/>
      <c r="AA18" s="64"/>
      <c r="AB18" s="64"/>
      <c r="AC18" s="64"/>
      <c r="AD18" s="64"/>
      <c r="AE18" s="64"/>
      <c r="AF18" s="64"/>
      <c r="AG18" s="64"/>
    </row>
    <row r="19" spans="1:33" x14ac:dyDescent="0.25">
      <c r="A19" s="63"/>
      <c r="B19" s="63"/>
      <c r="C19" s="63"/>
      <c r="D19" s="63"/>
      <c r="E19" s="63"/>
      <c r="F19" s="63"/>
      <c r="G19" s="63"/>
      <c r="H19" s="63"/>
      <c r="I19" s="63"/>
      <c r="L19" s="59"/>
      <c r="M19" s="59"/>
      <c r="N19" s="59"/>
      <c r="O19" s="59"/>
      <c r="P19" s="59"/>
      <c r="Q19" s="59"/>
      <c r="R19" s="59"/>
      <c r="S19" s="59"/>
      <c r="T19" s="59"/>
      <c r="U19" s="59"/>
      <c r="X19" s="64"/>
      <c r="Y19" s="64"/>
      <c r="Z19" s="64"/>
      <c r="AA19" s="64"/>
      <c r="AB19" s="64"/>
      <c r="AC19" s="64"/>
      <c r="AD19" s="64"/>
      <c r="AE19" s="64"/>
      <c r="AF19" s="64"/>
      <c r="AG19" s="64"/>
    </row>
    <row r="20" spans="1:33" x14ac:dyDescent="0.25">
      <c r="A20" s="63"/>
      <c r="B20" s="63"/>
      <c r="C20" s="63"/>
      <c r="D20" s="63"/>
      <c r="E20" s="63"/>
      <c r="F20" s="63"/>
      <c r="G20" s="63"/>
      <c r="H20" s="63"/>
      <c r="I20" s="63"/>
      <c r="L20" s="59"/>
      <c r="M20" s="59"/>
      <c r="N20" s="59"/>
      <c r="O20" s="59"/>
      <c r="P20" s="59"/>
      <c r="Q20" s="59"/>
      <c r="R20" s="59"/>
      <c r="S20" s="59"/>
      <c r="T20" s="59"/>
      <c r="U20" s="59"/>
      <c r="X20" s="64"/>
      <c r="Y20" s="64"/>
      <c r="Z20" s="64"/>
      <c r="AA20" s="64"/>
      <c r="AB20" s="64"/>
      <c r="AC20" s="64"/>
      <c r="AD20" s="64"/>
      <c r="AE20" s="64"/>
      <c r="AF20" s="64"/>
      <c r="AG20" s="64"/>
    </row>
    <row r="21" spans="1:33" x14ac:dyDescent="0.25">
      <c r="A21" s="63"/>
      <c r="B21" s="63"/>
      <c r="C21" s="63"/>
      <c r="D21" s="63"/>
      <c r="E21" s="63"/>
      <c r="F21" s="63"/>
      <c r="G21" s="63"/>
      <c r="H21" s="63"/>
      <c r="I21" s="63"/>
      <c r="L21" s="59"/>
      <c r="M21" s="59"/>
      <c r="N21" s="59"/>
      <c r="O21" s="59"/>
      <c r="P21" s="59"/>
      <c r="Q21" s="59"/>
      <c r="R21" s="59"/>
      <c r="S21" s="59"/>
      <c r="T21" s="59"/>
      <c r="U21" s="59"/>
      <c r="X21" s="64"/>
      <c r="Y21" s="64"/>
      <c r="Z21" s="64"/>
      <c r="AA21" s="64"/>
      <c r="AB21" s="64"/>
      <c r="AC21" s="64"/>
      <c r="AD21" s="64"/>
      <c r="AE21" s="64"/>
      <c r="AF21" s="64"/>
      <c r="AG21" s="64"/>
    </row>
    <row r="22" spans="1:33" x14ac:dyDescent="0.25">
      <c r="A22" s="63"/>
      <c r="B22" s="63"/>
      <c r="C22" s="63"/>
      <c r="D22" s="63"/>
      <c r="E22" s="63"/>
      <c r="F22" s="63"/>
      <c r="G22" s="63"/>
      <c r="H22" s="63"/>
      <c r="I22" s="63"/>
      <c r="L22" s="59"/>
      <c r="M22" s="59"/>
      <c r="N22" s="59"/>
      <c r="O22" s="59"/>
      <c r="P22" s="59"/>
      <c r="Q22" s="59"/>
      <c r="R22" s="59"/>
      <c r="S22" s="59"/>
      <c r="T22" s="59"/>
      <c r="U22" s="59"/>
      <c r="X22" s="64"/>
      <c r="Y22" s="64"/>
      <c r="Z22" s="64"/>
      <c r="AA22" s="64"/>
      <c r="AB22" s="64"/>
      <c r="AC22" s="64"/>
      <c r="AD22" s="64"/>
      <c r="AE22" s="64"/>
      <c r="AF22" s="64"/>
      <c r="AG22" s="64"/>
    </row>
    <row r="24" spans="1:33" ht="15.75" thickBot="1" x14ac:dyDescent="0.3"/>
    <row r="25" spans="1:33" x14ac:dyDescent="0.25">
      <c r="B25" s="52" t="s">
        <v>260</v>
      </c>
      <c r="C25" s="53" t="s">
        <v>261</v>
      </c>
      <c r="D25" s="53" t="s">
        <v>262</v>
      </c>
      <c r="E25" s="54" t="s">
        <v>263</v>
      </c>
      <c r="N25" s="52" t="s">
        <v>260</v>
      </c>
      <c r="O25" s="53" t="s">
        <v>261</v>
      </c>
      <c r="P25" s="53" t="s">
        <v>262</v>
      </c>
      <c r="Q25" s="54" t="s">
        <v>263</v>
      </c>
      <c r="AA25" s="52" t="s">
        <v>260</v>
      </c>
      <c r="AB25" s="53" t="s">
        <v>261</v>
      </c>
      <c r="AC25" s="53" t="s">
        <v>262</v>
      </c>
      <c r="AD25" s="54" t="s">
        <v>263</v>
      </c>
    </row>
    <row r="26" spans="1:33" ht="15.75" thickBot="1" x14ac:dyDescent="0.3">
      <c r="B26" s="55">
        <f>AVERAGE(Table133[FLOAT(M)])</f>
        <v>23.720933333333338</v>
      </c>
      <c r="C26" s="56">
        <f>MAX(Table133[FLOAT(M)])</f>
        <v>154.43</v>
      </c>
      <c r="D26" s="56">
        <f>MIN(Table13[FLOAT(M)])</f>
        <v>0.31571399999999999</v>
      </c>
      <c r="E26" s="57">
        <f>STDEV(Table133[FLOAT(M)])</f>
        <v>34.390540189455045</v>
      </c>
      <c r="N26" s="62">
        <f>AVERAGE('Range Bound Play 1 (V2)-FLAT'!Z2:Z82)</f>
        <v>1.094802924802037</v>
      </c>
      <c r="O26" s="62">
        <f>MAX('Range Bound Play 1 (V2)-FLAT'!Z2:Z82)</f>
        <v>3.954545454545455</v>
      </c>
      <c r="P26" s="62">
        <f>MIN('Range Bound Play 1 (V2)-FLAT'!Z2:Z82)</f>
        <v>0.12845138055222091</v>
      </c>
      <c r="Q26" s="62">
        <f>STDEV('Range Bound Play 1 (V2)-FLAT'!Z2:Z82)</f>
        <v>0.85205653071923226</v>
      </c>
      <c r="R26" s="60"/>
      <c r="S26" s="60"/>
      <c r="T26" s="60"/>
      <c r="U26" s="60"/>
      <c r="AA26" s="62">
        <f>AVERAGE('Range Bound Play 1 (V2)-FLAT'!AL2:AL82)</f>
        <v>9.6163237465440213E-2</v>
      </c>
      <c r="AB26" s="62">
        <f>MAX('Range Bound Play 1 (V2)-FLAT'!AL2:AL82)</f>
        <v>0.31818181818181818</v>
      </c>
      <c r="AC26" s="62">
        <f>MIN('Range Bound Play 1 (V2)-FLAT'!AL2:AL82)</f>
        <v>1.0344827586206829E-2</v>
      </c>
      <c r="AD26" s="62">
        <f>STDEV('Range Bound Play 1 (V2)-FLAT'!AL2:AL82)</f>
        <v>5.4962668992337031E-2</v>
      </c>
    </row>
    <row r="27" spans="1:33" x14ac:dyDescent="0.25">
      <c r="N27" s="60"/>
      <c r="O27" s="60"/>
      <c r="P27" s="60"/>
      <c r="Q27" s="60"/>
      <c r="R27" s="60"/>
      <c r="S27" s="60"/>
      <c r="T27" s="60"/>
      <c r="U27" s="60"/>
    </row>
    <row r="28" spans="1:33" x14ac:dyDescent="0.25">
      <c r="N28" s="60"/>
      <c r="O28" s="60"/>
      <c r="P28" s="60"/>
      <c r="Q28" s="60"/>
      <c r="R28" s="60"/>
      <c r="S28" s="60"/>
      <c r="T28" s="60"/>
      <c r="U28" s="60"/>
    </row>
    <row r="29" spans="1:33" x14ac:dyDescent="0.25">
      <c r="N29" s="60"/>
      <c r="O29" s="60"/>
      <c r="P29" s="60"/>
      <c r="Q29" s="60"/>
      <c r="R29" s="60"/>
      <c r="S29" s="60"/>
      <c r="T29" s="60"/>
      <c r="U29" s="60"/>
    </row>
    <row r="30" spans="1:33" ht="15.75" thickBot="1" x14ac:dyDescent="0.3">
      <c r="N30" s="60"/>
      <c r="O30" s="60"/>
      <c r="P30" s="60"/>
      <c r="Q30" s="60"/>
      <c r="R30" s="60"/>
      <c r="S30" s="60"/>
      <c r="T30" s="60"/>
      <c r="U30" s="60"/>
    </row>
    <row r="31" spans="1:33" x14ac:dyDescent="0.25">
      <c r="P31" s="52" t="s">
        <v>257</v>
      </c>
      <c r="Q31" s="53" t="s">
        <v>258</v>
      </c>
      <c r="R31" s="54" t="s">
        <v>256</v>
      </c>
    </row>
    <row r="32" spans="1:33" ht="15.75" thickBot="1" x14ac:dyDescent="0.3">
      <c r="P32" s="55">
        <f>COUNTIF(Table133[W/L],"W")</f>
        <v>100</v>
      </c>
      <c r="Q32" s="56">
        <f>COUNTIF(Table133[W/L],"L")</f>
        <v>27</v>
      </c>
      <c r="R32" s="57">
        <f>COUNTIF(Table133[W/L],"UT")</f>
        <v>42</v>
      </c>
    </row>
    <row r="33" spans="13:29" x14ac:dyDescent="0.25">
      <c r="M33" s="65"/>
      <c r="N33" s="65"/>
      <c r="O33" s="65"/>
      <c r="P33" s="65"/>
      <c r="Q33" s="65"/>
      <c r="R33" s="65"/>
      <c r="S33" s="65"/>
      <c r="T33" s="65"/>
      <c r="U33" s="65"/>
    </row>
    <row r="34" spans="13:29" x14ac:dyDescent="0.25">
      <c r="M34" s="65"/>
      <c r="N34" s="65"/>
      <c r="O34" s="65"/>
      <c r="P34" s="65"/>
      <c r="Q34" s="65"/>
      <c r="R34" s="65"/>
      <c r="S34" s="65"/>
      <c r="T34" s="65"/>
      <c r="U34" s="65"/>
    </row>
    <row r="35" spans="13:29" x14ac:dyDescent="0.25">
      <c r="M35" s="65"/>
      <c r="N35" s="65"/>
      <c r="O35" s="65"/>
      <c r="P35" s="65"/>
      <c r="Q35" s="65"/>
      <c r="R35" s="65"/>
      <c r="S35" s="65"/>
      <c r="T35" s="65"/>
      <c r="U35" s="65"/>
      <c r="AC35" s="61" t="s">
        <v>259</v>
      </c>
    </row>
    <row r="36" spans="13:29" x14ac:dyDescent="0.25">
      <c r="M36" s="65"/>
      <c r="N36" s="65"/>
      <c r="O36" s="65"/>
      <c r="P36" s="65"/>
      <c r="Q36" s="65"/>
      <c r="R36" s="65"/>
      <c r="S36" s="65"/>
      <c r="T36" s="65"/>
      <c r="U36" s="65"/>
    </row>
    <row r="37" spans="13:29" x14ac:dyDescent="0.25">
      <c r="M37" s="65"/>
      <c r="N37" s="65"/>
      <c r="O37" s="65"/>
      <c r="P37" s="65"/>
      <c r="Q37" s="65"/>
      <c r="R37" s="65"/>
      <c r="S37" s="65"/>
      <c r="T37" s="65"/>
      <c r="U37" s="65"/>
    </row>
    <row r="38" spans="13:29" x14ac:dyDescent="0.25">
      <c r="M38" s="65"/>
      <c r="N38" s="65"/>
      <c r="O38" s="65"/>
      <c r="P38" s="65"/>
      <c r="Q38" s="65"/>
      <c r="R38" s="65"/>
      <c r="S38" s="65"/>
      <c r="T38" s="65"/>
      <c r="U38" s="65"/>
    </row>
    <row r="39" spans="13:29" x14ac:dyDescent="0.25">
      <c r="M39" s="65"/>
      <c r="N39" s="65"/>
      <c r="O39" s="65"/>
      <c r="P39" s="65"/>
      <c r="Q39" s="65"/>
      <c r="R39" s="65"/>
      <c r="S39" s="65"/>
      <c r="T39" s="65"/>
      <c r="U39" s="65"/>
    </row>
    <row r="40" spans="13:29" x14ac:dyDescent="0.25">
      <c r="M40" s="65"/>
      <c r="N40" s="65"/>
      <c r="O40" s="65"/>
      <c r="P40" s="65"/>
      <c r="Q40" s="65"/>
      <c r="R40" s="65"/>
      <c r="S40" s="65"/>
      <c r="T40" s="65"/>
      <c r="U40" s="65"/>
    </row>
    <row r="41" spans="13:29" x14ac:dyDescent="0.25">
      <c r="M41" s="65"/>
      <c r="N41" s="65"/>
      <c r="O41" s="65"/>
      <c r="P41" s="65"/>
      <c r="Q41" s="65"/>
      <c r="R41" s="65"/>
      <c r="S41" s="65"/>
      <c r="T41" s="65"/>
      <c r="U41" s="65"/>
    </row>
    <row r="42" spans="13:29" x14ac:dyDescent="0.25">
      <c r="M42" s="65"/>
      <c r="N42" s="65"/>
      <c r="O42" s="65"/>
      <c r="P42" s="65"/>
      <c r="Q42" s="65"/>
      <c r="R42" s="65"/>
      <c r="S42" s="65"/>
      <c r="T42" s="65"/>
      <c r="U42" s="65"/>
    </row>
    <row r="43" spans="13:29" x14ac:dyDescent="0.25">
      <c r="M43" s="65"/>
      <c r="N43" s="65"/>
      <c r="O43" s="65"/>
      <c r="P43" s="65"/>
      <c r="Q43" s="65"/>
      <c r="R43" s="65"/>
      <c r="S43" s="65"/>
      <c r="T43" s="65"/>
      <c r="U43" s="65"/>
    </row>
    <row r="44" spans="13:29" x14ac:dyDescent="0.25">
      <c r="M44" s="65"/>
      <c r="N44" s="65"/>
      <c r="O44" s="65"/>
      <c r="P44" s="65"/>
      <c r="Q44" s="65"/>
      <c r="R44" s="65"/>
      <c r="S44" s="65"/>
      <c r="T44" s="65"/>
      <c r="U44" s="65"/>
    </row>
    <row r="45" spans="13:29" x14ac:dyDescent="0.25">
      <c r="M45" s="65"/>
      <c r="N45" s="65"/>
      <c r="O45" s="65"/>
      <c r="P45" s="65"/>
      <c r="Q45" s="65"/>
      <c r="R45" s="65"/>
      <c r="S45" s="65"/>
      <c r="T45" s="65"/>
      <c r="U45" s="65"/>
    </row>
    <row r="46" spans="13:29" x14ac:dyDescent="0.25">
      <c r="M46" s="65"/>
      <c r="N46" s="65"/>
      <c r="O46" s="65"/>
      <c r="P46" s="65"/>
      <c r="Q46" s="65"/>
      <c r="R46" s="65"/>
      <c r="S46" s="65"/>
      <c r="T46" s="65"/>
      <c r="U46" s="65"/>
    </row>
    <row r="47" spans="13:29" x14ac:dyDescent="0.25">
      <c r="M47" s="65"/>
      <c r="N47" s="65"/>
      <c r="O47" s="65"/>
      <c r="P47" s="65"/>
      <c r="Q47" s="65"/>
      <c r="R47" s="65"/>
      <c r="S47" s="65"/>
      <c r="T47" s="65"/>
      <c r="U47" s="65"/>
    </row>
    <row r="48" spans="13:29" x14ac:dyDescent="0.25">
      <c r="M48" s="65"/>
      <c r="N48" s="65"/>
      <c r="O48" s="65"/>
      <c r="P48" s="65"/>
      <c r="Q48" s="65"/>
      <c r="R48" s="65"/>
      <c r="S48" s="65"/>
      <c r="T48" s="65"/>
      <c r="U48" s="65"/>
    </row>
    <row r="49" spans="13:21" x14ac:dyDescent="0.25">
      <c r="M49" s="65"/>
      <c r="N49" s="65"/>
      <c r="O49" s="65"/>
      <c r="P49" s="65"/>
      <c r="Q49" s="65"/>
      <c r="R49" s="65"/>
      <c r="S49" s="65"/>
      <c r="T49" s="65"/>
      <c r="U49" s="65"/>
    </row>
    <row r="50" spans="13:21" x14ac:dyDescent="0.25">
      <c r="M50" s="65"/>
      <c r="N50" s="65"/>
      <c r="O50" s="65"/>
      <c r="P50" s="65"/>
      <c r="Q50" s="65"/>
      <c r="R50" s="65"/>
      <c r="S50" s="65"/>
      <c r="T50" s="65"/>
      <c r="U50" s="65"/>
    </row>
    <row r="51" spans="13:21" x14ac:dyDescent="0.25">
      <c r="M51" s="65"/>
      <c r="N51" s="65"/>
      <c r="O51" s="65"/>
      <c r="P51" s="65"/>
      <c r="Q51" s="65"/>
      <c r="R51" s="65"/>
      <c r="S51" s="65"/>
      <c r="T51" s="65"/>
      <c r="U51" s="65"/>
    </row>
  </sheetData>
  <mergeCells count="3">
    <mergeCell ref="A4:I22"/>
    <mergeCell ref="X4:AG22"/>
    <mergeCell ref="M33:U5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50C64-40EF-4F3F-834A-CFC3E691C7A2}">
  <dimension ref="A1:B3"/>
  <sheetViews>
    <sheetView workbookViewId="0">
      <selection activeCell="I27" sqref="I27"/>
    </sheetView>
  </sheetViews>
  <sheetFormatPr defaultRowHeight="15" x14ac:dyDescent="0.25"/>
  <sheetData>
    <row r="1" spans="1:2" x14ac:dyDescent="0.25">
      <c r="A1" t="s">
        <v>43</v>
      </c>
      <c r="B1" t="s">
        <v>71</v>
      </c>
    </row>
    <row r="2" spans="1:2" x14ac:dyDescent="0.25">
      <c r="A2" t="s">
        <v>41</v>
      </c>
      <c r="B2" t="s">
        <v>143</v>
      </c>
    </row>
    <row r="3" spans="1:2" x14ac:dyDescent="0.25">
      <c r="B3" t="s">
        <v>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Range Bound Play 1 (V1)</vt:lpstr>
      <vt:lpstr>Range Bound Play 1 (V2)-FLAT</vt:lpstr>
      <vt:lpstr>Basic Visual of setup</vt:lpstr>
      <vt:lpstr>Basic Analysis</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dc:creator>
  <cp:lastModifiedBy>Michael G</cp:lastModifiedBy>
  <dcterms:created xsi:type="dcterms:W3CDTF">2021-01-05T04:43:26Z</dcterms:created>
  <dcterms:modified xsi:type="dcterms:W3CDTF">2021-02-01T16:04:26Z</dcterms:modified>
</cp:coreProperties>
</file>