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ichael G\Documents\"/>
    </mc:Choice>
  </mc:AlternateContent>
  <xr:revisionPtr revIDLastSave="0" documentId="13_ncr:1_{672D3665-B734-4AC2-92DB-7F3F7B657034}" xr6:coauthVersionLast="45" xr6:coauthVersionMax="45" xr10:uidLastSave="{00000000-0000-0000-0000-000000000000}"/>
  <bookViews>
    <workbookView xWindow="38280" yWindow="-120" windowWidth="38640" windowHeight="21390" activeTab="1" xr2:uid="{423AC37B-C319-4CA7-8768-6A50AC261937}"/>
  </bookViews>
  <sheets>
    <sheet name="Range Bound Play 1 (V1)" sheetId="1" r:id="rId1"/>
    <sheet name="Range Bound Play 1 (V2)-FLAT" sheetId="4" r:id="rId2"/>
    <sheet name="Basic Analysis" sheetId="6" r:id="rId3"/>
    <sheet name="Misc." sheetId="3" r:id="rId4"/>
  </sheets>
  <externalReferences>
    <externalReference r:id="rId5"/>
  </externalReferences>
  <definedNames>
    <definedName name="_xlchart.v1.0" hidden="1">'Basic Analysis'!$AA$4</definedName>
    <definedName name="_xlchart.v1.1" hidden="1">'Basic Analysis'!$AA$5:$AA$22</definedName>
    <definedName name="_xlchart.v1.10" hidden="1">'Basic Analysis'!$W$5:$W$22</definedName>
    <definedName name="_xlchart.v1.11" hidden="1">'Basic Analysis'!$X$4</definedName>
    <definedName name="_xlchart.v1.12" hidden="1">'Basic Analysis'!$X$5:$X$22</definedName>
    <definedName name="_xlchart.v1.13" hidden="1">'Basic Analysis'!$Y$4</definedName>
    <definedName name="_xlchart.v1.14" hidden="1">'Basic Analysis'!$Y$5:$Y$22</definedName>
    <definedName name="_xlchart.v1.15" hidden="1">'Basic Analysis'!$Z$4</definedName>
    <definedName name="_xlchart.v1.16" hidden="1">'Basic Analysis'!$Z$5:$Z$22</definedName>
    <definedName name="_xlchart.v1.17" hidden="1">'Basic Analysis'!$AA$4</definedName>
    <definedName name="_xlchart.v1.18" hidden="1">'Basic Analysis'!$AA$5:$AA$22</definedName>
    <definedName name="_xlchart.v1.19" hidden="1">'Basic Analysis'!$AB$4</definedName>
    <definedName name="_xlchart.v1.2" hidden="1">'Basic Analysis'!$AB$4</definedName>
    <definedName name="_xlchart.v1.20" hidden="1">'Basic Analysis'!$AB$5:$AB$22</definedName>
    <definedName name="_xlchart.v1.21" hidden="1">'Basic Analysis'!$AC$4</definedName>
    <definedName name="_xlchart.v1.22" hidden="1">'Basic Analysis'!$AC$5:$AC$22</definedName>
    <definedName name="_xlchart.v1.23" hidden="1">'Basic Analysis'!$AD$4</definedName>
    <definedName name="_xlchart.v1.24" hidden="1">'Basic Analysis'!$AD$5:$AD$22</definedName>
    <definedName name="_xlchart.v1.25" hidden="1">'Basic Analysis'!$AE$4</definedName>
    <definedName name="_xlchart.v1.26" hidden="1">'Basic Analysis'!$AE$5:$AE$22</definedName>
    <definedName name="_xlchart.v1.27" hidden="1">'Basic Analysis'!$W$5:$W$22</definedName>
    <definedName name="_xlchart.v1.28" hidden="1">'Basic Analysis'!$X$4</definedName>
    <definedName name="_xlchart.v1.29" hidden="1">'Basic Analysis'!$X$5:$X$22</definedName>
    <definedName name="_xlchart.v1.3" hidden="1">'Basic Analysis'!$AB$5:$AB$22</definedName>
    <definedName name="_xlchart.v1.30" hidden="1">'Basic Analysis'!$Y$4</definedName>
    <definedName name="_xlchart.v1.31" hidden="1">'Basic Analysis'!$Y$5:$Y$22</definedName>
    <definedName name="_xlchart.v1.32" hidden="1">'Basic Analysis'!$Z$4</definedName>
    <definedName name="_xlchart.v1.33" hidden="1">'Basic Analysis'!$Z$5:$Z$22</definedName>
    <definedName name="_xlchart.v1.34" hidden="1">'Range Bound Play 1 (V2)-FLAT'!$AL$2:$AL$174</definedName>
    <definedName name="_xlchart.v1.35" hidden="1">'Range Bound Play 1 (V2)-FLAT'!$Q$2:$Q$174</definedName>
    <definedName name="_xlchart.v1.36" hidden="1">'Basic Analysis'!$AA$4</definedName>
    <definedName name="_xlchart.v1.37" hidden="1">'Basic Analysis'!$AA$5:$AA$22</definedName>
    <definedName name="_xlchart.v1.38" hidden="1">'Basic Analysis'!$AB$4</definedName>
    <definedName name="_xlchart.v1.39" hidden="1">'Basic Analysis'!$AB$5:$AB$22</definedName>
    <definedName name="_xlchart.v1.4" hidden="1">'Basic Analysis'!$AC$4</definedName>
    <definedName name="_xlchart.v1.40" hidden="1">'Basic Analysis'!$AC$4</definedName>
    <definedName name="_xlchart.v1.41" hidden="1">'Basic Analysis'!$AC$5:$AC$22</definedName>
    <definedName name="_xlchart.v1.42" hidden="1">'Basic Analysis'!$AD$4</definedName>
    <definedName name="_xlchart.v1.43" hidden="1">'Basic Analysis'!$AD$5:$AD$22</definedName>
    <definedName name="_xlchart.v1.44" hidden="1">'Basic Analysis'!$AE$4</definedName>
    <definedName name="_xlchart.v1.45" hidden="1">'Basic Analysis'!$AE$5:$AE$22</definedName>
    <definedName name="_xlchart.v1.46" hidden="1">'Basic Analysis'!$W$5:$W$22</definedName>
    <definedName name="_xlchart.v1.47" hidden="1">'Basic Analysis'!$X$4</definedName>
    <definedName name="_xlchart.v1.48" hidden="1">'Basic Analysis'!$X$5:$X$22</definedName>
    <definedName name="_xlchart.v1.49" hidden="1">'Basic Analysis'!$Y$4</definedName>
    <definedName name="_xlchart.v1.5" hidden="1">'Basic Analysis'!$AC$5:$AC$22</definedName>
    <definedName name="_xlchart.v1.50" hidden="1">'Basic Analysis'!$Y$5:$Y$22</definedName>
    <definedName name="_xlchart.v1.51" hidden="1">'Basic Analysis'!$Z$4</definedName>
    <definedName name="_xlchart.v1.52" hidden="1">'Basic Analysis'!$Z$5:$Z$22</definedName>
    <definedName name="_xlchart.v1.53" hidden="1">'Range Bound Play 1 (V2)-FLAT'!$AM$2:$AM$174</definedName>
    <definedName name="_xlchart.v1.54" hidden="1">'Range Bound Play 1 (V2)-FLAT'!$Z$2:$Z$174</definedName>
    <definedName name="_xlchart.v1.6" hidden="1">'Basic Analysis'!$AD$4</definedName>
    <definedName name="_xlchart.v1.7" hidden="1">'Basic Analysis'!$AD$5:$AD$22</definedName>
    <definedName name="_xlchart.v1.8" hidden="1">'Basic Analysis'!$AE$4</definedName>
    <definedName name="_xlchart.v1.9" hidden="1">'Basic Analysis'!$AE$5:$AE$22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3" i="1" l="1"/>
  <c r="P32" i="6"/>
  <c r="Q32" i="6"/>
  <c r="R32" i="6"/>
  <c r="AO84" i="4" l="1"/>
  <c r="AO174" i="4"/>
  <c r="AO85" i="4"/>
  <c r="AO81" i="4"/>
  <c r="AO77" i="4"/>
  <c r="AO75" i="4"/>
  <c r="AO74" i="4"/>
  <c r="AO67" i="4"/>
  <c r="AO53" i="4"/>
  <c r="AO51" i="4"/>
  <c r="AO48" i="4"/>
  <c r="AO42" i="4"/>
  <c r="AO38" i="4"/>
  <c r="AO34" i="4"/>
  <c r="AO31" i="4"/>
  <c r="AO13" i="4"/>
  <c r="AO8" i="4"/>
  <c r="AO7" i="4"/>
  <c r="AO3" i="4"/>
  <c r="AO2" i="4"/>
  <c r="AO86" i="4"/>
  <c r="AO87" i="4"/>
  <c r="AO88" i="4"/>
  <c r="AO89" i="4"/>
  <c r="AO90" i="4"/>
  <c r="AO91" i="4"/>
  <c r="AO92" i="4"/>
  <c r="AO93" i="4"/>
  <c r="AO94" i="4"/>
  <c r="AO95" i="4"/>
  <c r="AO96" i="4"/>
  <c r="AO97" i="4"/>
  <c r="AO98" i="4"/>
  <c r="AO99" i="4"/>
  <c r="AO100" i="4"/>
  <c r="AO101" i="4"/>
  <c r="AO102" i="4"/>
  <c r="AO103" i="4"/>
  <c r="AO104" i="4"/>
  <c r="AO105" i="4"/>
  <c r="AO106" i="4"/>
  <c r="AO107" i="4"/>
  <c r="AO108" i="4"/>
  <c r="AO109" i="4"/>
  <c r="AO110" i="4"/>
  <c r="AO111" i="4"/>
  <c r="AO112" i="4"/>
  <c r="AO113" i="4"/>
  <c r="AO114" i="4"/>
  <c r="AO115" i="4"/>
  <c r="AO116" i="4"/>
  <c r="AO117" i="4"/>
  <c r="AO118" i="4"/>
  <c r="AO119" i="4"/>
  <c r="AO120" i="4"/>
  <c r="AO121" i="4"/>
  <c r="AO122" i="4"/>
  <c r="AO123" i="4"/>
  <c r="AO124" i="4"/>
  <c r="AO125" i="4"/>
  <c r="AO126" i="4"/>
  <c r="AO127" i="4"/>
  <c r="AO128" i="4"/>
  <c r="AO129" i="4"/>
  <c r="AO130" i="4"/>
  <c r="AO131" i="4"/>
  <c r="AO132" i="4"/>
  <c r="AO133" i="4"/>
  <c r="AO134" i="4"/>
  <c r="AO135" i="4"/>
  <c r="AO136" i="4"/>
  <c r="AO137" i="4"/>
  <c r="AO138" i="4"/>
  <c r="AO139" i="4"/>
  <c r="AO140" i="4"/>
  <c r="AO141" i="4"/>
  <c r="AO142" i="4"/>
  <c r="AO143" i="4"/>
  <c r="AO144" i="4"/>
  <c r="AO145" i="4"/>
  <c r="AO146" i="4"/>
  <c r="AO147" i="4"/>
  <c r="AO148" i="4"/>
  <c r="AO149" i="4"/>
  <c r="AO150" i="4"/>
  <c r="AO151" i="4"/>
  <c r="AO152" i="4"/>
  <c r="AO153" i="4"/>
  <c r="AO154" i="4"/>
  <c r="AO155" i="4"/>
  <c r="AO156" i="4"/>
  <c r="AO157" i="4"/>
  <c r="AO158" i="4"/>
  <c r="AO159" i="4"/>
  <c r="AO160" i="4"/>
  <c r="AO161" i="4"/>
  <c r="AO162" i="4"/>
  <c r="AO163" i="4"/>
  <c r="AO164" i="4"/>
  <c r="AO165" i="4"/>
  <c r="AO166" i="4"/>
  <c r="AO167" i="4"/>
  <c r="AO168" i="4"/>
  <c r="AO169" i="4"/>
  <c r="AO170" i="4"/>
  <c r="AO171" i="4"/>
  <c r="AO172" i="4"/>
  <c r="AO173" i="4"/>
  <c r="AM84" i="4"/>
  <c r="AM174" i="4"/>
  <c r="AM85" i="4"/>
  <c r="AM81" i="4"/>
  <c r="AM77" i="4"/>
  <c r="AM75" i="4"/>
  <c r="AM74" i="4"/>
  <c r="AM67" i="4"/>
  <c r="AM53" i="4"/>
  <c r="AM51" i="4"/>
  <c r="AM48" i="4"/>
  <c r="AM42" i="4"/>
  <c r="AM38" i="4"/>
  <c r="AM34" i="4"/>
  <c r="AM31" i="4"/>
  <c r="AM13" i="4"/>
  <c r="AM8" i="4"/>
  <c r="AM7" i="4"/>
  <c r="AM3" i="4"/>
  <c r="AM2" i="4"/>
  <c r="AM86" i="4"/>
  <c r="AM87" i="4"/>
  <c r="AM88" i="4"/>
  <c r="AM89" i="4"/>
  <c r="AM90" i="4"/>
  <c r="AM91" i="4"/>
  <c r="AM92" i="4"/>
  <c r="AM93" i="4"/>
  <c r="AM94" i="4"/>
  <c r="AM95" i="4"/>
  <c r="AM96" i="4"/>
  <c r="AM97" i="4"/>
  <c r="AM98" i="4"/>
  <c r="AM99" i="4"/>
  <c r="AM100" i="4"/>
  <c r="AM101" i="4"/>
  <c r="AM102" i="4"/>
  <c r="AM103" i="4"/>
  <c r="AM104" i="4"/>
  <c r="AM105" i="4"/>
  <c r="AM106" i="4"/>
  <c r="AM107" i="4"/>
  <c r="AM108" i="4"/>
  <c r="AM109" i="4"/>
  <c r="AM110" i="4"/>
  <c r="AM111" i="4"/>
  <c r="AM112" i="4"/>
  <c r="AM113" i="4"/>
  <c r="AM114" i="4"/>
  <c r="AM115" i="4"/>
  <c r="AM116" i="4"/>
  <c r="AM117" i="4"/>
  <c r="AM118" i="4"/>
  <c r="AM119" i="4"/>
  <c r="AM120" i="4"/>
  <c r="AM121" i="4"/>
  <c r="AM122" i="4"/>
  <c r="AM123" i="4"/>
  <c r="AM124" i="4"/>
  <c r="AM125" i="4"/>
  <c r="AM126" i="4"/>
  <c r="AM127" i="4"/>
  <c r="AM128" i="4"/>
  <c r="AM129" i="4"/>
  <c r="AM130" i="4"/>
  <c r="AM131" i="4"/>
  <c r="AM132" i="4"/>
  <c r="AM133" i="4"/>
  <c r="AM134" i="4"/>
  <c r="AM135" i="4"/>
  <c r="AM136" i="4"/>
  <c r="AM137" i="4"/>
  <c r="AM138" i="4"/>
  <c r="AM139" i="4"/>
  <c r="AM140" i="4"/>
  <c r="AM141" i="4"/>
  <c r="AM142" i="4"/>
  <c r="AM143" i="4"/>
  <c r="AM144" i="4"/>
  <c r="AM145" i="4"/>
  <c r="AM146" i="4"/>
  <c r="AM147" i="4"/>
  <c r="AM148" i="4"/>
  <c r="AM149" i="4"/>
  <c r="AM150" i="4"/>
  <c r="AM151" i="4"/>
  <c r="AM152" i="4"/>
  <c r="AM153" i="4"/>
  <c r="AM154" i="4"/>
  <c r="AM155" i="4"/>
  <c r="AM156" i="4"/>
  <c r="AM157" i="4"/>
  <c r="AM158" i="4"/>
  <c r="AM159" i="4"/>
  <c r="AM160" i="4"/>
  <c r="AM161" i="4"/>
  <c r="AM162" i="4"/>
  <c r="AM163" i="4"/>
  <c r="AM164" i="4"/>
  <c r="AM165" i="4"/>
  <c r="AM166" i="4"/>
  <c r="AM167" i="4"/>
  <c r="AM168" i="4"/>
  <c r="AM169" i="4"/>
  <c r="AM170" i="4"/>
  <c r="AM171" i="4"/>
  <c r="AM172" i="4"/>
  <c r="AM173" i="4"/>
  <c r="AL81" i="4"/>
  <c r="AL77" i="4"/>
  <c r="AL75" i="4"/>
  <c r="AL74" i="4"/>
  <c r="AL67" i="4"/>
  <c r="AL53" i="4"/>
  <c r="AL51" i="4"/>
  <c r="AL48" i="4"/>
  <c r="AL42" i="4"/>
  <c r="AL38" i="4"/>
  <c r="AK38" i="4" s="1"/>
  <c r="AL34" i="4"/>
  <c r="AL31" i="4"/>
  <c r="AL13" i="4"/>
  <c r="AL8" i="4"/>
  <c r="AL7" i="4"/>
  <c r="AK7" i="4" s="1"/>
  <c r="AL3" i="4"/>
  <c r="AL2" i="4"/>
  <c r="AL86" i="4"/>
  <c r="AL87" i="4"/>
  <c r="AK87" i="4" s="1"/>
  <c r="AL88" i="4"/>
  <c r="AL89" i="4"/>
  <c r="AK89" i="4" s="1"/>
  <c r="AL90" i="4"/>
  <c r="AK90" i="4" s="1"/>
  <c r="AL91" i="4"/>
  <c r="AK91" i="4" s="1"/>
  <c r="AL92" i="4"/>
  <c r="AK92" i="4" s="1"/>
  <c r="AL93" i="4"/>
  <c r="AL94" i="4"/>
  <c r="AL95" i="4"/>
  <c r="AL96" i="4"/>
  <c r="AL97" i="4"/>
  <c r="AL98" i="4"/>
  <c r="AK98" i="4" s="1"/>
  <c r="AL99" i="4"/>
  <c r="AK99" i="4" s="1"/>
  <c r="AL100" i="4"/>
  <c r="AL101" i="4"/>
  <c r="AL102" i="4"/>
  <c r="AK102" i="4" s="1"/>
  <c r="AL103" i="4"/>
  <c r="AL104" i="4"/>
  <c r="AL105" i="4"/>
  <c r="AL106" i="4"/>
  <c r="AL107" i="4"/>
  <c r="AL108" i="4"/>
  <c r="AL109" i="4"/>
  <c r="AL110" i="4"/>
  <c r="AL111" i="4"/>
  <c r="AK111" i="4" s="1"/>
  <c r="AL112" i="4"/>
  <c r="AL113" i="4"/>
  <c r="AL114" i="4"/>
  <c r="AK114" i="4" s="1"/>
  <c r="AL115" i="4"/>
  <c r="AK115" i="4" s="1"/>
  <c r="AL116" i="4"/>
  <c r="AK116" i="4" s="1"/>
  <c r="AL117" i="4"/>
  <c r="AL118" i="4"/>
  <c r="AL119" i="4"/>
  <c r="AL120" i="4"/>
  <c r="AL121" i="4"/>
  <c r="AK121" i="4" s="1"/>
  <c r="AL122" i="4"/>
  <c r="AL123" i="4"/>
  <c r="AL124" i="4"/>
  <c r="AL125" i="4"/>
  <c r="AL126" i="4"/>
  <c r="AL127" i="4"/>
  <c r="AK127" i="4" s="1"/>
  <c r="AL128" i="4"/>
  <c r="AL129" i="4"/>
  <c r="AL130" i="4"/>
  <c r="AL131" i="4"/>
  <c r="AK131" i="4" s="1"/>
  <c r="AL132" i="4"/>
  <c r="AL133" i="4"/>
  <c r="AL134" i="4"/>
  <c r="AK134" i="4" s="1"/>
  <c r="AL135" i="4"/>
  <c r="AK135" i="4" s="1"/>
  <c r="AL136" i="4"/>
  <c r="AL137" i="4"/>
  <c r="AL138" i="4"/>
  <c r="AK138" i="4" s="1"/>
  <c r="AL139" i="4"/>
  <c r="AK139" i="4" s="1"/>
  <c r="AL140" i="4"/>
  <c r="AK140" i="4" s="1"/>
  <c r="AL141" i="4"/>
  <c r="AL142" i="4"/>
  <c r="AL143" i="4"/>
  <c r="AL144" i="4"/>
  <c r="AL145" i="4"/>
  <c r="AK145" i="4" s="1"/>
  <c r="AL146" i="4"/>
  <c r="AK146" i="4" s="1"/>
  <c r="AL147" i="4"/>
  <c r="AK147" i="4" s="1"/>
  <c r="AL148" i="4"/>
  <c r="AL149" i="4"/>
  <c r="AL150" i="4"/>
  <c r="AK150" i="4" s="1"/>
  <c r="AL151" i="4"/>
  <c r="AK151" i="4" s="1"/>
  <c r="AL152" i="4"/>
  <c r="AK152" i="4" s="1"/>
  <c r="AL153" i="4"/>
  <c r="AL154" i="4"/>
  <c r="AK154" i="4" s="1"/>
  <c r="AL155" i="4"/>
  <c r="AK155" i="4" s="1"/>
  <c r="AL156" i="4"/>
  <c r="AL157" i="4"/>
  <c r="AL158" i="4"/>
  <c r="AK158" i="4" s="1"/>
  <c r="AL159" i="4"/>
  <c r="AK159" i="4" s="1"/>
  <c r="AL160" i="4"/>
  <c r="AK160" i="4" s="1"/>
  <c r="AL161" i="4"/>
  <c r="AK161" i="4" s="1"/>
  <c r="AL162" i="4"/>
  <c r="AK162" i="4" s="1"/>
  <c r="AL163" i="4"/>
  <c r="AK163" i="4" s="1"/>
  <c r="AL164" i="4"/>
  <c r="AK164" i="4" s="1"/>
  <c r="AL165" i="4"/>
  <c r="AL166" i="4"/>
  <c r="AL167" i="4"/>
  <c r="AK167" i="4" s="1"/>
  <c r="AL168" i="4"/>
  <c r="AK168" i="4" s="1"/>
  <c r="AL169" i="4"/>
  <c r="AK169" i="4" s="1"/>
  <c r="AL170" i="4"/>
  <c r="AK170" i="4" s="1"/>
  <c r="AL171" i="4"/>
  <c r="AK171" i="4" s="1"/>
  <c r="AL172" i="4"/>
  <c r="AK172" i="4" s="1"/>
  <c r="AL173" i="4"/>
  <c r="AK173" i="4" s="1"/>
  <c r="Z83" i="4"/>
  <c r="Z84" i="4"/>
  <c r="Z174" i="4"/>
  <c r="Z85" i="4"/>
  <c r="Z81" i="4"/>
  <c r="Z77" i="4"/>
  <c r="Z75" i="4"/>
  <c r="Z74" i="4"/>
  <c r="Z67" i="4"/>
  <c r="Z53" i="4"/>
  <c r="Z51" i="4"/>
  <c r="Z48" i="4"/>
  <c r="AA48" i="4" s="1"/>
  <c r="Z42" i="4"/>
  <c r="Z38" i="4"/>
  <c r="Z34" i="4"/>
  <c r="Z31" i="4"/>
  <c r="Z13" i="4"/>
  <c r="Z8" i="4"/>
  <c r="Z7" i="4"/>
  <c r="Z3" i="4"/>
  <c r="Z2" i="4"/>
  <c r="Z86" i="4"/>
  <c r="Z87" i="4"/>
  <c r="Z88" i="4"/>
  <c r="Z89" i="4"/>
  <c r="Z90" i="4"/>
  <c r="Z91" i="4"/>
  <c r="Z92" i="4"/>
  <c r="Z93" i="4"/>
  <c r="Z94" i="4"/>
  <c r="Z95" i="4"/>
  <c r="Z96" i="4"/>
  <c r="Z97" i="4"/>
  <c r="Z98" i="4"/>
  <c r="Z99" i="4"/>
  <c r="Z100" i="4"/>
  <c r="Z101" i="4"/>
  <c r="Z102" i="4"/>
  <c r="Z103" i="4"/>
  <c r="Z104" i="4"/>
  <c r="Z105" i="4"/>
  <c r="Z106" i="4"/>
  <c r="Z107" i="4"/>
  <c r="Z108" i="4"/>
  <c r="Z109" i="4"/>
  <c r="Z110" i="4"/>
  <c r="Z111" i="4"/>
  <c r="Z112" i="4"/>
  <c r="Z113" i="4"/>
  <c r="Z114" i="4"/>
  <c r="Z115" i="4"/>
  <c r="Z116" i="4"/>
  <c r="Z117" i="4"/>
  <c r="Z118" i="4"/>
  <c r="Z119" i="4"/>
  <c r="Z120" i="4"/>
  <c r="Z121" i="4"/>
  <c r="Z122" i="4"/>
  <c r="Z123" i="4"/>
  <c r="Z124" i="4"/>
  <c r="Z125" i="4"/>
  <c r="Z126" i="4"/>
  <c r="Z127" i="4"/>
  <c r="Z128" i="4"/>
  <c r="Z129" i="4"/>
  <c r="Z130" i="4"/>
  <c r="Z131" i="4"/>
  <c r="Z132" i="4"/>
  <c r="Z133" i="4"/>
  <c r="Z134" i="4"/>
  <c r="Z135" i="4"/>
  <c r="Z136" i="4"/>
  <c r="Z137" i="4"/>
  <c r="Z138" i="4"/>
  <c r="Z139" i="4"/>
  <c r="Z140" i="4"/>
  <c r="Z141" i="4"/>
  <c r="Z142" i="4"/>
  <c r="Z143" i="4"/>
  <c r="Z144" i="4"/>
  <c r="Z145" i="4"/>
  <c r="Z146" i="4"/>
  <c r="Z147" i="4"/>
  <c r="Z148" i="4"/>
  <c r="Z149" i="4"/>
  <c r="Z150" i="4"/>
  <c r="Z151" i="4"/>
  <c r="Z152" i="4"/>
  <c r="Z153" i="4"/>
  <c r="Z154" i="4"/>
  <c r="Z155" i="4"/>
  <c r="Z156" i="4"/>
  <c r="Z157" i="4"/>
  <c r="Z158" i="4"/>
  <c r="Z159" i="4"/>
  <c r="Z160" i="4"/>
  <c r="Z161" i="4"/>
  <c r="Z162" i="4"/>
  <c r="Z163" i="4"/>
  <c r="Z164" i="4"/>
  <c r="Z165" i="4"/>
  <c r="Z166" i="4"/>
  <c r="Z167" i="4"/>
  <c r="Z168" i="4"/>
  <c r="Z169" i="4"/>
  <c r="Z170" i="4"/>
  <c r="Z171" i="4"/>
  <c r="Z172" i="4"/>
  <c r="Z173" i="4"/>
  <c r="E103" i="4"/>
  <c r="E102" i="4"/>
  <c r="E101" i="4"/>
  <c r="E100" i="4"/>
  <c r="E84" i="4"/>
  <c r="E99" i="4"/>
  <c r="E98" i="4"/>
  <c r="E97" i="4"/>
  <c r="E96" i="4"/>
  <c r="E95" i="4"/>
  <c r="E94" i="4"/>
  <c r="E83" i="4"/>
  <c r="E93" i="4"/>
  <c r="E92" i="4"/>
  <c r="E91" i="4"/>
  <c r="E90" i="4"/>
  <c r="E89" i="4"/>
  <c r="E88" i="4"/>
  <c r="E87" i="4"/>
  <c r="E86" i="4"/>
  <c r="E2" i="4"/>
  <c r="E8" i="4"/>
  <c r="E53" i="4"/>
  <c r="E77" i="4"/>
  <c r="E48" i="4"/>
  <c r="E7" i="4"/>
  <c r="E13" i="4"/>
  <c r="E67" i="4"/>
  <c r="E34" i="4"/>
  <c r="E74" i="4"/>
  <c r="E42" i="4"/>
  <c r="E31" i="4"/>
  <c r="E81" i="4"/>
  <c r="E3" i="4"/>
  <c r="E75" i="4"/>
  <c r="AA102" i="4"/>
  <c r="AB102" i="4"/>
  <c r="AC102" i="4"/>
  <c r="AE102" i="4"/>
  <c r="AF102" i="4"/>
  <c r="AH102" i="4"/>
  <c r="AI102" i="4"/>
  <c r="AJ102" i="4"/>
  <c r="AN102" i="4"/>
  <c r="AP102" i="4"/>
  <c r="Y102" i="4" s="1"/>
  <c r="P63" i="4"/>
  <c r="Z63" i="4"/>
  <c r="AA63" i="4"/>
  <c r="AB63" i="4"/>
  <c r="AC63" i="4"/>
  <c r="AD63" i="4"/>
  <c r="AE63" i="4"/>
  <c r="AF63" i="4"/>
  <c r="AG63" i="4"/>
  <c r="AH63" i="4"/>
  <c r="AI63" i="4"/>
  <c r="AJ63" i="4"/>
  <c r="AL63" i="4"/>
  <c r="AM63" i="4"/>
  <c r="AN63" i="4"/>
  <c r="AO63" i="4"/>
  <c r="AP63" i="4"/>
  <c r="Y63" i="4" s="1"/>
  <c r="AP173" i="4"/>
  <c r="AQ173" i="4" s="1"/>
  <c r="AN173" i="4"/>
  <c r="AJ173" i="4"/>
  <c r="AI173" i="4"/>
  <c r="AH173" i="4"/>
  <c r="AF173" i="4"/>
  <c r="AE173" i="4"/>
  <c r="AC173" i="4"/>
  <c r="AB173" i="4"/>
  <c r="AA173" i="4"/>
  <c r="AP172" i="4"/>
  <c r="Y172" i="4" s="1"/>
  <c r="AN172" i="4"/>
  <c r="AJ172" i="4"/>
  <c r="AI172" i="4"/>
  <c r="AH172" i="4"/>
  <c r="AF172" i="4"/>
  <c r="AE172" i="4"/>
  <c r="AC172" i="4"/>
  <c r="AB172" i="4"/>
  <c r="AA172" i="4"/>
  <c r="AP171" i="4"/>
  <c r="AQ171" i="4" s="1"/>
  <c r="AN171" i="4"/>
  <c r="AJ171" i="4"/>
  <c r="AI171" i="4"/>
  <c r="AH171" i="4"/>
  <c r="AF171" i="4"/>
  <c r="AE171" i="4"/>
  <c r="AC171" i="4"/>
  <c r="AB171" i="4"/>
  <c r="AA171" i="4"/>
  <c r="AP170" i="4"/>
  <c r="Y170" i="4" s="1"/>
  <c r="AN170" i="4"/>
  <c r="AJ170" i="4"/>
  <c r="AI170" i="4"/>
  <c r="AH170" i="4"/>
  <c r="AF170" i="4"/>
  <c r="AE170" i="4"/>
  <c r="AC170" i="4"/>
  <c r="AB170" i="4"/>
  <c r="AA170" i="4"/>
  <c r="AP103" i="4"/>
  <c r="Y103" i="4" s="1"/>
  <c r="AN103" i="4"/>
  <c r="AK103" i="4"/>
  <c r="AJ103" i="4"/>
  <c r="AI103" i="4"/>
  <c r="AH103" i="4"/>
  <c r="AF103" i="4"/>
  <c r="AE103" i="4"/>
  <c r="AC103" i="4"/>
  <c r="AB103" i="4"/>
  <c r="AA103" i="4"/>
  <c r="AP168" i="4"/>
  <c r="Y168" i="4" s="1"/>
  <c r="AN168" i="4"/>
  <c r="AJ168" i="4"/>
  <c r="AI168" i="4"/>
  <c r="AH168" i="4"/>
  <c r="AF168" i="4"/>
  <c r="AE168" i="4"/>
  <c r="AC168" i="4"/>
  <c r="AB168" i="4"/>
  <c r="AA168" i="4"/>
  <c r="AP167" i="4"/>
  <c r="Y167" i="4" s="1"/>
  <c r="AN167" i="4"/>
  <c r="AJ167" i="4"/>
  <c r="AI167" i="4"/>
  <c r="AH167" i="4"/>
  <c r="AF167" i="4"/>
  <c r="AE167" i="4"/>
  <c r="AC167" i="4"/>
  <c r="AB167" i="4"/>
  <c r="AA167" i="4"/>
  <c r="AP166" i="4"/>
  <c r="Y166" i="4" s="1"/>
  <c r="AN166" i="4"/>
  <c r="AK166" i="4"/>
  <c r="AJ166" i="4"/>
  <c r="AI166" i="4"/>
  <c r="AH166" i="4"/>
  <c r="AF166" i="4"/>
  <c r="AE166" i="4"/>
  <c r="AC166" i="4"/>
  <c r="AB166" i="4"/>
  <c r="AA166" i="4"/>
  <c r="AP165" i="4"/>
  <c r="Y165" i="4" s="1"/>
  <c r="AN165" i="4"/>
  <c r="AK165" i="4"/>
  <c r="AJ165" i="4"/>
  <c r="AI165" i="4"/>
  <c r="AH165" i="4"/>
  <c r="AF165" i="4"/>
  <c r="AE165" i="4"/>
  <c r="AC165" i="4"/>
  <c r="AB165" i="4"/>
  <c r="AA165" i="4"/>
  <c r="AP116" i="4"/>
  <c r="Y116" i="4" s="1"/>
  <c r="AN116" i="4"/>
  <c r="AJ116" i="4"/>
  <c r="AI116" i="4"/>
  <c r="AH116" i="4"/>
  <c r="AF116" i="4"/>
  <c r="AE116" i="4"/>
  <c r="AC116" i="4"/>
  <c r="AB116" i="4"/>
  <c r="AA116" i="4"/>
  <c r="AP164" i="4"/>
  <c r="AQ164" i="4" s="1"/>
  <c r="AN164" i="4"/>
  <c r="AJ164" i="4"/>
  <c r="AI164" i="4"/>
  <c r="AH164" i="4"/>
  <c r="AF164" i="4"/>
  <c r="AE164" i="4"/>
  <c r="AC164" i="4"/>
  <c r="AB164" i="4"/>
  <c r="AA164" i="4"/>
  <c r="AP51" i="4"/>
  <c r="Y51" i="4" s="1"/>
  <c r="AN51" i="4"/>
  <c r="AK51" i="4"/>
  <c r="AJ51" i="4"/>
  <c r="AI51" i="4"/>
  <c r="AH51" i="4"/>
  <c r="AF51" i="4"/>
  <c r="AE51" i="4"/>
  <c r="AC51" i="4"/>
  <c r="AB51" i="4"/>
  <c r="AA51" i="4"/>
  <c r="AP38" i="4"/>
  <c r="Y38" i="4" s="1"/>
  <c r="AN38" i="4"/>
  <c r="AJ38" i="4"/>
  <c r="AI38" i="4"/>
  <c r="AH38" i="4"/>
  <c r="AF38" i="4"/>
  <c r="AE38" i="4"/>
  <c r="AC38" i="4"/>
  <c r="AB38" i="4"/>
  <c r="AA38" i="4"/>
  <c r="AP163" i="4"/>
  <c r="Y163" i="4" s="1"/>
  <c r="AN163" i="4"/>
  <c r="AJ163" i="4"/>
  <c r="AI163" i="4"/>
  <c r="AH163" i="4"/>
  <c r="AF163" i="4"/>
  <c r="AE163" i="4"/>
  <c r="AC163" i="4"/>
  <c r="AB163" i="4"/>
  <c r="AA163" i="4"/>
  <c r="AP162" i="4"/>
  <c r="AQ162" i="4" s="1"/>
  <c r="AN162" i="4"/>
  <c r="AJ162" i="4"/>
  <c r="AI162" i="4"/>
  <c r="AH162" i="4"/>
  <c r="AF162" i="4"/>
  <c r="AE162" i="4"/>
  <c r="AC162" i="4"/>
  <c r="AB162" i="4"/>
  <c r="AA162" i="4"/>
  <c r="AP99" i="4"/>
  <c r="AQ99" i="4" s="1"/>
  <c r="AN99" i="4"/>
  <c r="AJ99" i="4"/>
  <c r="AI99" i="4"/>
  <c r="AH99" i="4"/>
  <c r="AF99" i="4"/>
  <c r="AE99" i="4"/>
  <c r="AC99" i="4"/>
  <c r="AB99" i="4"/>
  <c r="AA99" i="4"/>
  <c r="AP161" i="4"/>
  <c r="AQ161" i="4" s="1"/>
  <c r="AN161" i="4"/>
  <c r="AJ161" i="4"/>
  <c r="AI161" i="4"/>
  <c r="AH161" i="4"/>
  <c r="AF161" i="4"/>
  <c r="AE161" i="4"/>
  <c r="AC161" i="4"/>
  <c r="AB161" i="4"/>
  <c r="AA161" i="4"/>
  <c r="AP160" i="4"/>
  <c r="Y160" i="4" s="1"/>
  <c r="AN160" i="4"/>
  <c r="AJ160" i="4"/>
  <c r="AI160" i="4"/>
  <c r="AH160" i="4"/>
  <c r="AF160" i="4"/>
  <c r="AE160" i="4"/>
  <c r="AC160" i="4"/>
  <c r="AB160" i="4"/>
  <c r="AA160" i="4"/>
  <c r="AP98" i="4"/>
  <c r="AQ98" i="4" s="1"/>
  <c r="AN98" i="4"/>
  <c r="AJ98" i="4"/>
  <c r="AI98" i="4"/>
  <c r="AH98" i="4"/>
  <c r="AF98" i="4"/>
  <c r="AE98" i="4"/>
  <c r="AC98" i="4"/>
  <c r="AB98" i="4"/>
  <c r="AA98" i="4"/>
  <c r="AP97" i="4"/>
  <c r="Y97" i="4" s="1"/>
  <c r="AN97" i="4"/>
  <c r="AK97" i="4"/>
  <c r="AJ97" i="4"/>
  <c r="AI97" i="4"/>
  <c r="AH97" i="4"/>
  <c r="AF97" i="4"/>
  <c r="AE97" i="4"/>
  <c r="AC97" i="4"/>
  <c r="AB97" i="4"/>
  <c r="AA97" i="4"/>
  <c r="AP159" i="4"/>
  <c r="AQ159" i="4" s="1"/>
  <c r="AN159" i="4"/>
  <c r="AJ159" i="4"/>
  <c r="AI159" i="4"/>
  <c r="AH159" i="4"/>
  <c r="AF159" i="4"/>
  <c r="AE159" i="4"/>
  <c r="AC159" i="4"/>
  <c r="AB159" i="4"/>
  <c r="AA159" i="4"/>
  <c r="AP121" i="4"/>
  <c r="Y121" i="4" s="1"/>
  <c r="AN121" i="4"/>
  <c r="AJ121" i="4"/>
  <c r="AI121" i="4"/>
  <c r="AH121" i="4"/>
  <c r="AF121" i="4"/>
  <c r="AE121" i="4"/>
  <c r="AC121" i="4"/>
  <c r="AB121" i="4"/>
  <c r="AA121" i="4"/>
  <c r="AP96" i="4"/>
  <c r="Y96" i="4" s="1"/>
  <c r="AN96" i="4"/>
  <c r="AK96" i="4"/>
  <c r="AJ96" i="4"/>
  <c r="AI96" i="4"/>
  <c r="AH96" i="4"/>
  <c r="AF96" i="4"/>
  <c r="AE96" i="4"/>
  <c r="AC96" i="4"/>
  <c r="AB96" i="4"/>
  <c r="AA96" i="4"/>
  <c r="AP95" i="4"/>
  <c r="AQ95" i="4" s="1"/>
  <c r="AN95" i="4"/>
  <c r="AK95" i="4"/>
  <c r="AJ95" i="4"/>
  <c r="AI95" i="4"/>
  <c r="AH95" i="4"/>
  <c r="AF95" i="4"/>
  <c r="AE95" i="4"/>
  <c r="AC95" i="4"/>
  <c r="AB95" i="4"/>
  <c r="AA95" i="4"/>
  <c r="AP158" i="4"/>
  <c r="Y158" i="4" s="1"/>
  <c r="AN158" i="4"/>
  <c r="AJ158" i="4"/>
  <c r="AI158" i="4"/>
  <c r="AH158" i="4"/>
  <c r="AF158" i="4"/>
  <c r="AE158" i="4"/>
  <c r="AC158" i="4"/>
  <c r="AB158" i="4"/>
  <c r="AA158" i="4"/>
  <c r="AP157" i="4"/>
  <c r="AQ157" i="4" s="1"/>
  <c r="AN157" i="4"/>
  <c r="AK157" i="4"/>
  <c r="AJ157" i="4"/>
  <c r="AI157" i="4"/>
  <c r="AH157" i="4"/>
  <c r="AF157" i="4"/>
  <c r="AE157" i="4"/>
  <c r="AC157" i="4"/>
  <c r="AB157" i="4"/>
  <c r="AA157" i="4"/>
  <c r="AP94" i="4"/>
  <c r="Y94" i="4" s="1"/>
  <c r="AN94" i="4"/>
  <c r="AK94" i="4"/>
  <c r="AJ94" i="4"/>
  <c r="AI94" i="4"/>
  <c r="AH94" i="4"/>
  <c r="AF94" i="4"/>
  <c r="AE94" i="4"/>
  <c r="AC94" i="4"/>
  <c r="AB94" i="4"/>
  <c r="AA94" i="4"/>
  <c r="AP156" i="4"/>
  <c r="AQ156" i="4" s="1"/>
  <c r="AN156" i="4"/>
  <c r="AK156" i="4"/>
  <c r="AJ156" i="4"/>
  <c r="AI156" i="4"/>
  <c r="AH156" i="4"/>
  <c r="AF156" i="4"/>
  <c r="AE156" i="4"/>
  <c r="AC156" i="4"/>
  <c r="AB156" i="4"/>
  <c r="AA156" i="4"/>
  <c r="AP155" i="4"/>
  <c r="Y155" i="4" s="1"/>
  <c r="AN155" i="4"/>
  <c r="AJ155" i="4"/>
  <c r="AI155" i="4"/>
  <c r="AH155" i="4"/>
  <c r="AF155" i="4"/>
  <c r="AE155" i="4"/>
  <c r="AC155" i="4"/>
  <c r="AB155" i="4"/>
  <c r="AA155" i="4"/>
  <c r="AP154" i="4"/>
  <c r="AQ154" i="4" s="1"/>
  <c r="AN154" i="4"/>
  <c r="AJ154" i="4"/>
  <c r="AI154" i="4"/>
  <c r="AH154" i="4"/>
  <c r="AF154" i="4"/>
  <c r="AE154" i="4"/>
  <c r="AC154" i="4"/>
  <c r="AB154" i="4"/>
  <c r="AA154" i="4"/>
  <c r="AP169" i="4"/>
  <c r="AQ169" i="4" s="1"/>
  <c r="AN169" i="4"/>
  <c r="AJ169" i="4"/>
  <c r="AI169" i="4"/>
  <c r="AH169" i="4"/>
  <c r="AF169" i="4"/>
  <c r="AE169" i="4"/>
  <c r="AC169" i="4"/>
  <c r="AB169" i="4"/>
  <c r="AA169" i="4"/>
  <c r="AP128" i="4"/>
  <c r="Y128" i="4" s="1"/>
  <c r="AN128" i="4"/>
  <c r="AK128" i="4"/>
  <c r="AJ128" i="4"/>
  <c r="AI128" i="4"/>
  <c r="AH128" i="4"/>
  <c r="AF128" i="4"/>
  <c r="AE128" i="4"/>
  <c r="AC128" i="4"/>
  <c r="AB128" i="4"/>
  <c r="AA128" i="4"/>
  <c r="AP153" i="4"/>
  <c r="AQ153" i="4" s="1"/>
  <c r="AN153" i="4"/>
  <c r="AK153" i="4"/>
  <c r="AJ153" i="4"/>
  <c r="AI153" i="4"/>
  <c r="AH153" i="4"/>
  <c r="AF153" i="4"/>
  <c r="AE153" i="4"/>
  <c r="AC153" i="4"/>
  <c r="AB153" i="4"/>
  <c r="AA153" i="4"/>
  <c r="AP152" i="4"/>
  <c r="AQ152" i="4" s="1"/>
  <c r="AN152" i="4"/>
  <c r="AJ152" i="4"/>
  <c r="AI152" i="4"/>
  <c r="AH152" i="4"/>
  <c r="AF152" i="4"/>
  <c r="AE152" i="4"/>
  <c r="AC152" i="4"/>
  <c r="AB152" i="4"/>
  <c r="AA152" i="4"/>
  <c r="AP151" i="4"/>
  <c r="AQ151" i="4" s="1"/>
  <c r="AN151" i="4"/>
  <c r="AJ151" i="4"/>
  <c r="AI151" i="4"/>
  <c r="AH151" i="4"/>
  <c r="AF151" i="4"/>
  <c r="AE151" i="4"/>
  <c r="AC151" i="4"/>
  <c r="AB151" i="4"/>
  <c r="AA151" i="4"/>
  <c r="AP150" i="4"/>
  <c r="AQ150" i="4" s="1"/>
  <c r="AN150" i="4"/>
  <c r="AJ150" i="4"/>
  <c r="AI150" i="4"/>
  <c r="AH150" i="4"/>
  <c r="AF150" i="4"/>
  <c r="AE150" i="4"/>
  <c r="AC150" i="4"/>
  <c r="AB150" i="4"/>
  <c r="AA150" i="4"/>
  <c r="AP106" i="4"/>
  <c r="Y106" i="4" s="1"/>
  <c r="AN106" i="4"/>
  <c r="AK106" i="4"/>
  <c r="AJ106" i="4"/>
  <c r="AI106" i="4"/>
  <c r="AH106" i="4"/>
  <c r="AF106" i="4"/>
  <c r="AE106" i="4"/>
  <c r="AC106" i="4"/>
  <c r="AB106" i="4"/>
  <c r="AA106" i="4"/>
  <c r="AP148" i="4"/>
  <c r="Y148" i="4" s="1"/>
  <c r="AN148" i="4"/>
  <c r="AK148" i="4"/>
  <c r="AJ148" i="4"/>
  <c r="AI148" i="4"/>
  <c r="AH148" i="4"/>
  <c r="AF148" i="4"/>
  <c r="AE148" i="4"/>
  <c r="AC148" i="4"/>
  <c r="AB148" i="4"/>
  <c r="AA148" i="4"/>
  <c r="AP120" i="4"/>
  <c r="Y120" i="4" s="1"/>
  <c r="AN120" i="4"/>
  <c r="AK120" i="4"/>
  <c r="AJ120" i="4"/>
  <c r="AI120" i="4"/>
  <c r="AH120" i="4"/>
  <c r="AF120" i="4"/>
  <c r="AE120" i="4"/>
  <c r="AC120" i="4"/>
  <c r="AB120" i="4"/>
  <c r="AA120" i="4"/>
  <c r="AP93" i="4"/>
  <c r="Y93" i="4" s="1"/>
  <c r="AN93" i="4"/>
  <c r="AK93" i="4"/>
  <c r="AJ93" i="4"/>
  <c r="AI93" i="4"/>
  <c r="AH93" i="4"/>
  <c r="AF93" i="4"/>
  <c r="AE93" i="4"/>
  <c r="AC93" i="4"/>
  <c r="AB93" i="4"/>
  <c r="AA93" i="4"/>
  <c r="AP147" i="4"/>
  <c r="Y147" i="4" s="1"/>
  <c r="AN147" i="4"/>
  <c r="AJ147" i="4"/>
  <c r="AI147" i="4"/>
  <c r="AH147" i="4"/>
  <c r="AF147" i="4"/>
  <c r="AE147" i="4"/>
  <c r="AC147" i="4"/>
  <c r="AB147" i="4"/>
  <c r="AA147" i="4"/>
  <c r="AP92" i="4"/>
  <c r="AQ92" i="4" s="1"/>
  <c r="AN92" i="4"/>
  <c r="AJ92" i="4"/>
  <c r="AI92" i="4"/>
  <c r="AH92" i="4"/>
  <c r="AF92" i="4"/>
  <c r="AE92" i="4"/>
  <c r="AC92" i="4"/>
  <c r="AB92" i="4"/>
  <c r="AA92" i="4"/>
  <c r="AP146" i="4"/>
  <c r="Y146" i="4" s="1"/>
  <c r="AN146" i="4"/>
  <c r="AJ146" i="4"/>
  <c r="AI146" i="4"/>
  <c r="AH146" i="4"/>
  <c r="AF146" i="4"/>
  <c r="AE146" i="4"/>
  <c r="AC146" i="4"/>
  <c r="AB146" i="4"/>
  <c r="AA146" i="4"/>
  <c r="AP91" i="4"/>
  <c r="Y91" i="4" s="1"/>
  <c r="AN91" i="4"/>
  <c r="AJ91" i="4"/>
  <c r="AI91" i="4"/>
  <c r="AH91" i="4"/>
  <c r="AF91" i="4"/>
  <c r="AE91" i="4"/>
  <c r="AC91" i="4"/>
  <c r="AB91" i="4"/>
  <c r="AA91" i="4"/>
  <c r="AP127" i="4"/>
  <c r="AQ127" i="4" s="1"/>
  <c r="AN127" i="4"/>
  <c r="AJ127" i="4"/>
  <c r="AI127" i="4"/>
  <c r="AH127" i="4"/>
  <c r="AF127" i="4"/>
  <c r="AE127" i="4"/>
  <c r="AC127" i="4"/>
  <c r="AB127" i="4"/>
  <c r="AA127" i="4"/>
  <c r="AP145" i="4"/>
  <c r="AQ145" i="4" s="1"/>
  <c r="AN145" i="4"/>
  <c r="AJ145" i="4"/>
  <c r="AI145" i="4"/>
  <c r="AH145" i="4"/>
  <c r="AF145" i="4"/>
  <c r="AE145" i="4"/>
  <c r="AC145" i="4"/>
  <c r="AB145" i="4"/>
  <c r="AA145" i="4"/>
  <c r="AP89" i="4"/>
  <c r="AQ89" i="4" s="1"/>
  <c r="AN89" i="4"/>
  <c r="AJ89" i="4"/>
  <c r="AI89" i="4"/>
  <c r="AH89" i="4"/>
  <c r="AF89" i="4"/>
  <c r="AE89" i="4"/>
  <c r="AC89" i="4"/>
  <c r="AB89" i="4"/>
  <c r="AA89" i="4"/>
  <c r="AP90" i="4"/>
  <c r="Y90" i="4" s="1"/>
  <c r="AN90" i="4"/>
  <c r="AJ90" i="4"/>
  <c r="AI90" i="4"/>
  <c r="AH90" i="4"/>
  <c r="AF90" i="4"/>
  <c r="AE90" i="4"/>
  <c r="AC90" i="4"/>
  <c r="AB90" i="4"/>
  <c r="AA90" i="4"/>
  <c r="AP88" i="4"/>
  <c r="Y88" i="4" s="1"/>
  <c r="AN88" i="4"/>
  <c r="AK88" i="4"/>
  <c r="AJ88" i="4"/>
  <c r="AI88" i="4"/>
  <c r="AH88" i="4"/>
  <c r="AF88" i="4"/>
  <c r="AE88" i="4"/>
  <c r="AC88" i="4"/>
  <c r="AB88" i="4"/>
  <c r="AA88" i="4"/>
  <c r="AP143" i="4"/>
  <c r="AQ143" i="4" s="1"/>
  <c r="AN143" i="4"/>
  <c r="AK143" i="4"/>
  <c r="AJ143" i="4"/>
  <c r="AI143" i="4"/>
  <c r="AH143" i="4"/>
  <c r="AF143" i="4"/>
  <c r="AE143" i="4"/>
  <c r="AC143" i="4"/>
  <c r="AB143" i="4"/>
  <c r="AA143" i="4"/>
  <c r="AP142" i="4"/>
  <c r="AQ142" i="4" s="1"/>
  <c r="AN142" i="4"/>
  <c r="AK142" i="4"/>
  <c r="AJ142" i="4"/>
  <c r="AI142" i="4"/>
  <c r="AH142" i="4"/>
  <c r="AF142" i="4"/>
  <c r="AE142" i="4"/>
  <c r="AC142" i="4"/>
  <c r="AB142" i="4"/>
  <c r="AA142" i="4"/>
  <c r="AP141" i="4"/>
  <c r="AQ141" i="4" s="1"/>
  <c r="AN141" i="4"/>
  <c r="AK141" i="4"/>
  <c r="AJ141" i="4"/>
  <c r="AI141" i="4"/>
  <c r="AH141" i="4"/>
  <c r="AF141" i="4"/>
  <c r="AE141" i="4"/>
  <c r="AC141" i="4"/>
  <c r="AB141" i="4"/>
  <c r="AA141" i="4"/>
  <c r="AP140" i="4"/>
  <c r="AQ140" i="4" s="1"/>
  <c r="AN140" i="4"/>
  <c r="AJ140" i="4"/>
  <c r="AI140" i="4"/>
  <c r="AH140" i="4"/>
  <c r="AF140" i="4"/>
  <c r="AE140" i="4"/>
  <c r="AC140" i="4"/>
  <c r="AB140" i="4"/>
  <c r="AA140" i="4"/>
  <c r="AP115" i="4"/>
  <c r="Y115" i="4" s="1"/>
  <c r="AN115" i="4"/>
  <c r="AJ115" i="4"/>
  <c r="AI115" i="4"/>
  <c r="AH115" i="4"/>
  <c r="AF115" i="4"/>
  <c r="AE115" i="4"/>
  <c r="AC115" i="4"/>
  <c r="AB115" i="4"/>
  <c r="AA115" i="4"/>
  <c r="AP139" i="4"/>
  <c r="AQ139" i="4" s="1"/>
  <c r="AN139" i="4"/>
  <c r="AJ139" i="4"/>
  <c r="AI139" i="4"/>
  <c r="AH139" i="4"/>
  <c r="AF139" i="4"/>
  <c r="AE139" i="4"/>
  <c r="AC139" i="4"/>
  <c r="AB139" i="4"/>
  <c r="AA139" i="4"/>
  <c r="AP138" i="4"/>
  <c r="Y138" i="4" s="1"/>
  <c r="AN138" i="4"/>
  <c r="AJ138" i="4"/>
  <c r="AI138" i="4"/>
  <c r="AH138" i="4"/>
  <c r="AF138" i="4"/>
  <c r="AE138" i="4"/>
  <c r="AC138" i="4"/>
  <c r="AB138" i="4"/>
  <c r="AA138" i="4"/>
  <c r="AP144" i="4"/>
  <c r="Y144" i="4" s="1"/>
  <c r="AN144" i="4"/>
  <c r="AK144" i="4"/>
  <c r="AJ144" i="4"/>
  <c r="AI144" i="4"/>
  <c r="AH144" i="4"/>
  <c r="AF144" i="4"/>
  <c r="AE144" i="4"/>
  <c r="AC144" i="4"/>
  <c r="AB144" i="4"/>
  <c r="AA144" i="4"/>
  <c r="AP137" i="4"/>
  <c r="Y137" i="4" s="1"/>
  <c r="AN137" i="4"/>
  <c r="AK137" i="4"/>
  <c r="AJ137" i="4"/>
  <c r="AI137" i="4"/>
  <c r="AH137" i="4"/>
  <c r="AF137" i="4"/>
  <c r="AE137" i="4"/>
  <c r="AC137" i="4"/>
  <c r="AB137" i="4"/>
  <c r="AA137" i="4"/>
  <c r="AP136" i="4"/>
  <c r="Y136" i="4" s="1"/>
  <c r="AN136" i="4"/>
  <c r="AK136" i="4"/>
  <c r="AJ136" i="4"/>
  <c r="AI136" i="4"/>
  <c r="AH136" i="4"/>
  <c r="AF136" i="4"/>
  <c r="AE136" i="4"/>
  <c r="AC136" i="4"/>
  <c r="AB136" i="4"/>
  <c r="AA136" i="4"/>
  <c r="AP129" i="4"/>
  <c r="AQ129" i="4" s="1"/>
  <c r="AN129" i="4"/>
  <c r="AK129" i="4"/>
  <c r="AJ129" i="4"/>
  <c r="AI129" i="4"/>
  <c r="AH129" i="4"/>
  <c r="AF129" i="4"/>
  <c r="AE129" i="4"/>
  <c r="AC129" i="4"/>
  <c r="AB129" i="4"/>
  <c r="AA129" i="4"/>
  <c r="AP135" i="4"/>
  <c r="AQ135" i="4" s="1"/>
  <c r="AN135" i="4"/>
  <c r="AJ135" i="4"/>
  <c r="AI135" i="4"/>
  <c r="AH135" i="4"/>
  <c r="AF135" i="4"/>
  <c r="AE135" i="4"/>
  <c r="AC135" i="4"/>
  <c r="AB135" i="4"/>
  <c r="AA135" i="4"/>
  <c r="AP134" i="4"/>
  <c r="Y134" i="4" s="1"/>
  <c r="AN134" i="4"/>
  <c r="AJ134" i="4"/>
  <c r="AI134" i="4"/>
  <c r="AH134" i="4"/>
  <c r="AF134" i="4"/>
  <c r="AE134" i="4"/>
  <c r="AC134" i="4"/>
  <c r="AB134" i="4"/>
  <c r="AA134" i="4"/>
  <c r="AP87" i="4"/>
  <c r="AQ87" i="4" s="1"/>
  <c r="AN87" i="4"/>
  <c r="AJ87" i="4"/>
  <c r="AI87" i="4"/>
  <c r="AH87" i="4"/>
  <c r="AF87" i="4"/>
  <c r="AE87" i="4"/>
  <c r="AC87" i="4"/>
  <c r="AB87" i="4"/>
  <c r="AA87" i="4"/>
  <c r="AP133" i="4"/>
  <c r="AQ133" i="4" s="1"/>
  <c r="AN133" i="4"/>
  <c r="AK133" i="4"/>
  <c r="AJ133" i="4"/>
  <c r="AI133" i="4"/>
  <c r="AH133" i="4"/>
  <c r="AF133" i="4"/>
  <c r="AE133" i="4"/>
  <c r="AC133" i="4"/>
  <c r="AB133" i="4"/>
  <c r="AA133" i="4"/>
  <c r="AP149" i="4"/>
  <c r="Y149" i="4" s="1"/>
  <c r="AN149" i="4"/>
  <c r="AK149" i="4"/>
  <c r="AJ149" i="4"/>
  <c r="AI149" i="4"/>
  <c r="AH149" i="4"/>
  <c r="AF149" i="4"/>
  <c r="AE149" i="4"/>
  <c r="AC149" i="4"/>
  <c r="AB149" i="4"/>
  <c r="AA149" i="4"/>
  <c r="AP86" i="4"/>
  <c r="Y86" i="4" s="1"/>
  <c r="AN86" i="4"/>
  <c r="AK86" i="4"/>
  <c r="AJ86" i="4"/>
  <c r="AI86" i="4"/>
  <c r="AH86" i="4"/>
  <c r="AF86" i="4"/>
  <c r="AE86" i="4"/>
  <c r="AC86" i="4"/>
  <c r="AB86" i="4"/>
  <c r="AA86" i="4"/>
  <c r="AP123" i="4"/>
  <c r="Y123" i="4" s="1"/>
  <c r="AN123" i="4"/>
  <c r="AK123" i="4"/>
  <c r="AJ123" i="4"/>
  <c r="AI123" i="4"/>
  <c r="AH123" i="4"/>
  <c r="AF123" i="4"/>
  <c r="AE123" i="4"/>
  <c r="AC123" i="4"/>
  <c r="AB123" i="4"/>
  <c r="AA123" i="4"/>
  <c r="AP131" i="4"/>
  <c r="Y131" i="4" s="1"/>
  <c r="AN131" i="4"/>
  <c r="AJ131" i="4"/>
  <c r="AI131" i="4"/>
  <c r="AH131" i="4"/>
  <c r="AF131" i="4"/>
  <c r="AE131" i="4"/>
  <c r="AC131" i="4"/>
  <c r="AB131" i="4"/>
  <c r="AA131" i="4"/>
  <c r="AP2" i="4"/>
  <c r="Y2" i="4" s="1"/>
  <c r="AN2" i="4"/>
  <c r="AK2" i="4"/>
  <c r="AJ2" i="4"/>
  <c r="AI2" i="4"/>
  <c r="AH2" i="4"/>
  <c r="AF2" i="4"/>
  <c r="AE2" i="4"/>
  <c r="AC2" i="4"/>
  <c r="AB2" i="4"/>
  <c r="AA2" i="4"/>
  <c r="AP130" i="4"/>
  <c r="Y130" i="4" s="1"/>
  <c r="AN130" i="4"/>
  <c r="AK130" i="4"/>
  <c r="AJ130" i="4"/>
  <c r="AI130" i="4"/>
  <c r="AH130" i="4"/>
  <c r="AF130" i="4"/>
  <c r="AE130" i="4"/>
  <c r="AC130" i="4"/>
  <c r="AB130" i="4"/>
  <c r="AA130" i="4"/>
  <c r="AP110" i="4"/>
  <c r="AQ110" i="4" s="1"/>
  <c r="AN110" i="4"/>
  <c r="AK110" i="4"/>
  <c r="AJ110" i="4"/>
  <c r="AI110" i="4"/>
  <c r="AH110" i="4"/>
  <c r="AF110" i="4"/>
  <c r="AE110" i="4"/>
  <c r="AC110" i="4"/>
  <c r="AB110" i="4"/>
  <c r="AA110" i="4"/>
  <c r="AP112" i="4"/>
  <c r="Y112" i="4" s="1"/>
  <c r="AN112" i="4"/>
  <c r="AK112" i="4"/>
  <c r="AJ112" i="4"/>
  <c r="AI112" i="4"/>
  <c r="AH112" i="4"/>
  <c r="AF112" i="4"/>
  <c r="AE112" i="4"/>
  <c r="AC112" i="4"/>
  <c r="AB112" i="4"/>
  <c r="AA112" i="4"/>
  <c r="AP8" i="4"/>
  <c r="AQ8" i="4" s="1"/>
  <c r="AN8" i="4"/>
  <c r="AK8" i="4"/>
  <c r="AJ8" i="4"/>
  <c r="AI8" i="4"/>
  <c r="AH8" i="4"/>
  <c r="AF8" i="4"/>
  <c r="AE8" i="4"/>
  <c r="AC8" i="4"/>
  <c r="AB8" i="4"/>
  <c r="AA8" i="4"/>
  <c r="AP53" i="4"/>
  <c r="AQ53" i="4" s="1"/>
  <c r="AN53" i="4"/>
  <c r="AK53" i="4"/>
  <c r="AJ53" i="4"/>
  <c r="AI53" i="4"/>
  <c r="AH53" i="4"/>
  <c r="AF53" i="4"/>
  <c r="AE53" i="4"/>
  <c r="AC53" i="4"/>
  <c r="AB53" i="4"/>
  <c r="AA53" i="4"/>
  <c r="AP77" i="4"/>
  <c r="Y77" i="4" s="1"/>
  <c r="AN77" i="4"/>
  <c r="AK77" i="4"/>
  <c r="AJ77" i="4"/>
  <c r="AI77" i="4"/>
  <c r="AH77" i="4"/>
  <c r="AF77" i="4"/>
  <c r="AE77" i="4"/>
  <c r="AC77" i="4"/>
  <c r="AB77" i="4"/>
  <c r="AA77" i="4"/>
  <c r="AP48" i="4"/>
  <c r="Y48" i="4" s="1"/>
  <c r="AN48" i="4"/>
  <c r="AK48" i="4"/>
  <c r="AJ48" i="4"/>
  <c r="AI48" i="4"/>
  <c r="AH48" i="4"/>
  <c r="AF48" i="4"/>
  <c r="AE48" i="4"/>
  <c r="AC48" i="4"/>
  <c r="AB48" i="4"/>
  <c r="AP7" i="4"/>
  <c r="Y7" i="4" s="1"/>
  <c r="AN7" i="4"/>
  <c r="AJ7" i="4"/>
  <c r="AI7" i="4"/>
  <c r="AH7" i="4"/>
  <c r="AF7" i="4"/>
  <c r="AE7" i="4"/>
  <c r="AC7" i="4"/>
  <c r="AB7" i="4"/>
  <c r="AA7" i="4"/>
  <c r="AP132" i="4"/>
  <c r="AQ132" i="4" s="1"/>
  <c r="AN132" i="4"/>
  <c r="AK132" i="4"/>
  <c r="AJ132" i="4"/>
  <c r="AI132" i="4"/>
  <c r="AH132" i="4"/>
  <c r="AF132" i="4"/>
  <c r="AE132" i="4"/>
  <c r="AC132" i="4"/>
  <c r="AB132" i="4"/>
  <c r="AA132" i="4"/>
  <c r="AP126" i="4"/>
  <c r="AQ126" i="4" s="1"/>
  <c r="AN126" i="4"/>
  <c r="AK126" i="4"/>
  <c r="AJ126" i="4"/>
  <c r="AI126" i="4"/>
  <c r="AH126" i="4"/>
  <c r="AF126" i="4"/>
  <c r="AE126" i="4"/>
  <c r="AC126" i="4"/>
  <c r="AB126" i="4"/>
  <c r="AA126" i="4"/>
  <c r="AP125" i="4"/>
  <c r="AQ125" i="4" s="1"/>
  <c r="AN125" i="4"/>
  <c r="AK125" i="4"/>
  <c r="AJ125" i="4"/>
  <c r="AI125" i="4"/>
  <c r="AH125" i="4"/>
  <c r="AF125" i="4"/>
  <c r="AE125" i="4"/>
  <c r="AC125" i="4"/>
  <c r="AB125" i="4"/>
  <c r="AA125" i="4"/>
  <c r="AP124" i="4"/>
  <c r="Y124" i="4" s="1"/>
  <c r="AN124" i="4"/>
  <c r="AK124" i="4"/>
  <c r="AJ124" i="4"/>
  <c r="AI124" i="4"/>
  <c r="AH124" i="4"/>
  <c r="AF124" i="4"/>
  <c r="AE124" i="4"/>
  <c r="AC124" i="4"/>
  <c r="AB124" i="4"/>
  <c r="AA124" i="4"/>
  <c r="AP13" i="4"/>
  <c r="Y13" i="4" s="1"/>
  <c r="AN13" i="4"/>
  <c r="AK13" i="4"/>
  <c r="AJ13" i="4"/>
  <c r="AI13" i="4"/>
  <c r="AH13" i="4"/>
  <c r="AF13" i="4"/>
  <c r="AE13" i="4"/>
  <c r="AC13" i="4"/>
  <c r="AB13" i="4"/>
  <c r="AA13" i="4"/>
  <c r="AP67" i="4"/>
  <c r="Y67" i="4" s="1"/>
  <c r="AN67" i="4"/>
  <c r="AK67" i="4"/>
  <c r="AJ67" i="4"/>
  <c r="AI67" i="4"/>
  <c r="AH67" i="4"/>
  <c r="AF67" i="4"/>
  <c r="AE67" i="4"/>
  <c r="AC67" i="4"/>
  <c r="AB67" i="4"/>
  <c r="AA67" i="4"/>
  <c r="AP122" i="4"/>
  <c r="Y122" i="4" s="1"/>
  <c r="AN122" i="4"/>
  <c r="AK122" i="4"/>
  <c r="AJ122" i="4"/>
  <c r="AI122" i="4"/>
  <c r="AH122" i="4"/>
  <c r="AF122" i="4"/>
  <c r="AE122" i="4"/>
  <c r="AC122" i="4"/>
  <c r="AB122" i="4"/>
  <c r="AA122" i="4"/>
  <c r="AP107" i="4"/>
  <c r="Y107" i="4" s="1"/>
  <c r="AN107" i="4"/>
  <c r="AK107" i="4"/>
  <c r="AJ107" i="4"/>
  <c r="AI107" i="4"/>
  <c r="AH107" i="4"/>
  <c r="AF107" i="4"/>
  <c r="AE107" i="4"/>
  <c r="AC107" i="4"/>
  <c r="AB107" i="4"/>
  <c r="AA107" i="4"/>
  <c r="AP34" i="4"/>
  <c r="Y34" i="4" s="1"/>
  <c r="AN34" i="4"/>
  <c r="AK34" i="4"/>
  <c r="AJ34" i="4"/>
  <c r="AI34" i="4"/>
  <c r="AH34" i="4"/>
  <c r="AF34" i="4"/>
  <c r="AE34" i="4"/>
  <c r="AC34" i="4"/>
  <c r="AB34" i="4"/>
  <c r="AA34" i="4"/>
  <c r="AP119" i="4"/>
  <c r="Y119" i="4" s="1"/>
  <c r="AN119" i="4"/>
  <c r="AK119" i="4"/>
  <c r="AJ119" i="4"/>
  <c r="AI119" i="4"/>
  <c r="AH119" i="4"/>
  <c r="AF119" i="4"/>
  <c r="AE119" i="4"/>
  <c r="AC119" i="4"/>
  <c r="AB119" i="4"/>
  <c r="AA119" i="4"/>
  <c r="AP109" i="4"/>
  <c r="Y109" i="4" s="1"/>
  <c r="AN109" i="4"/>
  <c r="AK109" i="4"/>
  <c r="AJ109" i="4"/>
  <c r="AI109" i="4"/>
  <c r="AH109" i="4"/>
  <c r="AF109" i="4"/>
  <c r="AE109" i="4"/>
  <c r="AC109" i="4"/>
  <c r="AB109" i="4"/>
  <c r="AA109" i="4"/>
  <c r="AP118" i="4"/>
  <c r="Y118" i="4" s="1"/>
  <c r="AN118" i="4"/>
  <c r="AK118" i="4"/>
  <c r="AJ118" i="4"/>
  <c r="AI118" i="4"/>
  <c r="AH118" i="4"/>
  <c r="AF118" i="4"/>
  <c r="AE118" i="4"/>
  <c r="AC118" i="4"/>
  <c r="AB118" i="4"/>
  <c r="AA118" i="4"/>
  <c r="AP114" i="4"/>
  <c r="AQ114" i="4" s="1"/>
  <c r="AN114" i="4"/>
  <c r="AJ114" i="4"/>
  <c r="AI114" i="4"/>
  <c r="AH114" i="4"/>
  <c r="AF114" i="4"/>
  <c r="AE114" i="4"/>
  <c r="AC114" i="4"/>
  <c r="AB114" i="4"/>
  <c r="AA114" i="4"/>
  <c r="AP74" i="4"/>
  <c r="Y74" i="4" s="1"/>
  <c r="AN74" i="4"/>
  <c r="AK74" i="4"/>
  <c r="AJ74" i="4"/>
  <c r="AI74" i="4"/>
  <c r="AH74" i="4"/>
  <c r="AF74" i="4"/>
  <c r="AE74" i="4"/>
  <c r="AC74" i="4"/>
  <c r="AB74" i="4"/>
  <c r="AA74" i="4"/>
  <c r="AP42" i="4"/>
  <c r="AQ42" i="4" s="1"/>
  <c r="AN42" i="4"/>
  <c r="AK42" i="4"/>
  <c r="AJ42" i="4"/>
  <c r="AI42" i="4"/>
  <c r="AH42" i="4"/>
  <c r="AF42" i="4"/>
  <c r="AE42" i="4"/>
  <c r="AC42" i="4"/>
  <c r="AB42" i="4"/>
  <c r="AA42" i="4"/>
  <c r="AP31" i="4"/>
  <c r="AQ31" i="4" s="1"/>
  <c r="AN31" i="4"/>
  <c r="AK31" i="4"/>
  <c r="AJ31" i="4"/>
  <c r="AI31" i="4"/>
  <c r="AH31" i="4"/>
  <c r="AF31" i="4"/>
  <c r="AE31" i="4"/>
  <c r="AC31" i="4"/>
  <c r="AB31" i="4"/>
  <c r="AA31" i="4"/>
  <c r="AP81" i="4"/>
  <c r="AQ81" i="4" s="1"/>
  <c r="AN81" i="4"/>
  <c r="AK81" i="4"/>
  <c r="AJ81" i="4"/>
  <c r="AI81" i="4"/>
  <c r="AH81" i="4"/>
  <c r="AF81" i="4"/>
  <c r="AE81" i="4"/>
  <c r="AC81" i="4"/>
  <c r="AB81" i="4"/>
  <c r="AA81" i="4"/>
  <c r="AP105" i="4"/>
  <c r="Y105" i="4" s="1"/>
  <c r="AN105" i="4"/>
  <c r="AK105" i="4"/>
  <c r="AJ105" i="4"/>
  <c r="AI105" i="4"/>
  <c r="AH105" i="4"/>
  <c r="AF105" i="4"/>
  <c r="AE105" i="4"/>
  <c r="AC105" i="4"/>
  <c r="AB105" i="4"/>
  <c r="AA105" i="4"/>
  <c r="AP108" i="4"/>
  <c r="Y108" i="4" s="1"/>
  <c r="AN108" i="4"/>
  <c r="AK108" i="4"/>
  <c r="AJ108" i="4"/>
  <c r="AI108" i="4"/>
  <c r="AH108" i="4"/>
  <c r="AF108" i="4"/>
  <c r="AE108" i="4"/>
  <c r="AC108" i="4"/>
  <c r="AB108" i="4"/>
  <c r="AA108" i="4"/>
  <c r="AP3" i="4"/>
  <c r="AQ3" i="4" s="1"/>
  <c r="AN3" i="4"/>
  <c r="AK3" i="4"/>
  <c r="AJ3" i="4"/>
  <c r="AI3" i="4"/>
  <c r="AH3" i="4"/>
  <c r="AF3" i="4"/>
  <c r="AE3" i="4"/>
  <c r="AC3" i="4"/>
  <c r="AB3" i="4"/>
  <c r="AA3" i="4"/>
  <c r="AP75" i="4"/>
  <c r="AQ75" i="4" s="1"/>
  <c r="AN75" i="4"/>
  <c r="AK75" i="4"/>
  <c r="AJ75" i="4"/>
  <c r="AI75" i="4"/>
  <c r="AH75" i="4"/>
  <c r="AF75" i="4"/>
  <c r="AE75" i="4"/>
  <c r="AC75" i="4"/>
  <c r="AB75" i="4"/>
  <c r="AA75" i="4"/>
  <c r="AP117" i="4"/>
  <c r="Y117" i="4" s="1"/>
  <c r="AN117" i="4"/>
  <c r="AK117" i="4"/>
  <c r="AJ117" i="4"/>
  <c r="AI117" i="4"/>
  <c r="AH117" i="4"/>
  <c r="AF117" i="4"/>
  <c r="AE117" i="4"/>
  <c r="AC117" i="4"/>
  <c r="AB117" i="4"/>
  <c r="AA117" i="4"/>
  <c r="AP113" i="4"/>
  <c r="Y113" i="4" s="1"/>
  <c r="AN113" i="4"/>
  <c r="AK113" i="4"/>
  <c r="AJ113" i="4"/>
  <c r="AI113" i="4"/>
  <c r="AH113" i="4"/>
  <c r="AF113" i="4"/>
  <c r="AE113" i="4"/>
  <c r="AC113" i="4"/>
  <c r="AB113" i="4"/>
  <c r="AA113" i="4"/>
  <c r="AP104" i="4"/>
  <c r="Y104" i="4" s="1"/>
  <c r="AN104" i="4"/>
  <c r="AK104" i="4"/>
  <c r="AJ104" i="4"/>
  <c r="AI104" i="4"/>
  <c r="AH104" i="4"/>
  <c r="AF104" i="4"/>
  <c r="AE104" i="4"/>
  <c r="AC104" i="4"/>
  <c r="AB104" i="4"/>
  <c r="AA104" i="4"/>
  <c r="AP101" i="4"/>
  <c r="Y101" i="4" s="1"/>
  <c r="AN101" i="4"/>
  <c r="AK101" i="4"/>
  <c r="AJ101" i="4"/>
  <c r="AI101" i="4"/>
  <c r="AH101" i="4"/>
  <c r="AF101" i="4"/>
  <c r="AE101" i="4"/>
  <c r="AC101" i="4"/>
  <c r="AB101" i="4"/>
  <c r="AA101" i="4"/>
  <c r="AP111" i="4"/>
  <c r="Y111" i="4" s="1"/>
  <c r="AN111" i="4"/>
  <c r="AJ111" i="4"/>
  <c r="AI111" i="4"/>
  <c r="AH111" i="4"/>
  <c r="AF111" i="4"/>
  <c r="AE111" i="4"/>
  <c r="AC111" i="4"/>
  <c r="AB111" i="4"/>
  <c r="AA111" i="4"/>
  <c r="AP100" i="4"/>
  <c r="Y100" i="4" s="1"/>
  <c r="AN100" i="4"/>
  <c r="AK100" i="4"/>
  <c r="AJ100" i="4"/>
  <c r="AI100" i="4"/>
  <c r="AH100" i="4"/>
  <c r="AF100" i="4"/>
  <c r="AE100" i="4"/>
  <c r="AC100" i="4"/>
  <c r="AB100" i="4"/>
  <c r="AA100" i="4"/>
  <c r="AP85" i="4"/>
  <c r="Y85" i="4" s="1"/>
  <c r="AN85" i="4"/>
  <c r="AL85" i="4"/>
  <c r="AK85" i="4" s="1"/>
  <c r="AJ85" i="4"/>
  <c r="AI85" i="4"/>
  <c r="AH85" i="4"/>
  <c r="AF85" i="4"/>
  <c r="AE85" i="4"/>
  <c r="AC85" i="4"/>
  <c r="AB85" i="4"/>
  <c r="AA85" i="4"/>
  <c r="AP84" i="4"/>
  <c r="AQ84" i="4" s="1"/>
  <c r="AN84" i="4"/>
  <c r="AL84" i="4"/>
  <c r="AK84" i="4" s="1"/>
  <c r="AJ84" i="4"/>
  <c r="AI84" i="4"/>
  <c r="AH84" i="4"/>
  <c r="AF84" i="4"/>
  <c r="AE84" i="4"/>
  <c r="AC84" i="4"/>
  <c r="AB84" i="4"/>
  <c r="AA84" i="4"/>
  <c r="AL174" i="4"/>
  <c r="AL37" i="4"/>
  <c r="Z37" i="4"/>
  <c r="AP11" i="4"/>
  <c r="Y11" i="4" s="1"/>
  <c r="AN11" i="4"/>
  <c r="AL11" i="4"/>
  <c r="AK11" i="4" s="1"/>
  <c r="AJ11" i="4"/>
  <c r="AI11" i="4"/>
  <c r="AH11" i="4"/>
  <c r="AF11" i="4"/>
  <c r="AE11" i="4"/>
  <c r="AC11" i="4"/>
  <c r="AB11" i="4"/>
  <c r="AA11" i="4"/>
  <c r="Z11" i="4"/>
  <c r="AP66" i="4"/>
  <c r="Y66" i="4" s="1"/>
  <c r="AN66" i="4"/>
  <c r="AL66" i="4"/>
  <c r="AK66" i="4" s="1"/>
  <c r="AJ66" i="4"/>
  <c r="AI66" i="4"/>
  <c r="AH66" i="4"/>
  <c r="AF66" i="4"/>
  <c r="AE66" i="4"/>
  <c r="AC66" i="4"/>
  <c r="AB66" i="4"/>
  <c r="AA66" i="4"/>
  <c r="Z66" i="4"/>
  <c r="AP43" i="4"/>
  <c r="AQ43" i="4" s="1"/>
  <c r="AN43" i="4"/>
  <c r="AL43" i="4"/>
  <c r="AK43" i="4" s="1"/>
  <c r="AJ43" i="4"/>
  <c r="AI43" i="4"/>
  <c r="AH43" i="4"/>
  <c r="AF43" i="4"/>
  <c r="AE43" i="4"/>
  <c r="AC43" i="4"/>
  <c r="AB43" i="4"/>
  <c r="Z43" i="4"/>
  <c r="AA43" i="4" s="1"/>
  <c r="AP25" i="4"/>
  <c r="Y25" i="4" s="1"/>
  <c r="AO25" i="4"/>
  <c r="AN25" i="4"/>
  <c r="AM25" i="4"/>
  <c r="AL25" i="4"/>
  <c r="AK25" i="4" s="1"/>
  <c r="AJ25" i="4"/>
  <c r="AI25" i="4"/>
  <c r="AH25" i="4"/>
  <c r="AF25" i="4"/>
  <c r="AE25" i="4"/>
  <c r="AD25" i="4"/>
  <c r="AC25" i="4"/>
  <c r="AB25" i="4"/>
  <c r="AA25" i="4"/>
  <c r="Z25" i="4"/>
  <c r="AP64" i="4"/>
  <c r="AQ64" i="4" s="1"/>
  <c r="AO64" i="4"/>
  <c r="AN64" i="4"/>
  <c r="AM64" i="4"/>
  <c r="AL64" i="4"/>
  <c r="AK64" i="4" s="1"/>
  <c r="AJ64" i="4"/>
  <c r="AI64" i="4"/>
  <c r="AH64" i="4"/>
  <c r="AF64" i="4"/>
  <c r="AE64" i="4"/>
  <c r="AD64" i="4"/>
  <c r="AC64" i="4"/>
  <c r="AB64" i="4"/>
  <c r="AA64" i="4"/>
  <c r="Z64" i="4"/>
  <c r="AP83" i="4"/>
  <c r="AQ83" i="4" s="1"/>
  <c r="AO83" i="4"/>
  <c r="AN83" i="4"/>
  <c r="AM83" i="4"/>
  <c r="AL83" i="4"/>
  <c r="AK83" i="4" s="1"/>
  <c r="AJ83" i="4"/>
  <c r="AI83" i="4"/>
  <c r="AH83" i="4"/>
  <c r="AF83" i="4"/>
  <c r="AE83" i="4"/>
  <c r="AD83" i="4"/>
  <c r="AC83" i="4"/>
  <c r="AB83" i="4"/>
  <c r="AA83" i="4"/>
  <c r="AP62" i="4"/>
  <c r="Y62" i="4" s="1"/>
  <c r="AO62" i="4"/>
  <c r="AN62" i="4"/>
  <c r="AM62" i="4"/>
  <c r="AL62" i="4"/>
  <c r="AK62" i="4" s="1"/>
  <c r="AJ62" i="4"/>
  <c r="AI62" i="4"/>
  <c r="AH62" i="4"/>
  <c r="AF62" i="4"/>
  <c r="AE62" i="4"/>
  <c r="AD62" i="4"/>
  <c r="AC62" i="4"/>
  <c r="AB62" i="4"/>
  <c r="AA62" i="4"/>
  <c r="Z62" i="4"/>
  <c r="AP52" i="4"/>
  <c r="Y52" i="4" s="1"/>
  <c r="AO52" i="4"/>
  <c r="AN52" i="4"/>
  <c r="AM52" i="4"/>
  <c r="AL52" i="4"/>
  <c r="AK52" i="4" s="1"/>
  <c r="AJ52" i="4"/>
  <c r="AI52" i="4"/>
  <c r="AH52" i="4"/>
  <c r="AF52" i="4"/>
  <c r="AE52" i="4"/>
  <c r="AD52" i="4"/>
  <c r="AC52" i="4"/>
  <c r="AB52" i="4"/>
  <c r="AA52" i="4"/>
  <c r="Z52" i="4"/>
  <c r="AP40" i="4"/>
  <c r="AQ40" i="4" s="1"/>
  <c r="AO40" i="4"/>
  <c r="AN40" i="4"/>
  <c r="AM40" i="4"/>
  <c r="AL40" i="4"/>
  <c r="AK40" i="4" s="1"/>
  <c r="AJ40" i="4"/>
  <c r="AI40" i="4"/>
  <c r="AH40" i="4"/>
  <c r="AF40" i="4"/>
  <c r="AE40" i="4"/>
  <c r="AD40" i="4"/>
  <c r="AC40" i="4"/>
  <c r="AB40" i="4"/>
  <c r="AA40" i="4"/>
  <c r="Z40" i="4"/>
  <c r="AP49" i="4"/>
  <c r="Y49" i="4" s="1"/>
  <c r="AO49" i="4"/>
  <c r="AN49" i="4"/>
  <c r="AM49" i="4"/>
  <c r="AL49" i="4"/>
  <c r="AK49" i="4" s="1"/>
  <c r="AJ49" i="4"/>
  <c r="AI49" i="4"/>
  <c r="AH49" i="4"/>
  <c r="AF49" i="4"/>
  <c r="AE49" i="4"/>
  <c r="AD49" i="4"/>
  <c r="AC49" i="4"/>
  <c r="AB49" i="4"/>
  <c r="AA49" i="4"/>
  <c r="Z49" i="4"/>
  <c r="AP44" i="4"/>
  <c r="AQ44" i="4" s="1"/>
  <c r="AO44" i="4"/>
  <c r="AN44" i="4"/>
  <c r="AM44" i="4"/>
  <c r="AL44" i="4"/>
  <c r="AK44" i="4" s="1"/>
  <c r="AJ44" i="4"/>
  <c r="AI44" i="4"/>
  <c r="AH44" i="4"/>
  <c r="AF44" i="4"/>
  <c r="AE44" i="4"/>
  <c r="AD44" i="4"/>
  <c r="AC44" i="4"/>
  <c r="AB44" i="4"/>
  <c r="AA44" i="4"/>
  <c r="Z44" i="4"/>
  <c r="AP30" i="4"/>
  <c r="AQ30" i="4" s="1"/>
  <c r="AO30" i="4"/>
  <c r="AN30" i="4"/>
  <c r="AM30" i="4"/>
  <c r="AL30" i="4"/>
  <c r="AK30" i="4" s="1"/>
  <c r="AJ30" i="4"/>
  <c r="AI30" i="4"/>
  <c r="AH30" i="4"/>
  <c r="AF30" i="4"/>
  <c r="AE30" i="4"/>
  <c r="AD30" i="4"/>
  <c r="AC30" i="4"/>
  <c r="AB30" i="4"/>
  <c r="AA30" i="4"/>
  <c r="Z30" i="4"/>
  <c r="AP12" i="4"/>
  <c r="Y12" i="4" s="1"/>
  <c r="AO12" i="4"/>
  <c r="AN12" i="4"/>
  <c r="AM12" i="4"/>
  <c r="AL12" i="4"/>
  <c r="AK12" i="4" s="1"/>
  <c r="AJ12" i="4"/>
  <c r="AI12" i="4"/>
  <c r="AH12" i="4"/>
  <c r="AF12" i="4"/>
  <c r="AE12" i="4"/>
  <c r="AD12" i="4"/>
  <c r="AC12" i="4"/>
  <c r="AB12" i="4"/>
  <c r="AA12" i="4"/>
  <c r="Z12" i="4"/>
  <c r="AP58" i="4"/>
  <c r="Y58" i="4" s="1"/>
  <c r="AO58" i="4"/>
  <c r="AN58" i="4"/>
  <c r="AM58" i="4"/>
  <c r="AL58" i="4"/>
  <c r="AK58" i="4" s="1"/>
  <c r="AJ58" i="4"/>
  <c r="AI58" i="4"/>
  <c r="AH58" i="4"/>
  <c r="AF58" i="4"/>
  <c r="AE58" i="4"/>
  <c r="AD58" i="4"/>
  <c r="AC58" i="4"/>
  <c r="AB58" i="4"/>
  <c r="AA58" i="4"/>
  <c r="Z58" i="4"/>
  <c r="AP41" i="4"/>
  <c r="AQ41" i="4" s="1"/>
  <c r="AO41" i="4"/>
  <c r="AN41" i="4"/>
  <c r="AM41" i="4"/>
  <c r="AL41" i="4"/>
  <c r="AK41" i="4" s="1"/>
  <c r="AJ41" i="4"/>
  <c r="AI41" i="4"/>
  <c r="AH41" i="4"/>
  <c r="AF41" i="4"/>
  <c r="AE41" i="4"/>
  <c r="AD41" i="4"/>
  <c r="AC41" i="4"/>
  <c r="AB41" i="4"/>
  <c r="AA41" i="4"/>
  <c r="Z41" i="4"/>
  <c r="AP36" i="4"/>
  <c r="Y36" i="4" s="1"/>
  <c r="AO36" i="4"/>
  <c r="AN36" i="4"/>
  <c r="AM36" i="4"/>
  <c r="AL36" i="4"/>
  <c r="AK36" i="4" s="1"/>
  <c r="AJ36" i="4"/>
  <c r="AI36" i="4"/>
  <c r="AH36" i="4"/>
  <c r="AF36" i="4"/>
  <c r="AE36" i="4"/>
  <c r="AD36" i="4"/>
  <c r="AC36" i="4"/>
  <c r="AB36" i="4"/>
  <c r="AA36" i="4"/>
  <c r="Z36" i="4"/>
  <c r="AP54" i="4"/>
  <c r="Y54" i="4" s="1"/>
  <c r="AO54" i="4"/>
  <c r="AN54" i="4"/>
  <c r="AM54" i="4"/>
  <c r="AL54" i="4"/>
  <c r="AK54" i="4" s="1"/>
  <c r="AJ54" i="4"/>
  <c r="AI54" i="4"/>
  <c r="AH54" i="4"/>
  <c r="AF54" i="4"/>
  <c r="AE54" i="4"/>
  <c r="AD54" i="4"/>
  <c r="AC54" i="4"/>
  <c r="AB54" i="4"/>
  <c r="Z54" i="4"/>
  <c r="AA54" i="4" s="1"/>
  <c r="AP33" i="4"/>
  <c r="Y33" i="4" s="1"/>
  <c r="AO33" i="4"/>
  <c r="AN33" i="4"/>
  <c r="AM33" i="4"/>
  <c r="AL33" i="4"/>
  <c r="AK33" i="4" s="1"/>
  <c r="AJ33" i="4"/>
  <c r="AI33" i="4"/>
  <c r="AH33" i="4"/>
  <c r="AF33" i="4"/>
  <c r="AE33" i="4"/>
  <c r="AD33" i="4"/>
  <c r="AC33" i="4"/>
  <c r="AB33" i="4"/>
  <c r="AA33" i="4"/>
  <c r="Z33" i="4"/>
  <c r="AP15" i="4"/>
  <c r="AQ15" i="4" s="1"/>
  <c r="AO15" i="4"/>
  <c r="AN15" i="4"/>
  <c r="AM15" i="4"/>
  <c r="AL15" i="4"/>
  <c r="AJ15" i="4"/>
  <c r="AI15" i="4"/>
  <c r="AH15" i="4"/>
  <c r="AG15" i="4"/>
  <c r="AF15" i="4"/>
  <c r="AE15" i="4"/>
  <c r="AD15" i="4"/>
  <c r="AC15" i="4"/>
  <c r="AB15" i="4"/>
  <c r="AA15" i="4"/>
  <c r="Z15" i="4"/>
  <c r="AP78" i="4"/>
  <c r="AQ78" i="4" s="1"/>
  <c r="AO78" i="4"/>
  <c r="AN78" i="4"/>
  <c r="AM78" i="4"/>
  <c r="AL78" i="4"/>
  <c r="AJ78" i="4"/>
  <c r="AI78" i="4"/>
  <c r="AH78" i="4"/>
  <c r="AG78" i="4"/>
  <c r="AF78" i="4"/>
  <c r="AE78" i="4"/>
  <c r="AD78" i="4"/>
  <c r="AC78" i="4"/>
  <c r="AB78" i="4"/>
  <c r="AA78" i="4"/>
  <c r="Z78" i="4"/>
  <c r="AP14" i="4"/>
  <c r="AQ14" i="4" s="1"/>
  <c r="AO14" i="4"/>
  <c r="AN14" i="4"/>
  <c r="AM14" i="4"/>
  <c r="AL14" i="4"/>
  <c r="AJ14" i="4"/>
  <c r="AI14" i="4"/>
  <c r="AH14" i="4"/>
  <c r="AG14" i="4"/>
  <c r="AF14" i="4"/>
  <c r="AE14" i="4"/>
  <c r="AD14" i="4"/>
  <c r="AC14" i="4"/>
  <c r="AB14" i="4"/>
  <c r="AA14" i="4"/>
  <c r="Z14" i="4"/>
  <c r="AP80" i="4"/>
  <c r="Y80" i="4" s="1"/>
  <c r="AO80" i="4"/>
  <c r="AN80" i="4"/>
  <c r="AM80" i="4"/>
  <c r="AL80" i="4"/>
  <c r="AJ80" i="4"/>
  <c r="AI80" i="4"/>
  <c r="AH80" i="4"/>
  <c r="AG80" i="4"/>
  <c r="AF80" i="4"/>
  <c r="AE80" i="4"/>
  <c r="AD80" i="4"/>
  <c r="AC80" i="4"/>
  <c r="AB80" i="4"/>
  <c r="Z80" i="4"/>
  <c r="AA80" i="4" s="1"/>
  <c r="AP55" i="4"/>
  <c r="Y55" i="4" s="1"/>
  <c r="AN55" i="4"/>
  <c r="AL55" i="4"/>
  <c r="AK55" i="4" s="1"/>
  <c r="AJ55" i="4"/>
  <c r="AI55" i="4"/>
  <c r="AH55" i="4"/>
  <c r="AF55" i="4"/>
  <c r="AE55" i="4"/>
  <c r="AD55" i="4"/>
  <c r="AC55" i="4"/>
  <c r="AB55" i="4"/>
  <c r="AA55" i="4"/>
  <c r="Z55" i="4"/>
  <c r="AP39" i="4"/>
  <c r="Y39" i="4" s="1"/>
  <c r="AO39" i="4"/>
  <c r="AN39" i="4"/>
  <c r="AM39" i="4"/>
  <c r="AL39" i="4"/>
  <c r="AJ39" i="4"/>
  <c r="AI39" i="4"/>
  <c r="AH39" i="4"/>
  <c r="AG39" i="4"/>
  <c r="AF39" i="4"/>
  <c r="AE39" i="4"/>
  <c r="AD39" i="4"/>
  <c r="AC39" i="4"/>
  <c r="AB39" i="4"/>
  <c r="Z39" i="4"/>
  <c r="AA39" i="4" s="1"/>
  <c r="AP70" i="4"/>
  <c r="Y70" i="4" s="1"/>
  <c r="AO70" i="4"/>
  <c r="AN70" i="4"/>
  <c r="AM70" i="4"/>
  <c r="AL70" i="4"/>
  <c r="AJ70" i="4"/>
  <c r="AI70" i="4"/>
  <c r="AH70" i="4"/>
  <c r="AG70" i="4"/>
  <c r="AF70" i="4"/>
  <c r="AE70" i="4"/>
  <c r="AD70" i="4"/>
  <c r="AC70" i="4"/>
  <c r="AB70" i="4"/>
  <c r="AA70" i="4"/>
  <c r="Z70" i="4"/>
  <c r="AP46" i="4"/>
  <c r="Y46" i="4" s="1"/>
  <c r="AO46" i="4"/>
  <c r="AN46" i="4"/>
  <c r="AM46" i="4"/>
  <c r="AL46" i="4"/>
  <c r="AJ46" i="4"/>
  <c r="AI46" i="4"/>
  <c r="AH46" i="4"/>
  <c r="AG46" i="4"/>
  <c r="AF46" i="4"/>
  <c r="AE46" i="4"/>
  <c r="AD46" i="4"/>
  <c r="AC46" i="4"/>
  <c r="AB46" i="4"/>
  <c r="AA46" i="4"/>
  <c r="Z46" i="4"/>
  <c r="AP32" i="4"/>
  <c r="Y32" i="4" s="1"/>
  <c r="AO32" i="4"/>
  <c r="AN32" i="4"/>
  <c r="AM32" i="4"/>
  <c r="AL32" i="4"/>
  <c r="AJ32" i="4"/>
  <c r="AI32" i="4"/>
  <c r="AH32" i="4"/>
  <c r="AG32" i="4"/>
  <c r="AF32" i="4"/>
  <c r="AE32" i="4"/>
  <c r="AD32" i="4"/>
  <c r="AC32" i="4"/>
  <c r="AB32" i="4"/>
  <c r="Z32" i="4"/>
  <c r="AA32" i="4" s="1"/>
  <c r="AP20" i="4"/>
  <c r="Y20" i="4" s="1"/>
  <c r="AO20" i="4"/>
  <c r="AN20" i="4"/>
  <c r="AM20" i="4"/>
  <c r="AL20" i="4"/>
  <c r="AJ20" i="4"/>
  <c r="AI20" i="4"/>
  <c r="AH20" i="4"/>
  <c r="AG20" i="4"/>
  <c r="AF20" i="4"/>
  <c r="AE20" i="4"/>
  <c r="AD20" i="4"/>
  <c r="AC20" i="4"/>
  <c r="AB20" i="4"/>
  <c r="Z20" i="4"/>
  <c r="AA20" i="4" s="1"/>
  <c r="AP65" i="4"/>
  <c r="Y65" i="4" s="1"/>
  <c r="AO65" i="4"/>
  <c r="AN65" i="4"/>
  <c r="AM65" i="4"/>
  <c r="AL65" i="4"/>
  <c r="AJ65" i="4"/>
  <c r="AI65" i="4"/>
  <c r="AH65" i="4"/>
  <c r="AG65" i="4"/>
  <c r="AF65" i="4"/>
  <c r="AE65" i="4"/>
  <c r="AD65" i="4"/>
  <c r="AC65" i="4"/>
  <c r="AB65" i="4"/>
  <c r="AA65" i="4"/>
  <c r="Z65" i="4"/>
  <c r="AP60" i="4"/>
  <c r="Y60" i="4" s="1"/>
  <c r="AO60" i="4"/>
  <c r="AN60" i="4"/>
  <c r="AM60" i="4"/>
  <c r="AL60" i="4"/>
  <c r="AJ60" i="4"/>
  <c r="AI60" i="4"/>
  <c r="AH60" i="4"/>
  <c r="AG60" i="4"/>
  <c r="AF60" i="4"/>
  <c r="AE60" i="4"/>
  <c r="AD60" i="4"/>
  <c r="AC60" i="4"/>
  <c r="AB60" i="4"/>
  <c r="AA60" i="4"/>
  <c r="Z60" i="4"/>
  <c r="AP61" i="4"/>
  <c r="Y61" i="4" s="1"/>
  <c r="AO61" i="4"/>
  <c r="AN61" i="4"/>
  <c r="AM61" i="4"/>
  <c r="AL61" i="4"/>
  <c r="AJ61" i="4"/>
  <c r="AI61" i="4"/>
  <c r="AH61" i="4"/>
  <c r="AG61" i="4"/>
  <c r="AF61" i="4"/>
  <c r="AE61" i="4"/>
  <c r="AD61" i="4"/>
  <c r="AC61" i="4"/>
  <c r="AB61" i="4"/>
  <c r="AA61" i="4"/>
  <c r="Z61" i="4"/>
  <c r="AP19" i="4"/>
  <c r="AQ19" i="4" s="1"/>
  <c r="AO19" i="4"/>
  <c r="AN19" i="4"/>
  <c r="AM19" i="4"/>
  <c r="AL19" i="4"/>
  <c r="AJ19" i="4"/>
  <c r="AI19" i="4"/>
  <c r="AH19" i="4"/>
  <c r="AG19" i="4"/>
  <c r="AF19" i="4"/>
  <c r="AE19" i="4"/>
  <c r="AD19" i="4"/>
  <c r="AC19" i="4"/>
  <c r="AB19" i="4"/>
  <c r="AA19" i="4"/>
  <c r="Z19" i="4"/>
  <c r="AP35" i="4"/>
  <c r="AQ35" i="4" s="1"/>
  <c r="AO35" i="4"/>
  <c r="AN35" i="4"/>
  <c r="AM35" i="4"/>
  <c r="AL35" i="4"/>
  <c r="AJ35" i="4"/>
  <c r="AI35" i="4"/>
  <c r="AH35" i="4"/>
  <c r="AG35" i="4"/>
  <c r="AF35" i="4"/>
  <c r="AE35" i="4"/>
  <c r="AD35" i="4"/>
  <c r="AC35" i="4"/>
  <c r="AB35" i="4"/>
  <c r="AA35" i="4"/>
  <c r="Z35" i="4"/>
  <c r="AP79" i="4"/>
  <c r="Y79" i="4" s="1"/>
  <c r="AO79" i="4"/>
  <c r="AN79" i="4"/>
  <c r="AM79" i="4"/>
  <c r="AL79" i="4"/>
  <c r="AJ79" i="4"/>
  <c r="AI79" i="4"/>
  <c r="AH79" i="4"/>
  <c r="AG79" i="4"/>
  <c r="AF79" i="4"/>
  <c r="AE79" i="4"/>
  <c r="AD79" i="4"/>
  <c r="AC79" i="4"/>
  <c r="AB79" i="4"/>
  <c r="AA79" i="4"/>
  <c r="Z79" i="4"/>
  <c r="AP59" i="4"/>
  <c r="AQ59" i="4" s="1"/>
  <c r="AO59" i="4"/>
  <c r="AN59" i="4"/>
  <c r="AM59" i="4"/>
  <c r="AL59" i="4"/>
  <c r="AJ59" i="4"/>
  <c r="AI59" i="4"/>
  <c r="AH59" i="4"/>
  <c r="AG59" i="4"/>
  <c r="AF59" i="4"/>
  <c r="AE59" i="4"/>
  <c r="AD59" i="4"/>
  <c r="AC59" i="4"/>
  <c r="AB59" i="4"/>
  <c r="AA59" i="4"/>
  <c r="Z59" i="4"/>
  <c r="AP24" i="4"/>
  <c r="Y24" i="4" s="1"/>
  <c r="AO24" i="4"/>
  <c r="AN24" i="4"/>
  <c r="AM24" i="4"/>
  <c r="AL24" i="4"/>
  <c r="AJ24" i="4"/>
  <c r="AI24" i="4"/>
  <c r="AH24" i="4"/>
  <c r="AG24" i="4"/>
  <c r="AF24" i="4"/>
  <c r="AE24" i="4"/>
  <c r="AD24" i="4"/>
  <c r="AC24" i="4"/>
  <c r="AB24" i="4"/>
  <c r="AA24" i="4"/>
  <c r="Z24" i="4"/>
  <c r="AP29" i="4"/>
  <c r="Y29" i="4" s="1"/>
  <c r="AO29" i="4"/>
  <c r="AN29" i="4"/>
  <c r="AM29" i="4"/>
  <c r="AL29" i="4"/>
  <c r="AJ29" i="4"/>
  <c r="AI29" i="4"/>
  <c r="AH29" i="4"/>
  <c r="AG29" i="4"/>
  <c r="AF29" i="4"/>
  <c r="AE29" i="4"/>
  <c r="AD29" i="4"/>
  <c r="AC29" i="4"/>
  <c r="AB29" i="4"/>
  <c r="AA29" i="4"/>
  <c r="Z29" i="4"/>
  <c r="AP50" i="4"/>
  <c r="Y50" i="4" s="1"/>
  <c r="AO50" i="4"/>
  <c r="AN50" i="4"/>
  <c r="AM50" i="4"/>
  <c r="AL50" i="4"/>
  <c r="AJ50" i="4"/>
  <c r="AI50" i="4"/>
  <c r="AH50" i="4"/>
  <c r="AG50" i="4"/>
  <c r="AF50" i="4"/>
  <c r="AE50" i="4"/>
  <c r="AD50" i="4"/>
  <c r="AC50" i="4"/>
  <c r="AB50" i="4"/>
  <c r="AA50" i="4"/>
  <c r="Z50" i="4"/>
  <c r="AP18" i="4"/>
  <c r="AQ18" i="4" s="1"/>
  <c r="AO18" i="4"/>
  <c r="AN18" i="4"/>
  <c r="AM18" i="4"/>
  <c r="AL18" i="4"/>
  <c r="AJ18" i="4"/>
  <c r="AI18" i="4"/>
  <c r="AH18" i="4"/>
  <c r="AG18" i="4"/>
  <c r="AF18" i="4"/>
  <c r="AE18" i="4"/>
  <c r="AD18" i="4"/>
  <c r="AC18" i="4"/>
  <c r="AB18" i="4"/>
  <c r="AA18" i="4"/>
  <c r="Z18" i="4"/>
  <c r="AP68" i="4"/>
  <c r="Y68" i="4" s="1"/>
  <c r="AO68" i="4"/>
  <c r="AN68" i="4"/>
  <c r="AM68" i="4"/>
  <c r="AL68" i="4"/>
  <c r="AJ68" i="4"/>
  <c r="AI68" i="4"/>
  <c r="AH68" i="4"/>
  <c r="AG68" i="4"/>
  <c r="AF68" i="4"/>
  <c r="AE68" i="4"/>
  <c r="AD68" i="4"/>
  <c r="AC68" i="4"/>
  <c r="AB68" i="4"/>
  <c r="Z68" i="4"/>
  <c r="AA68" i="4" s="1"/>
  <c r="AP22" i="4"/>
  <c r="AQ22" i="4" s="1"/>
  <c r="AO22" i="4"/>
  <c r="AN22" i="4"/>
  <c r="AM22" i="4"/>
  <c r="AL22" i="4"/>
  <c r="AJ22" i="4"/>
  <c r="AI22" i="4"/>
  <c r="AH22" i="4"/>
  <c r="AG22" i="4"/>
  <c r="AF22" i="4"/>
  <c r="AE22" i="4"/>
  <c r="AD22" i="4"/>
  <c r="AC22" i="4"/>
  <c r="AB22" i="4"/>
  <c r="AA22" i="4"/>
  <c r="Z22" i="4"/>
  <c r="AP9" i="4"/>
  <c r="Y9" i="4" s="1"/>
  <c r="AO9" i="4"/>
  <c r="AN9" i="4"/>
  <c r="AM9" i="4"/>
  <c r="AL9" i="4"/>
  <c r="AJ9" i="4"/>
  <c r="AI9" i="4"/>
  <c r="AH9" i="4"/>
  <c r="AG9" i="4"/>
  <c r="AF9" i="4"/>
  <c r="AE9" i="4"/>
  <c r="AD9" i="4"/>
  <c r="AC9" i="4"/>
  <c r="AB9" i="4"/>
  <c r="AA9" i="4"/>
  <c r="Z9" i="4"/>
  <c r="AP27" i="4"/>
  <c r="AQ27" i="4" s="1"/>
  <c r="AO27" i="4"/>
  <c r="AN27" i="4"/>
  <c r="AM27" i="4"/>
  <c r="AL27" i="4"/>
  <c r="AJ27" i="4"/>
  <c r="AI27" i="4"/>
  <c r="AH27" i="4"/>
  <c r="AG27" i="4"/>
  <c r="AD27" i="4"/>
  <c r="AC27" i="4"/>
  <c r="AB27" i="4"/>
  <c r="AA27" i="4"/>
  <c r="Z27" i="4"/>
  <c r="Q27" i="4"/>
  <c r="AP28" i="4"/>
  <c r="AQ28" i="4" s="1"/>
  <c r="AO28" i="4"/>
  <c r="AN28" i="4"/>
  <c r="AM28" i="4"/>
  <c r="AL28" i="4"/>
  <c r="AJ28" i="4"/>
  <c r="AI28" i="4"/>
  <c r="AH28" i="4"/>
  <c r="AG28" i="4"/>
  <c r="AF28" i="4"/>
  <c r="AE28" i="4"/>
  <c r="AD28" i="4"/>
  <c r="AC28" i="4"/>
  <c r="AB28" i="4"/>
  <c r="Z28" i="4"/>
  <c r="AA28" i="4" s="1"/>
  <c r="AP57" i="4"/>
  <c r="Y57" i="4" s="1"/>
  <c r="AO57" i="4"/>
  <c r="AN57" i="4"/>
  <c r="AM57" i="4"/>
  <c r="AL57" i="4"/>
  <c r="AJ57" i="4"/>
  <c r="AI57" i="4"/>
  <c r="AH57" i="4"/>
  <c r="AG57" i="4"/>
  <c r="AF57" i="4"/>
  <c r="AE57" i="4"/>
  <c r="AD57" i="4"/>
  <c r="AC57" i="4"/>
  <c r="AB57" i="4"/>
  <c r="AA57" i="4"/>
  <c r="Z57" i="4"/>
  <c r="AP23" i="4"/>
  <c r="Y23" i="4" s="1"/>
  <c r="AO23" i="4"/>
  <c r="AN23" i="4"/>
  <c r="AM23" i="4"/>
  <c r="AL23" i="4"/>
  <c r="AJ23" i="4"/>
  <c r="AI23" i="4"/>
  <c r="AH23" i="4"/>
  <c r="AG23" i="4"/>
  <c r="AF23" i="4"/>
  <c r="AE23" i="4"/>
  <c r="AD23" i="4"/>
  <c r="AC23" i="4"/>
  <c r="AB23" i="4"/>
  <c r="AA23" i="4"/>
  <c r="Z23" i="4"/>
  <c r="AP10" i="4"/>
  <c r="AQ10" i="4" s="1"/>
  <c r="AO10" i="4"/>
  <c r="AN10" i="4"/>
  <c r="AM10" i="4"/>
  <c r="AL10" i="4"/>
  <c r="AJ10" i="4"/>
  <c r="AI10" i="4"/>
  <c r="AH10" i="4"/>
  <c r="AG10" i="4"/>
  <c r="AF10" i="4"/>
  <c r="AE10" i="4"/>
  <c r="AD10" i="4"/>
  <c r="AC10" i="4"/>
  <c r="AB10" i="4"/>
  <c r="AA10" i="4"/>
  <c r="Z10" i="4"/>
  <c r="AP56" i="4"/>
  <c r="AQ56" i="4" s="1"/>
  <c r="AO56" i="4"/>
  <c r="AN56" i="4"/>
  <c r="AM56" i="4"/>
  <c r="AL56" i="4"/>
  <c r="AJ56" i="4"/>
  <c r="AI56" i="4"/>
  <c r="AH56" i="4"/>
  <c r="AG56" i="4"/>
  <c r="AF56" i="4"/>
  <c r="AE56" i="4"/>
  <c r="AD56" i="4"/>
  <c r="AC56" i="4"/>
  <c r="AB56" i="4"/>
  <c r="AA56" i="4"/>
  <c r="Z56" i="4"/>
  <c r="AP47" i="4"/>
  <c r="Y47" i="4" s="1"/>
  <c r="AO47" i="4"/>
  <c r="AN47" i="4"/>
  <c r="AM47" i="4"/>
  <c r="AL47" i="4"/>
  <c r="AJ47" i="4"/>
  <c r="AI47" i="4"/>
  <c r="AH47" i="4"/>
  <c r="AG47" i="4"/>
  <c r="AF47" i="4"/>
  <c r="AE47" i="4"/>
  <c r="AD47" i="4"/>
  <c r="AC47" i="4"/>
  <c r="AB47" i="4"/>
  <c r="AA47" i="4"/>
  <c r="Z47" i="4"/>
  <c r="AP72" i="4"/>
  <c r="Y72" i="4" s="1"/>
  <c r="AO72" i="4"/>
  <c r="AN72" i="4"/>
  <c r="AM72" i="4"/>
  <c r="AL72" i="4"/>
  <c r="AJ72" i="4"/>
  <c r="AI72" i="4"/>
  <c r="AH72" i="4"/>
  <c r="AG72" i="4"/>
  <c r="AF72" i="4"/>
  <c r="AE72" i="4"/>
  <c r="AD72" i="4"/>
  <c r="AC72" i="4"/>
  <c r="AB72" i="4"/>
  <c r="AA72" i="4"/>
  <c r="Z72" i="4"/>
  <c r="AP26" i="4"/>
  <c r="Y26" i="4" s="1"/>
  <c r="AO26" i="4"/>
  <c r="AN26" i="4"/>
  <c r="AM26" i="4"/>
  <c r="AL26" i="4"/>
  <c r="AJ26" i="4"/>
  <c r="AI26" i="4"/>
  <c r="AH26" i="4"/>
  <c r="AG26" i="4"/>
  <c r="AF26" i="4"/>
  <c r="AE26" i="4"/>
  <c r="AD26" i="4"/>
  <c r="AC26" i="4"/>
  <c r="AB26" i="4"/>
  <c r="AA26" i="4"/>
  <c r="Z26" i="4"/>
  <c r="AP45" i="4"/>
  <c r="Y45" i="4" s="1"/>
  <c r="AO45" i="4"/>
  <c r="AN45" i="4"/>
  <c r="AM45" i="4"/>
  <c r="AL45" i="4"/>
  <c r="AJ45" i="4"/>
  <c r="AI45" i="4"/>
  <c r="AH45" i="4"/>
  <c r="AG45" i="4"/>
  <c r="AF45" i="4"/>
  <c r="AE45" i="4"/>
  <c r="AD45" i="4"/>
  <c r="AC45" i="4"/>
  <c r="AB45" i="4"/>
  <c r="AA45" i="4"/>
  <c r="Z45" i="4"/>
  <c r="AP16" i="4"/>
  <c r="Y16" i="4" s="1"/>
  <c r="AO16" i="4"/>
  <c r="AN16" i="4"/>
  <c r="AM16" i="4"/>
  <c r="AL16" i="4"/>
  <c r="AJ16" i="4"/>
  <c r="AI16" i="4"/>
  <c r="AH16" i="4"/>
  <c r="AG16" i="4"/>
  <c r="AF16" i="4"/>
  <c r="AE16" i="4"/>
  <c r="AD16" i="4"/>
  <c r="AC16" i="4"/>
  <c r="AB16" i="4"/>
  <c r="AA16" i="4"/>
  <c r="Z16" i="4"/>
  <c r="AP5" i="4"/>
  <c r="AQ5" i="4" s="1"/>
  <c r="AO5" i="4"/>
  <c r="AN5" i="4"/>
  <c r="AM5" i="4"/>
  <c r="AL5" i="4"/>
  <c r="AJ5" i="4"/>
  <c r="AI5" i="4"/>
  <c r="AH5" i="4"/>
  <c r="AG5" i="4"/>
  <c r="AF5" i="4"/>
  <c r="AE5" i="4"/>
  <c r="AD5" i="4"/>
  <c r="AC5" i="4"/>
  <c r="AB5" i="4"/>
  <c r="AA5" i="4"/>
  <c r="Z5" i="4"/>
  <c r="AP6" i="4"/>
  <c r="Y6" i="4" s="1"/>
  <c r="AO6" i="4"/>
  <c r="AN6" i="4"/>
  <c r="AM6" i="4"/>
  <c r="AL6" i="4"/>
  <c r="AJ6" i="4"/>
  <c r="AI6" i="4"/>
  <c r="AH6" i="4"/>
  <c r="AG6" i="4"/>
  <c r="AF6" i="4"/>
  <c r="AE6" i="4"/>
  <c r="AD6" i="4"/>
  <c r="AC6" i="4"/>
  <c r="AB6" i="4"/>
  <c r="AA6" i="4"/>
  <c r="Z6" i="4"/>
  <c r="AP17" i="4"/>
  <c r="Y17" i="4" s="1"/>
  <c r="AO17" i="4"/>
  <c r="AN17" i="4"/>
  <c r="AM17" i="4"/>
  <c r="AL17" i="4"/>
  <c r="AJ17" i="4"/>
  <c r="AI17" i="4"/>
  <c r="AH17" i="4"/>
  <c r="AG17" i="4"/>
  <c r="AF17" i="4"/>
  <c r="AE17" i="4"/>
  <c r="AD17" i="4"/>
  <c r="AC17" i="4"/>
  <c r="AB17" i="4"/>
  <c r="AA17" i="4"/>
  <c r="Z17" i="4"/>
  <c r="AP4" i="4"/>
  <c r="Y4" i="4" s="1"/>
  <c r="AO4" i="4"/>
  <c r="AN4" i="4"/>
  <c r="AM4" i="4"/>
  <c r="AL4" i="4"/>
  <c r="AJ4" i="4"/>
  <c r="AI4" i="4"/>
  <c r="AH4" i="4"/>
  <c r="AG4" i="4"/>
  <c r="AF4" i="4"/>
  <c r="AE4" i="4"/>
  <c r="AD4" i="4"/>
  <c r="AC4" i="4"/>
  <c r="AB4" i="4"/>
  <c r="AA4" i="4"/>
  <c r="Z4" i="4"/>
  <c r="AP82" i="4"/>
  <c r="Y82" i="4" s="1"/>
  <c r="AO82" i="4"/>
  <c r="AN82" i="4"/>
  <c r="AM82" i="4"/>
  <c r="AL82" i="4"/>
  <c r="AJ82" i="4"/>
  <c r="AI82" i="4"/>
  <c r="AH82" i="4"/>
  <c r="AG82" i="4"/>
  <c r="AF82" i="4"/>
  <c r="AE82" i="4"/>
  <c r="AD82" i="4"/>
  <c r="AC82" i="4"/>
  <c r="AB82" i="4"/>
  <c r="AA82" i="4"/>
  <c r="Z82" i="4"/>
  <c r="AP76" i="4"/>
  <c r="Y76" i="4" s="1"/>
  <c r="AO76" i="4"/>
  <c r="AN76" i="4"/>
  <c r="AM76" i="4"/>
  <c r="AL76" i="4"/>
  <c r="AJ76" i="4"/>
  <c r="AI76" i="4"/>
  <c r="AH76" i="4"/>
  <c r="AG76" i="4"/>
  <c r="AF76" i="4"/>
  <c r="AE76" i="4"/>
  <c r="AD76" i="4"/>
  <c r="AC76" i="4"/>
  <c r="AB76" i="4"/>
  <c r="AA76" i="4"/>
  <c r="Z76" i="4"/>
  <c r="AP71" i="4"/>
  <c r="Y71" i="4" s="1"/>
  <c r="AO71" i="4"/>
  <c r="AN71" i="4"/>
  <c r="AM71" i="4"/>
  <c r="AL71" i="4"/>
  <c r="AJ71" i="4"/>
  <c r="AI71" i="4"/>
  <c r="AH71" i="4"/>
  <c r="AG71" i="4"/>
  <c r="AF71" i="4"/>
  <c r="AE71" i="4"/>
  <c r="AD71" i="4"/>
  <c r="AC71" i="4"/>
  <c r="AB71" i="4"/>
  <c r="AA71" i="4"/>
  <c r="Z71" i="4"/>
  <c r="AP73" i="4"/>
  <c r="AQ73" i="4" s="1"/>
  <c r="AO73" i="4"/>
  <c r="AN73" i="4"/>
  <c r="AM73" i="4"/>
  <c r="AL73" i="4"/>
  <c r="AJ73" i="4"/>
  <c r="AI73" i="4"/>
  <c r="AH73" i="4"/>
  <c r="AG73" i="4"/>
  <c r="AF73" i="4"/>
  <c r="AE73" i="4"/>
  <c r="AD73" i="4"/>
  <c r="AC73" i="4"/>
  <c r="AB73" i="4"/>
  <c r="AA73" i="4"/>
  <c r="Z73" i="4"/>
  <c r="AP69" i="4"/>
  <c r="AQ69" i="4" s="1"/>
  <c r="AO69" i="4"/>
  <c r="AN69" i="4"/>
  <c r="AM69" i="4"/>
  <c r="AL69" i="4"/>
  <c r="AJ69" i="4"/>
  <c r="AI69" i="4"/>
  <c r="AH69" i="4"/>
  <c r="AG69" i="4"/>
  <c r="AF69" i="4"/>
  <c r="AE69" i="4"/>
  <c r="AD69" i="4"/>
  <c r="AC69" i="4"/>
  <c r="AB69" i="4"/>
  <c r="Z69" i="4"/>
  <c r="AA69" i="4" s="1"/>
  <c r="P69" i="4"/>
  <c r="AP21" i="4"/>
  <c r="Y21" i="4" s="1"/>
  <c r="AO21" i="4"/>
  <c r="AN21" i="4"/>
  <c r="AM21" i="4"/>
  <c r="AL21" i="4"/>
  <c r="AJ21" i="4"/>
  <c r="AI21" i="4"/>
  <c r="AH21" i="4"/>
  <c r="AG21" i="4"/>
  <c r="AF21" i="4"/>
  <c r="AE21" i="4"/>
  <c r="AD21" i="4"/>
  <c r="AC21" i="4"/>
  <c r="AB21" i="4"/>
  <c r="AA21" i="4"/>
  <c r="Z21" i="4"/>
  <c r="AC258" i="1"/>
  <c r="AC259" i="1"/>
  <c r="AC260" i="1"/>
  <c r="AC261" i="1"/>
  <c r="AC262" i="1"/>
  <c r="AD258" i="1"/>
  <c r="AD259" i="1"/>
  <c r="AD260" i="1"/>
  <c r="AD261" i="1"/>
  <c r="AD262" i="1"/>
  <c r="AE258" i="1"/>
  <c r="AE259" i="1"/>
  <c r="AE260" i="1"/>
  <c r="AE261" i="1"/>
  <c r="AE262" i="1"/>
  <c r="AG258" i="1"/>
  <c r="AG259" i="1"/>
  <c r="AG260" i="1"/>
  <c r="AG261" i="1"/>
  <c r="AG262" i="1"/>
  <c r="AH258" i="1"/>
  <c r="AH259" i="1"/>
  <c r="AH260" i="1"/>
  <c r="AH261" i="1"/>
  <c r="AH262" i="1"/>
  <c r="AJ258" i="1"/>
  <c r="AJ259" i="1"/>
  <c r="AJ260" i="1"/>
  <c r="AJ261" i="1"/>
  <c r="AJ262" i="1"/>
  <c r="AK258" i="1"/>
  <c r="AK259" i="1"/>
  <c r="AK260" i="1"/>
  <c r="AK261" i="1"/>
  <c r="AK262" i="1"/>
  <c r="AL258" i="1"/>
  <c r="AL259" i="1"/>
  <c r="AL260" i="1"/>
  <c r="AL261" i="1"/>
  <c r="AL262" i="1"/>
  <c r="AM258" i="1"/>
  <c r="AM259" i="1"/>
  <c r="AM260" i="1"/>
  <c r="AM261" i="1"/>
  <c r="AM262" i="1"/>
  <c r="AP258" i="1"/>
  <c r="AP259" i="1"/>
  <c r="AP260" i="1"/>
  <c r="AP261" i="1"/>
  <c r="AP262" i="1"/>
  <c r="AR258" i="1"/>
  <c r="AA258" i="1" s="1"/>
  <c r="AR259" i="1"/>
  <c r="AA259" i="1" s="1"/>
  <c r="AR260" i="1"/>
  <c r="AA260" i="1" s="1"/>
  <c r="AR261" i="1"/>
  <c r="AA261" i="1" s="1"/>
  <c r="AR262" i="1"/>
  <c r="AA262" i="1" s="1"/>
  <c r="AC120" i="1"/>
  <c r="AD120" i="1"/>
  <c r="AE120" i="1"/>
  <c r="AG120" i="1"/>
  <c r="AH120" i="1"/>
  <c r="AJ120" i="1"/>
  <c r="AK120" i="1"/>
  <c r="AL120" i="1"/>
  <c r="AM120" i="1"/>
  <c r="AP120" i="1"/>
  <c r="AR120" i="1"/>
  <c r="AA120" i="1" s="1"/>
  <c r="AS120" i="1"/>
  <c r="AC243" i="1"/>
  <c r="AC244" i="1"/>
  <c r="AC245" i="1"/>
  <c r="AC246" i="1"/>
  <c r="AC247" i="1"/>
  <c r="AC248" i="1"/>
  <c r="AC249" i="1"/>
  <c r="AC250" i="1"/>
  <c r="AC251" i="1"/>
  <c r="AC252" i="1"/>
  <c r="AC253" i="1"/>
  <c r="AC254" i="1"/>
  <c r="AC255" i="1"/>
  <c r="AC256" i="1"/>
  <c r="AC257" i="1"/>
  <c r="AD243" i="1"/>
  <c r="AD244" i="1"/>
  <c r="AD245" i="1"/>
  <c r="AD246" i="1"/>
  <c r="AD247" i="1"/>
  <c r="AD248" i="1"/>
  <c r="AD249" i="1"/>
  <c r="AD250" i="1"/>
  <c r="AD251" i="1"/>
  <c r="AD252" i="1"/>
  <c r="AD253" i="1"/>
  <c r="AD254" i="1"/>
  <c r="AD255" i="1"/>
  <c r="AD256" i="1"/>
  <c r="AD257" i="1"/>
  <c r="AE243" i="1"/>
  <c r="AE244" i="1"/>
  <c r="AE245" i="1"/>
  <c r="AE246" i="1"/>
  <c r="AE247" i="1"/>
  <c r="AE248" i="1"/>
  <c r="AE249" i="1"/>
  <c r="AE250" i="1"/>
  <c r="AE251" i="1"/>
  <c r="AE252" i="1"/>
  <c r="AE253" i="1"/>
  <c r="AE254" i="1"/>
  <c r="AE255" i="1"/>
  <c r="AE256" i="1"/>
  <c r="AE257" i="1"/>
  <c r="AG243" i="1"/>
  <c r="AG244" i="1"/>
  <c r="AG245" i="1"/>
  <c r="AG246" i="1"/>
  <c r="AG247" i="1"/>
  <c r="AG248" i="1"/>
  <c r="AG249" i="1"/>
  <c r="AG250" i="1"/>
  <c r="AG251" i="1"/>
  <c r="AG252" i="1"/>
  <c r="AG253" i="1"/>
  <c r="AG254" i="1"/>
  <c r="AG255" i="1"/>
  <c r="AG256" i="1"/>
  <c r="AG257" i="1"/>
  <c r="AH243" i="1"/>
  <c r="AH244" i="1"/>
  <c r="AH245" i="1"/>
  <c r="AH246" i="1"/>
  <c r="AH247" i="1"/>
  <c r="AH248" i="1"/>
  <c r="AH249" i="1"/>
  <c r="AH250" i="1"/>
  <c r="AH251" i="1"/>
  <c r="AH252" i="1"/>
  <c r="AH253" i="1"/>
  <c r="AH254" i="1"/>
  <c r="AH255" i="1"/>
  <c r="AH256" i="1"/>
  <c r="AH257" i="1"/>
  <c r="AJ243" i="1"/>
  <c r="AJ244" i="1"/>
  <c r="AJ245" i="1"/>
  <c r="AJ246" i="1"/>
  <c r="AJ247" i="1"/>
  <c r="AJ248" i="1"/>
  <c r="AJ249" i="1"/>
  <c r="AJ250" i="1"/>
  <c r="AJ251" i="1"/>
  <c r="AJ252" i="1"/>
  <c r="AJ253" i="1"/>
  <c r="AJ254" i="1"/>
  <c r="AJ255" i="1"/>
  <c r="AJ256" i="1"/>
  <c r="AJ257" i="1"/>
  <c r="AK243" i="1"/>
  <c r="AK244" i="1"/>
  <c r="AK245" i="1"/>
  <c r="AK246" i="1"/>
  <c r="AK247" i="1"/>
  <c r="AK248" i="1"/>
  <c r="AK249" i="1"/>
  <c r="AK250" i="1"/>
  <c r="AK251" i="1"/>
  <c r="AK252" i="1"/>
  <c r="AK253" i="1"/>
  <c r="AK254" i="1"/>
  <c r="AK255" i="1"/>
  <c r="AK256" i="1"/>
  <c r="AK257" i="1"/>
  <c r="AL243" i="1"/>
  <c r="AL244" i="1"/>
  <c r="AL245" i="1"/>
  <c r="AL246" i="1"/>
  <c r="AL247" i="1"/>
  <c r="AL248" i="1"/>
  <c r="AL249" i="1"/>
  <c r="AL250" i="1"/>
  <c r="AL251" i="1"/>
  <c r="AL252" i="1"/>
  <c r="AL253" i="1"/>
  <c r="AL254" i="1"/>
  <c r="AL255" i="1"/>
  <c r="AL256" i="1"/>
  <c r="AL257" i="1"/>
  <c r="AM243" i="1"/>
  <c r="AM244" i="1"/>
  <c r="AM245" i="1"/>
  <c r="AM246" i="1"/>
  <c r="AM247" i="1"/>
  <c r="AM248" i="1"/>
  <c r="AM249" i="1"/>
  <c r="AM250" i="1"/>
  <c r="AM251" i="1"/>
  <c r="AM252" i="1"/>
  <c r="AM253" i="1"/>
  <c r="AM254" i="1"/>
  <c r="AM255" i="1"/>
  <c r="AM256" i="1"/>
  <c r="AM257" i="1"/>
  <c r="AP243" i="1"/>
  <c r="AP244" i="1"/>
  <c r="AP245" i="1"/>
  <c r="AP246" i="1"/>
  <c r="AP247" i="1"/>
  <c r="AP248" i="1"/>
  <c r="AP249" i="1"/>
  <c r="AP250" i="1"/>
  <c r="AP251" i="1"/>
  <c r="AP252" i="1"/>
  <c r="AP253" i="1"/>
  <c r="AP254" i="1"/>
  <c r="AP255" i="1"/>
  <c r="AP256" i="1"/>
  <c r="AP257" i="1"/>
  <c r="AR243" i="1"/>
  <c r="AA243" i="1" s="1"/>
  <c r="AR244" i="1"/>
  <c r="AA244" i="1" s="1"/>
  <c r="AR245" i="1"/>
  <c r="AA245" i="1" s="1"/>
  <c r="AR246" i="1"/>
  <c r="AA246" i="1" s="1"/>
  <c r="AR247" i="1"/>
  <c r="AA247" i="1" s="1"/>
  <c r="AR248" i="1"/>
  <c r="AA248" i="1" s="1"/>
  <c r="AR249" i="1"/>
  <c r="AA249" i="1" s="1"/>
  <c r="AR250" i="1"/>
  <c r="AA250" i="1" s="1"/>
  <c r="AR251" i="1"/>
  <c r="AA251" i="1" s="1"/>
  <c r="AR252" i="1"/>
  <c r="AA252" i="1" s="1"/>
  <c r="AR253" i="1"/>
  <c r="AA253" i="1" s="1"/>
  <c r="AR254" i="1"/>
  <c r="AA254" i="1" s="1"/>
  <c r="AR255" i="1"/>
  <c r="AS255" i="1" s="1"/>
  <c r="AR256" i="1"/>
  <c r="AS256" i="1" s="1"/>
  <c r="AR257" i="1"/>
  <c r="AS257" i="1" s="1"/>
  <c r="AC231" i="1"/>
  <c r="AC232" i="1"/>
  <c r="AC233" i="1"/>
  <c r="AC234" i="1"/>
  <c r="AC235" i="1"/>
  <c r="AC236" i="1"/>
  <c r="AC237" i="1"/>
  <c r="AC238" i="1"/>
  <c r="AC239" i="1"/>
  <c r="AC240" i="1"/>
  <c r="AC241" i="1"/>
  <c r="AC242" i="1"/>
  <c r="AD231" i="1"/>
  <c r="AD232" i="1"/>
  <c r="AD233" i="1"/>
  <c r="AD234" i="1"/>
  <c r="AD235" i="1"/>
  <c r="AD236" i="1"/>
  <c r="AD237" i="1"/>
  <c r="AD238" i="1"/>
  <c r="AD239" i="1"/>
  <c r="AD240" i="1"/>
  <c r="AD241" i="1"/>
  <c r="AD242" i="1"/>
  <c r="AE231" i="1"/>
  <c r="AE232" i="1"/>
  <c r="AE233" i="1"/>
  <c r="AE234" i="1"/>
  <c r="AE235" i="1"/>
  <c r="AE236" i="1"/>
  <c r="AE237" i="1"/>
  <c r="AE238" i="1"/>
  <c r="AE239" i="1"/>
  <c r="AE240" i="1"/>
  <c r="AE241" i="1"/>
  <c r="AE242" i="1"/>
  <c r="AG231" i="1"/>
  <c r="AG232" i="1"/>
  <c r="AG233" i="1"/>
  <c r="AG234" i="1"/>
  <c r="AG235" i="1"/>
  <c r="AG236" i="1"/>
  <c r="AG237" i="1"/>
  <c r="AG238" i="1"/>
  <c r="AG239" i="1"/>
  <c r="AG240" i="1"/>
  <c r="AG241" i="1"/>
  <c r="AG242" i="1"/>
  <c r="AH231" i="1"/>
  <c r="AH232" i="1"/>
  <c r="AH233" i="1"/>
  <c r="AH234" i="1"/>
  <c r="AH235" i="1"/>
  <c r="AH236" i="1"/>
  <c r="AH237" i="1"/>
  <c r="AH238" i="1"/>
  <c r="AH239" i="1"/>
  <c r="AH240" i="1"/>
  <c r="AH241" i="1"/>
  <c r="AH242" i="1"/>
  <c r="AJ231" i="1"/>
  <c r="AJ232" i="1"/>
  <c r="AJ233" i="1"/>
  <c r="AJ234" i="1"/>
  <c r="AJ235" i="1"/>
  <c r="AJ236" i="1"/>
  <c r="AJ237" i="1"/>
  <c r="AJ238" i="1"/>
  <c r="AJ239" i="1"/>
  <c r="AJ240" i="1"/>
  <c r="AJ241" i="1"/>
  <c r="AJ242" i="1"/>
  <c r="AK231" i="1"/>
  <c r="AK232" i="1"/>
  <c r="AK233" i="1"/>
  <c r="AK234" i="1"/>
  <c r="AK235" i="1"/>
  <c r="AK236" i="1"/>
  <c r="AK237" i="1"/>
  <c r="AK238" i="1"/>
  <c r="AK239" i="1"/>
  <c r="AK240" i="1"/>
  <c r="AK241" i="1"/>
  <c r="AK242" i="1"/>
  <c r="AL231" i="1"/>
  <c r="AL232" i="1"/>
  <c r="AL233" i="1"/>
  <c r="AL234" i="1"/>
  <c r="AL235" i="1"/>
  <c r="AL236" i="1"/>
  <c r="AL237" i="1"/>
  <c r="AL238" i="1"/>
  <c r="AL239" i="1"/>
  <c r="AL240" i="1"/>
  <c r="AL241" i="1"/>
  <c r="AL242" i="1"/>
  <c r="AM231" i="1"/>
  <c r="AM232" i="1"/>
  <c r="AM233" i="1"/>
  <c r="AM234" i="1"/>
  <c r="AM235" i="1"/>
  <c r="AM236" i="1"/>
  <c r="AM237" i="1"/>
  <c r="AM238" i="1"/>
  <c r="AM239" i="1"/>
  <c r="AM240" i="1"/>
  <c r="AM241" i="1"/>
  <c r="AM242" i="1"/>
  <c r="AP231" i="1"/>
  <c r="AP232" i="1"/>
  <c r="AP233" i="1"/>
  <c r="AP234" i="1"/>
  <c r="AP235" i="1"/>
  <c r="AP236" i="1"/>
  <c r="AP237" i="1"/>
  <c r="AP238" i="1"/>
  <c r="AP239" i="1"/>
  <c r="AP240" i="1"/>
  <c r="AP241" i="1"/>
  <c r="AP242" i="1"/>
  <c r="AR231" i="1"/>
  <c r="AA231" i="1" s="1"/>
  <c r="AR232" i="1"/>
  <c r="AA232" i="1" s="1"/>
  <c r="AR233" i="1"/>
  <c r="AA233" i="1" s="1"/>
  <c r="AR234" i="1"/>
  <c r="AA234" i="1" s="1"/>
  <c r="AR235" i="1"/>
  <c r="AS235" i="1" s="1"/>
  <c r="AR236" i="1"/>
  <c r="AS236" i="1" s="1"/>
  <c r="AR237" i="1"/>
  <c r="AS237" i="1" s="1"/>
  <c r="AR238" i="1"/>
  <c r="AS238" i="1" s="1"/>
  <c r="AR239" i="1"/>
  <c r="AS239" i="1" s="1"/>
  <c r="AR240" i="1"/>
  <c r="AS240" i="1" s="1"/>
  <c r="AR241" i="1"/>
  <c r="AA241" i="1" s="1"/>
  <c r="AR242" i="1"/>
  <c r="AA242" i="1" s="1"/>
  <c r="AC222" i="1"/>
  <c r="AC223" i="1"/>
  <c r="AC224" i="1"/>
  <c r="AC225" i="1"/>
  <c r="AC226" i="1"/>
  <c r="AC227" i="1"/>
  <c r="AC228" i="1"/>
  <c r="AC229" i="1"/>
  <c r="AC230" i="1"/>
  <c r="AD222" i="1"/>
  <c r="AD223" i="1"/>
  <c r="AD224" i="1"/>
  <c r="AD225" i="1"/>
  <c r="AD226" i="1"/>
  <c r="AD227" i="1"/>
  <c r="AD228" i="1"/>
  <c r="AD229" i="1"/>
  <c r="AD230" i="1"/>
  <c r="AE222" i="1"/>
  <c r="AE223" i="1"/>
  <c r="AE224" i="1"/>
  <c r="AE225" i="1"/>
  <c r="AE226" i="1"/>
  <c r="AE227" i="1"/>
  <c r="AE228" i="1"/>
  <c r="AE229" i="1"/>
  <c r="AE230" i="1"/>
  <c r="AG222" i="1"/>
  <c r="AG223" i="1"/>
  <c r="AG224" i="1"/>
  <c r="AG225" i="1"/>
  <c r="AG226" i="1"/>
  <c r="AG227" i="1"/>
  <c r="AG228" i="1"/>
  <c r="AG229" i="1"/>
  <c r="AG230" i="1"/>
  <c r="AH222" i="1"/>
  <c r="AH223" i="1"/>
  <c r="AH224" i="1"/>
  <c r="AH225" i="1"/>
  <c r="AH226" i="1"/>
  <c r="AH227" i="1"/>
  <c r="AH228" i="1"/>
  <c r="AH229" i="1"/>
  <c r="AH230" i="1"/>
  <c r="AJ222" i="1"/>
  <c r="AJ223" i="1"/>
  <c r="AJ224" i="1"/>
  <c r="AJ225" i="1"/>
  <c r="AJ226" i="1"/>
  <c r="AJ227" i="1"/>
  <c r="AJ228" i="1"/>
  <c r="AJ229" i="1"/>
  <c r="AJ230" i="1"/>
  <c r="AK222" i="1"/>
  <c r="AK223" i="1"/>
  <c r="AK224" i="1"/>
  <c r="AK225" i="1"/>
  <c r="AK226" i="1"/>
  <c r="AK227" i="1"/>
  <c r="AK228" i="1"/>
  <c r="AK229" i="1"/>
  <c r="AK230" i="1"/>
  <c r="AL222" i="1"/>
  <c r="AL223" i="1"/>
  <c r="AL224" i="1"/>
  <c r="AL225" i="1"/>
  <c r="AL226" i="1"/>
  <c r="AL227" i="1"/>
  <c r="AL228" i="1"/>
  <c r="AL229" i="1"/>
  <c r="AL230" i="1"/>
  <c r="AM222" i="1"/>
  <c r="AM223" i="1"/>
  <c r="AM224" i="1"/>
  <c r="AM225" i="1"/>
  <c r="AM226" i="1"/>
  <c r="AM227" i="1"/>
  <c r="AM228" i="1"/>
  <c r="AM229" i="1"/>
  <c r="AM230" i="1"/>
  <c r="AP222" i="1"/>
  <c r="AP223" i="1"/>
  <c r="AP224" i="1"/>
  <c r="AP225" i="1"/>
  <c r="AP226" i="1"/>
  <c r="AP227" i="1"/>
  <c r="AP228" i="1"/>
  <c r="AP229" i="1"/>
  <c r="AP230" i="1"/>
  <c r="AR222" i="1"/>
  <c r="AA222" i="1" s="1"/>
  <c r="AR223" i="1"/>
  <c r="AA223" i="1" s="1"/>
  <c r="AR224" i="1"/>
  <c r="AA224" i="1" s="1"/>
  <c r="AR225" i="1"/>
  <c r="AA225" i="1" s="1"/>
  <c r="AR226" i="1"/>
  <c r="AS226" i="1" s="1"/>
  <c r="AR227" i="1"/>
  <c r="AS227" i="1" s="1"/>
  <c r="AR228" i="1"/>
  <c r="AS228" i="1" s="1"/>
  <c r="AR229" i="1"/>
  <c r="AS229" i="1" s="1"/>
  <c r="AR230" i="1"/>
  <c r="AS230" i="1" s="1"/>
  <c r="AC211" i="1"/>
  <c r="AC212" i="1"/>
  <c r="AC213" i="1"/>
  <c r="AC214" i="1"/>
  <c r="AC215" i="1"/>
  <c r="AC216" i="1"/>
  <c r="AC217" i="1"/>
  <c r="AC218" i="1"/>
  <c r="AC219" i="1"/>
  <c r="AC220" i="1"/>
  <c r="AC221" i="1"/>
  <c r="AD211" i="1"/>
  <c r="AD212" i="1"/>
  <c r="AD213" i="1"/>
  <c r="AD214" i="1"/>
  <c r="AD215" i="1"/>
  <c r="AD216" i="1"/>
  <c r="AD217" i="1"/>
  <c r="AD218" i="1"/>
  <c r="AD219" i="1"/>
  <c r="AD220" i="1"/>
  <c r="AD221" i="1"/>
  <c r="AE211" i="1"/>
  <c r="AE212" i="1"/>
  <c r="AE213" i="1"/>
  <c r="AE214" i="1"/>
  <c r="AE215" i="1"/>
  <c r="AE216" i="1"/>
  <c r="AE217" i="1"/>
  <c r="AE218" i="1"/>
  <c r="AE219" i="1"/>
  <c r="AE220" i="1"/>
  <c r="AE221" i="1"/>
  <c r="AG211" i="1"/>
  <c r="AG212" i="1"/>
  <c r="AG213" i="1"/>
  <c r="AG214" i="1"/>
  <c r="AG215" i="1"/>
  <c r="AG216" i="1"/>
  <c r="AG217" i="1"/>
  <c r="AG218" i="1"/>
  <c r="AG219" i="1"/>
  <c r="AG220" i="1"/>
  <c r="AG221" i="1"/>
  <c r="AH211" i="1"/>
  <c r="AH212" i="1"/>
  <c r="AH213" i="1"/>
  <c r="AH214" i="1"/>
  <c r="AH215" i="1"/>
  <c r="AH216" i="1"/>
  <c r="AH217" i="1"/>
  <c r="AH218" i="1"/>
  <c r="AH219" i="1"/>
  <c r="AH220" i="1"/>
  <c r="AH221" i="1"/>
  <c r="AJ211" i="1"/>
  <c r="AJ212" i="1"/>
  <c r="AJ213" i="1"/>
  <c r="AJ214" i="1"/>
  <c r="AJ215" i="1"/>
  <c r="AJ216" i="1"/>
  <c r="AJ217" i="1"/>
  <c r="AJ218" i="1"/>
  <c r="AJ219" i="1"/>
  <c r="AJ220" i="1"/>
  <c r="AJ221" i="1"/>
  <c r="AK211" i="1"/>
  <c r="AK212" i="1"/>
  <c r="AK213" i="1"/>
  <c r="AK214" i="1"/>
  <c r="AK215" i="1"/>
  <c r="AK216" i="1"/>
  <c r="AK217" i="1"/>
  <c r="AK218" i="1"/>
  <c r="AK219" i="1"/>
  <c r="AK220" i="1"/>
  <c r="AK221" i="1"/>
  <c r="AL211" i="1"/>
  <c r="AL212" i="1"/>
  <c r="AL213" i="1"/>
  <c r="AL214" i="1"/>
  <c r="AL215" i="1"/>
  <c r="AL216" i="1"/>
  <c r="AL217" i="1"/>
  <c r="AL218" i="1"/>
  <c r="AL219" i="1"/>
  <c r="AL220" i="1"/>
  <c r="AL221" i="1"/>
  <c r="AM211" i="1"/>
  <c r="AM212" i="1"/>
  <c r="AM213" i="1"/>
  <c r="AM214" i="1"/>
  <c r="AM215" i="1"/>
  <c r="AM216" i="1"/>
  <c r="AM217" i="1"/>
  <c r="AM218" i="1"/>
  <c r="AM219" i="1"/>
  <c r="AM220" i="1"/>
  <c r="AM221" i="1"/>
  <c r="AP211" i="1"/>
  <c r="AP212" i="1"/>
  <c r="AP213" i="1"/>
  <c r="AP214" i="1"/>
  <c r="AP215" i="1"/>
  <c r="AP216" i="1"/>
  <c r="AP217" i="1"/>
  <c r="AP218" i="1"/>
  <c r="AP219" i="1"/>
  <c r="AP220" i="1"/>
  <c r="AP221" i="1"/>
  <c r="AR211" i="1"/>
  <c r="AA211" i="1" s="1"/>
  <c r="AR212" i="1"/>
  <c r="AA212" i="1" s="1"/>
  <c r="AR213" i="1"/>
  <c r="AA213" i="1" s="1"/>
  <c r="AR214" i="1"/>
  <c r="AA214" i="1" s="1"/>
  <c r="AR215" i="1"/>
  <c r="AA215" i="1" s="1"/>
  <c r="AR216" i="1"/>
  <c r="AA216" i="1" s="1"/>
  <c r="AR217" i="1"/>
  <c r="AA217" i="1" s="1"/>
  <c r="AR218" i="1"/>
  <c r="AA218" i="1" s="1"/>
  <c r="AR219" i="1"/>
  <c r="AA219" i="1" s="1"/>
  <c r="AR220" i="1"/>
  <c r="AA220" i="1" s="1"/>
  <c r="AR221" i="1"/>
  <c r="AA221" i="1" s="1"/>
  <c r="AC200" i="1"/>
  <c r="AC201" i="1"/>
  <c r="AC202" i="1"/>
  <c r="AC203" i="1"/>
  <c r="AC204" i="1"/>
  <c r="AC205" i="1"/>
  <c r="AC206" i="1"/>
  <c r="AC207" i="1"/>
  <c r="AC208" i="1"/>
  <c r="AC209" i="1"/>
  <c r="AC210" i="1"/>
  <c r="AD200" i="1"/>
  <c r="AD201" i="1"/>
  <c r="AD202" i="1"/>
  <c r="AD203" i="1"/>
  <c r="AD204" i="1"/>
  <c r="AD205" i="1"/>
  <c r="AD206" i="1"/>
  <c r="AD207" i="1"/>
  <c r="AD208" i="1"/>
  <c r="AD209" i="1"/>
  <c r="AD210" i="1"/>
  <c r="AE200" i="1"/>
  <c r="AE201" i="1"/>
  <c r="AE202" i="1"/>
  <c r="AE203" i="1"/>
  <c r="AE204" i="1"/>
  <c r="AE205" i="1"/>
  <c r="AE206" i="1"/>
  <c r="AE207" i="1"/>
  <c r="AE208" i="1"/>
  <c r="AE209" i="1"/>
  <c r="AE210" i="1"/>
  <c r="AG200" i="1"/>
  <c r="AG201" i="1"/>
  <c r="AG202" i="1"/>
  <c r="AG203" i="1"/>
  <c r="AG204" i="1"/>
  <c r="AG205" i="1"/>
  <c r="AG206" i="1"/>
  <c r="AG207" i="1"/>
  <c r="AG208" i="1"/>
  <c r="AG209" i="1"/>
  <c r="AG210" i="1"/>
  <c r="AH200" i="1"/>
  <c r="AH201" i="1"/>
  <c r="AH202" i="1"/>
  <c r="AH203" i="1"/>
  <c r="AH204" i="1"/>
  <c r="AH205" i="1"/>
  <c r="AH206" i="1"/>
  <c r="AH207" i="1"/>
  <c r="AH208" i="1"/>
  <c r="AH209" i="1"/>
  <c r="AH210" i="1"/>
  <c r="AJ200" i="1"/>
  <c r="AJ201" i="1"/>
  <c r="AJ202" i="1"/>
  <c r="AJ203" i="1"/>
  <c r="AJ204" i="1"/>
  <c r="AJ205" i="1"/>
  <c r="AJ206" i="1"/>
  <c r="AJ207" i="1"/>
  <c r="AJ208" i="1"/>
  <c r="AJ209" i="1"/>
  <c r="AJ210" i="1"/>
  <c r="AK200" i="1"/>
  <c r="AK201" i="1"/>
  <c r="AK202" i="1"/>
  <c r="AK203" i="1"/>
  <c r="AK204" i="1"/>
  <c r="AK205" i="1"/>
  <c r="AK206" i="1"/>
  <c r="AK207" i="1"/>
  <c r="AK208" i="1"/>
  <c r="AK209" i="1"/>
  <c r="AK210" i="1"/>
  <c r="AL200" i="1"/>
  <c r="AL201" i="1"/>
  <c r="AL202" i="1"/>
  <c r="AL203" i="1"/>
  <c r="AL204" i="1"/>
  <c r="AL205" i="1"/>
  <c r="AL206" i="1"/>
  <c r="AL207" i="1"/>
  <c r="AL208" i="1"/>
  <c r="AL209" i="1"/>
  <c r="AL210" i="1"/>
  <c r="AM200" i="1"/>
  <c r="AM201" i="1"/>
  <c r="AM202" i="1"/>
  <c r="AM203" i="1"/>
  <c r="AM204" i="1"/>
  <c r="AM205" i="1"/>
  <c r="AM206" i="1"/>
  <c r="AM207" i="1"/>
  <c r="AM208" i="1"/>
  <c r="AM209" i="1"/>
  <c r="AM210" i="1"/>
  <c r="AP200" i="1"/>
  <c r="AP201" i="1"/>
  <c r="AP202" i="1"/>
  <c r="AP203" i="1"/>
  <c r="AP204" i="1"/>
  <c r="AP205" i="1"/>
  <c r="AP206" i="1"/>
  <c r="AP207" i="1"/>
  <c r="AP208" i="1"/>
  <c r="AP209" i="1"/>
  <c r="AP210" i="1"/>
  <c r="AR200" i="1"/>
  <c r="AA200" i="1" s="1"/>
  <c r="AR201" i="1"/>
  <c r="AA201" i="1" s="1"/>
  <c r="AR202" i="1"/>
  <c r="AA202" i="1" s="1"/>
  <c r="AR203" i="1"/>
  <c r="AA203" i="1" s="1"/>
  <c r="AR204" i="1"/>
  <c r="AA204" i="1" s="1"/>
  <c r="AR205" i="1"/>
  <c r="AA205" i="1" s="1"/>
  <c r="AR206" i="1"/>
  <c r="AA206" i="1" s="1"/>
  <c r="AR207" i="1"/>
  <c r="AA207" i="1" s="1"/>
  <c r="AR208" i="1"/>
  <c r="AA208" i="1" s="1"/>
  <c r="AR209" i="1"/>
  <c r="AA209" i="1" s="1"/>
  <c r="AR210" i="1"/>
  <c r="AA210" i="1" s="1"/>
  <c r="AC192" i="1"/>
  <c r="AC193" i="1"/>
  <c r="AC194" i="1"/>
  <c r="AC195" i="1"/>
  <c r="AC196" i="1"/>
  <c r="AC197" i="1"/>
  <c r="AC198" i="1"/>
  <c r="AC199" i="1"/>
  <c r="AD192" i="1"/>
  <c r="AD193" i="1"/>
  <c r="AD194" i="1"/>
  <c r="AD195" i="1"/>
  <c r="AD196" i="1"/>
  <c r="AD197" i="1"/>
  <c r="AD198" i="1"/>
  <c r="AD199" i="1"/>
  <c r="AE192" i="1"/>
  <c r="AE193" i="1"/>
  <c r="AE194" i="1"/>
  <c r="AE195" i="1"/>
  <c r="AE196" i="1"/>
  <c r="AE197" i="1"/>
  <c r="AE198" i="1"/>
  <c r="AE199" i="1"/>
  <c r="AG192" i="1"/>
  <c r="AG193" i="1"/>
  <c r="AG194" i="1"/>
  <c r="AG195" i="1"/>
  <c r="AG196" i="1"/>
  <c r="AG197" i="1"/>
  <c r="AG198" i="1"/>
  <c r="AG199" i="1"/>
  <c r="AH192" i="1"/>
  <c r="AH193" i="1"/>
  <c r="AH194" i="1"/>
  <c r="AH195" i="1"/>
  <c r="AH196" i="1"/>
  <c r="AH197" i="1"/>
  <c r="AH198" i="1"/>
  <c r="AH199" i="1"/>
  <c r="AJ192" i="1"/>
  <c r="AJ193" i="1"/>
  <c r="AJ194" i="1"/>
  <c r="AJ195" i="1"/>
  <c r="AJ196" i="1"/>
  <c r="AJ197" i="1"/>
  <c r="AJ198" i="1"/>
  <c r="AJ199" i="1"/>
  <c r="AK192" i="1"/>
  <c r="AK193" i="1"/>
  <c r="AK194" i="1"/>
  <c r="AK195" i="1"/>
  <c r="AK196" i="1"/>
  <c r="AK197" i="1"/>
  <c r="AK198" i="1"/>
  <c r="AK199" i="1"/>
  <c r="AL192" i="1"/>
  <c r="AL193" i="1"/>
  <c r="AL194" i="1"/>
  <c r="AL195" i="1"/>
  <c r="AL196" i="1"/>
  <c r="AL197" i="1"/>
  <c r="AL198" i="1"/>
  <c r="AL199" i="1"/>
  <c r="AM192" i="1"/>
  <c r="AM193" i="1"/>
  <c r="AM194" i="1"/>
  <c r="AM195" i="1"/>
  <c r="AM196" i="1"/>
  <c r="AM197" i="1"/>
  <c r="AM198" i="1"/>
  <c r="AM199" i="1"/>
  <c r="AP192" i="1"/>
  <c r="AP193" i="1"/>
  <c r="AP194" i="1"/>
  <c r="AP195" i="1"/>
  <c r="AP196" i="1"/>
  <c r="AP197" i="1"/>
  <c r="AP198" i="1"/>
  <c r="AP199" i="1"/>
  <c r="AR192" i="1"/>
  <c r="AA192" i="1" s="1"/>
  <c r="AR193" i="1"/>
  <c r="AA193" i="1" s="1"/>
  <c r="AR194" i="1"/>
  <c r="AA194" i="1" s="1"/>
  <c r="AR195" i="1"/>
  <c r="AA195" i="1" s="1"/>
  <c r="AR196" i="1"/>
  <c r="AA196" i="1" s="1"/>
  <c r="AR197" i="1"/>
  <c r="AA197" i="1" s="1"/>
  <c r="AR198" i="1"/>
  <c r="AA198" i="1" s="1"/>
  <c r="AR199" i="1"/>
  <c r="AA199" i="1" s="1"/>
  <c r="AC186" i="1"/>
  <c r="AC187" i="1"/>
  <c r="AC188" i="1"/>
  <c r="AC189" i="1"/>
  <c r="AC190" i="1"/>
  <c r="AC191" i="1"/>
  <c r="AD186" i="1"/>
  <c r="AD187" i="1"/>
  <c r="AD188" i="1"/>
  <c r="AD189" i="1"/>
  <c r="AD190" i="1"/>
  <c r="AD191" i="1"/>
  <c r="AE186" i="1"/>
  <c r="AE187" i="1"/>
  <c r="AE188" i="1"/>
  <c r="AE189" i="1"/>
  <c r="AE190" i="1"/>
  <c r="AE191" i="1"/>
  <c r="AG186" i="1"/>
  <c r="AG187" i="1"/>
  <c r="AG188" i="1"/>
  <c r="AG189" i="1"/>
  <c r="AG190" i="1"/>
  <c r="AG191" i="1"/>
  <c r="AH186" i="1"/>
  <c r="AH187" i="1"/>
  <c r="AH188" i="1"/>
  <c r="AH189" i="1"/>
  <c r="AH190" i="1"/>
  <c r="AH191" i="1"/>
  <c r="AJ186" i="1"/>
  <c r="AJ187" i="1"/>
  <c r="AJ188" i="1"/>
  <c r="AJ189" i="1"/>
  <c r="AJ190" i="1"/>
  <c r="AJ191" i="1"/>
  <c r="AK186" i="1"/>
  <c r="AK187" i="1"/>
  <c r="AK188" i="1"/>
  <c r="AK189" i="1"/>
  <c r="AK190" i="1"/>
  <c r="AK191" i="1"/>
  <c r="AL186" i="1"/>
  <c r="AL187" i="1"/>
  <c r="AL188" i="1"/>
  <c r="AL189" i="1"/>
  <c r="AL190" i="1"/>
  <c r="AL191" i="1"/>
  <c r="AM186" i="1"/>
  <c r="AM187" i="1"/>
  <c r="AM188" i="1"/>
  <c r="AM189" i="1"/>
  <c r="AM190" i="1"/>
  <c r="AM191" i="1"/>
  <c r="AP186" i="1"/>
  <c r="AP187" i="1"/>
  <c r="AP188" i="1"/>
  <c r="AP189" i="1"/>
  <c r="AP190" i="1"/>
  <c r="AP191" i="1"/>
  <c r="AR186" i="1"/>
  <c r="AA186" i="1" s="1"/>
  <c r="AR187" i="1"/>
  <c r="AA187" i="1" s="1"/>
  <c r="AR188" i="1"/>
  <c r="AA188" i="1" s="1"/>
  <c r="AR189" i="1"/>
  <c r="AA189" i="1" s="1"/>
  <c r="AR190" i="1"/>
  <c r="AA190" i="1" s="1"/>
  <c r="AR191" i="1"/>
  <c r="AA191" i="1" s="1"/>
  <c r="AC181" i="1"/>
  <c r="AC182" i="1"/>
  <c r="AC183" i="1"/>
  <c r="AC184" i="1"/>
  <c r="AC185" i="1"/>
  <c r="AD181" i="1"/>
  <c r="AD182" i="1"/>
  <c r="AD183" i="1"/>
  <c r="AD184" i="1"/>
  <c r="AD185" i="1"/>
  <c r="AE181" i="1"/>
  <c r="AE182" i="1"/>
  <c r="AE183" i="1"/>
  <c r="AE184" i="1"/>
  <c r="AE185" i="1"/>
  <c r="AG181" i="1"/>
  <c r="AG182" i="1"/>
  <c r="AG183" i="1"/>
  <c r="AG184" i="1"/>
  <c r="AG185" i="1"/>
  <c r="AH181" i="1"/>
  <c r="AH182" i="1"/>
  <c r="AH183" i="1"/>
  <c r="AH184" i="1"/>
  <c r="AH185" i="1"/>
  <c r="AJ181" i="1"/>
  <c r="AJ182" i="1"/>
  <c r="AJ183" i="1"/>
  <c r="AJ184" i="1"/>
  <c r="AJ185" i="1"/>
  <c r="AK181" i="1"/>
  <c r="AK182" i="1"/>
  <c r="AK183" i="1"/>
  <c r="AK184" i="1"/>
  <c r="AK185" i="1"/>
  <c r="AL181" i="1"/>
  <c r="AL182" i="1"/>
  <c r="AL183" i="1"/>
  <c r="AL184" i="1"/>
  <c r="AL185" i="1"/>
  <c r="AM181" i="1"/>
  <c r="AM182" i="1"/>
  <c r="AM183" i="1"/>
  <c r="AM184" i="1"/>
  <c r="AM185" i="1"/>
  <c r="AP181" i="1"/>
  <c r="AP182" i="1"/>
  <c r="AP183" i="1"/>
  <c r="AP184" i="1"/>
  <c r="AP185" i="1"/>
  <c r="AR181" i="1"/>
  <c r="AA181" i="1" s="1"/>
  <c r="AR182" i="1"/>
  <c r="AA182" i="1" s="1"/>
  <c r="AR183" i="1"/>
  <c r="AA183" i="1" s="1"/>
  <c r="AR184" i="1"/>
  <c r="AA184" i="1" s="1"/>
  <c r="AR185" i="1"/>
  <c r="AA185" i="1" s="1"/>
  <c r="AC172" i="1"/>
  <c r="AC173" i="1"/>
  <c r="AC174" i="1"/>
  <c r="AC175" i="1"/>
  <c r="AC176" i="1"/>
  <c r="AC177" i="1"/>
  <c r="AC178" i="1"/>
  <c r="AC179" i="1"/>
  <c r="AC180" i="1"/>
  <c r="AD172" i="1"/>
  <c r="AD173" i="1"/>
  <c r="AD174" i="1"/>
  <c r="AD175" i="1"/>
  <c r="AD176" i="1"/>
  <c r="AD177" i="1"/>
  <c r="AD178" i="1"/>
  <c r="AD179" i="1"/>
  <c r="AD180" i="1"/>
  <c r="AE172" i="1"/>
  <c r="AE173" i="1"/>
  <c r="AE174" i="1"/>
  <c r="AE175" i="1"/>
  <c r="AE176" i="1"/>
  <c r="AE177" i="1"/>
  <c r="AE178" i="1"/>
  <c r="AE179" i="1"/>
  <c r="AE180" i="1"/>
  <c r="AG172" i="1"/>
  <c r="AG173" i="1"/>
  <c r="AG174" i="1"/>
  <c r="AG175" i="1"/>
  <c r="AG176" i="1"/>
  <c r="AG177" i="1"/>
  <c r="AG178" i="1"/>
  <c r="AG179" i="1"/>
  <c r="AG180" i="1"/>
  <c r="AH172" i="1"/>
  <c r="AH173" i="1"/>
  <c r="AH174" i="1"/>
  <c r="AH175" i="1"/>
  <c r="AH176" i="1"/>
  <c r="AH177" i="1"/>
  <c r="AH178" i="1"/>
  <c r="AH179" i="1"/>
  <c r="AH180" i="1"/>
  <c r="AJ172" i="1"/>
  <c r="AJ173" i="1"/>
  <c r="AJ174" i="1"/>
  <c r="AJ175" i="1"/>
  <c r="AJ176" i="1"/>
  <c r="AJ177" i="1"/>
  <c r="AJ178" i="1"/>
  <c r="AJ179" i="1"/>
  <c r="AJ180" i="1"/>
  <c r="AK172" i="1"/>
  <c r="AK173" i="1"/>
  <c r="AK174" i="1"/>
  <c r="AK175" i="1"/>
  <c r="AK176" i="1"/>
  <c r="AK177" i="1"/>
  <c r="AK178" i="1"/>
  <c r="AK179" i="1"/>
  <c r="AK180" i="1"/>
  <c r="AL172" i="1"/>
  <c r="AL173" i="1"/>
  <c r="AL174" i="1"/>
  <c r="AL175" i="1"/>
  <c r="AL176" i="1"/>
  <c r="AL177" i="1"/>
  <c r="AL178" i="1"/>
  <c r="AL179" i="1"/>
  <c r="AL180" i="1"/>
  <c r="AM172" i="1"/>
  <c r="AM173" i="1"/>
  <c r="AM174" i="1"/>
  <c r="AM175" i="1"/>
  <c r="AM176" i="1"/>
  <c r="AM177" i="1"/>
  <c r="AM178" i="1"/>
  <c r="AM179" i="1"/>
  <c r="AM180" i="1"/>
  <c r="AP172" i="1"/>
  <c r="AP173" i="1"/>
  <c r="AP174" i="1"/>
  <c r="AP175" i="1"/>
  <c r="AP176" i="1"/>
  <c r="AP177" i="1"/>
  <c r="AP178" i="1"/>
  <c r="AP179" i="1"/>
  <c r="AP180" i="1"/>
  <c r="AR172" i="1"/>
  <c r="AA172" i="1" s="1"/>
  <c r="AR173" i="1"/>
  <c r="AA173" i="1" s="1"/>
  <c r="AR174" i="1"/>
  <c r="AA174" i="1" s="1"/>
  <c r="AR175" i="1"/>
  <c r="AA175" i="1" s="1"/>
  <c r="AR176" i="1"/>
  <c r="AA176" i="1" s="1"/>
  <c r="AR177" i="1"/>
  <c r="AA177" i="1" s="1"/>
  <c r="AR178" i="1"/>
  <c r="AA178" i="1" s="1"/>
  <c r="AR179" i="1"/>
  <c r="AA179" i="1" s="1"/>
  <c r="AR180" i="1"/>
  <c r="AS180" i="1" s="1"/>
  <c r="AD26" i="6" l="1"/>
  <c r="AC26" i="6"/>
  <c r="AB26" i="6"/>
  <c r="AA26" i="6"/>
  <c r="AF27" i="4"/>
  <c r="B26" i="6"/>
  <c r="E26" i="6"/>
  <c r="C26" i="6"/>
  <c r="N26" i="6"/>
  <c r="Q26" i="6"/>
  <c r="P26" i="6"/>
  <c r="O26" i="6"/>
  <c r="AS209" i="1"/>
  <c r="AS241" i="1"/>
  <c r="AS210" i="1"/>
  <c r="AS262" i="1"/>
  <c r="AS242" i="1"/>
  <c r="AS261" i="1"/>
  <c r="AQ63" i="4"/>
  <c r="AQ102" i="4"/>
  <c r="AK63" i="4"/>
  <c r="Y173" i="4"/>
  <c r="Y84" i="4"/>
  <c r="AK46" i="4"/>
  <c r="Y27" i="4"/>
  <c r="AQ50" i="4"/>
  <c r="Y15" i="4"/>
  <c r="Y28" i="4"/>
  <c r="Y143" i="4"/>
  <c r="Y142" i="4"/>
  <c r="Y140" i="4"/>
  <c r="AK24" i="4"/>
  <c r="AK6" i="4"/>
  <c r="AK82" i="4"/>
  <c r="AK21" i="4"/>
  <c r="Y89" i="4"/>
  <c r="Y95" i="4"/>
  <c r="Y69" i="4"/>
  <c r="AK32" i="4"/>
  <c r="AQ128" i="4"/>
  <c r="Y98" i="4"/>
  <c r="Y159" i="4"/>
  <c r="AQ94" i="4"/>
  <c r="AK69" i="4"/>
  <c r="Y10" i="4"/>
  <c r="Y35" i="4"/>
  <c r="AK19" i="4"/>
  <c r="AK14" i="4"/>
  <c r="Y78" i="4"/>
  <c r="Y43" i="4"/>
  <c r="Y114" i="4"/>
  <c r="Y110" i="4"/>
  <c r="Y64" i="4"/>
  <c r="AK15" i="4"/>
  <c r="AQ34" i="4"/>
  <c r="AQ119" i="4"/>
  <c r="AK22" i="4"/>
  <c r="AK78" i="4"/>
  <c r="AQ101" i="4"/>
  <c r="AK56" i="4"/>
  <c r="AQ45" i="4"/>
  <c r="Y8" i="4"/>
  <c r="Y157" i="4"/>
  <c r="AK9" i="4"/>
  <c r="AQ62" i="4"/>
  <c r="AQ91" i="4"/>
  <c r="Y162" i="4"/>
  <c r="Y127" i="4"/>
  <c r="AK27" i="4"/>
  <c r="Y145" i="4"/>
  <c r="AQ26" i="4"/>
  <c r="AQ67" i="4"/>
  <c r="AQ103" i="4"/>
  <c r="AQ33" i="4"/>
  <c r="AQ85" i="4"/>
  <c r="AK60" i="4"/>
  <c r="Y53" i="4"/>
  <c r="AK4" i="4"/>
  <c r="AK72" i="4"/>
  <c r="AK28" i="4"/>
  <c r="AK71" i="4"/>
  <c r="AK45" i="4"/>
  <c r="Y56" i="4"/>
  <c r="Y22" i="4"/>
  <c r="Y19" i="4"/>
  <c r="AK79" i="4"/>
  <c r="Y40" i="4"/>
  <c r="AQ68" i="4"/>
  <c r="AQ60" i="4"/>
  <c r="Y83" i="4"/>
  <c r="AQ122" i="4"/>
  <c r="Y171" i="4"/>
  <c r="Y5" i="4"/>
  <c r="Y18" i="4"/>
  <c r="Y156" i="4"/>
  <c r="Y129" i="4"/>
  <c r="Y154" i="4"/>
  <c r="AK10" i="4"/>
  <c r="AQ29" i="4"/>
  <c r="AQ118" i="4"/>
  <c r="Y135" i="4"/>
  <c r="Y153" i="4"/>
  <c r="Y42" i="4"/>
  <c r="Y87" i="4"/>
  <c r="Y151" i="4"/>
  <c r="AQ108" i="4"/>
  <c r="Y81" i="4"/>
  <c r="AQ86" i="4"/>
  <c r="Y133" i="4"/>
  <c r="AQ148" i="4"/>
  <c r="AK59" i="4"/>
  <c r="AQ49" i="4"/>
  <c r="AQ82" i="4"/>
  <c r="AK17" i="4"/>
  <c r="AK65" i="4"/>
  <c r="Y44" i="4"/>
  <c r="Y75" i="4"/>
  <c r="AK23" i="4"/>
  <c r="AQ97" i="4"/>
  <c r="AQ71" i="4"/>
  <c r="AQ93" i="4"/>
  <c r="AQ21" i="4"/>
  <c r="AQ58" i="4"/>
  <c r="AQ104" i="4"/>
  <c r="AQ117" i="4"/>
  <c r="AQ13" i="4"/>
  <c r="AQ48" i="4"/>
  <c r="AQ149" i="4"/>
  <c r="AQ137" i="4"/>
  <c r="AQ115" i="4"/>
  <c r="AQ88" i="4"/>
  <c r="AQ23" i="4"/>
  <c r="AK18" i="4"/>
  <c r="AQ66" i="4"/>
  <c r="Y125" i="4"/>
  <c r="Y132" i="4"/>
  <c r="AK16" i="4"/>
  <c r="AK68" i="4"/>
  <c r="AK35" i="4"/>
  <c r="AK76" i="4"/>
  <c r="AQ54" i="4"/>
  <c r="AQ165" i="4"/>
  <c r="AQ170" i="4"/>
  <c r="AQ172" i="4"/>
  <c r="AK73" i="4"/>
  <c r="AQ16" i="4"/>
  <c r="AK26" i="4"/>
  <c r="AQ72" i="4"/>
  <c r="AQ160" i="4"/>
  <c r="AK70" i="4"/>
  <c r="Y161" i="4"/>
  <c r="AK57" i="4"/>
  <c r="AK5" i="4"/>
  <c r="AQ24" i="4"/>
  <c r="AQ55" i="4"/>
  <c r="Y30" i="4"/>
  <c r="AQ123" i="4"/>
  <c r="AQ120" i="4"/>
  <c r="AK29" i="4"/>
  <c r="Y31" i="4"/>
  <c r="Y92" i="4"/>
  <c r="AQ106" i="4"/>
  <c r="AQ113" i="4"/>
  <c r="AQ124" i="4"/>
  <c r="Y150" i="4"/>
  <c r="Y41" i="4"/>
  <c r="AK47" i="4"/>
  <c r="AK80" i="4"/>
  <c r="AK39" i="4"/>
  <c r="AK50" i="4"/>
  <c r="AK61" i="4"/>
  <c r="AK20" i="4"/>
  <c r="AQ38" i="4"/>
  <c r="Y164" i="4"/>
  <c r="AQ39" i="4"/>
  <c r="AQ76" i="4"/>
  <c r="AQ61" i="4"/>
  <c r="AQ109" i="4"/>
  <c r="AQ130" i="4"/>
  <c r="AQ144" i="4"/>
  <c r="AQ158" i="4"/>
  <c r="AQ166" i="4"/>
  <c r="AQ11" i="4"/>
  <c r="AQ7" i="4"/>
  <c r="AQ163" i="4"/>
  <c r="Y73" i="4"/>
  <c r="Y59" i="4"/>
  <c r="Y14" i="4"/>
  <c r="AQ100" i="4"/>
  <c r="Y3" i="4"/>
  <c r="AQ2" i="4"/>
  <c r="AQ146" i="4"/>
  <c r="AQ96" i="4"/>
  <c r="AQ167" i="4"/>
  <c r="AQ32" i="4"/>
  <c r="AQ36" i="4"/>
  <c r="AQ12" i="4"/>
  <c r="AQ52" i="4"/>
  <c r="AQ25" i="4"/>
  <c r="AQ111" i="4"/>
  <c r="AQ107" i="4"/>
  <c r="AQ131" i="4"/>
  <c r="AQ138" i="4"/>
  <c r="AQ147" i="4"/>
  <c r="Y169" i="4"/>
  <c r="AQ121" i="4"/>
  <c r="AQ168" i="4"/>
  <c r="AQ6" i="4"/>
  <c r="AE27" i="4"/>
  <c r="AQ105" i="4"/>
  <c r="AQ77" i="4"/>
  <c r="AQ134" i="4"/>
  <c r="Y139" i="4"/>
  <c r="AQ90" i="4"/>
  <c r="AQ51" i="4"/>
  <c r="AQ155" i="4"/>
  <c r="AQ17" i="4"/>
  <c r="AQ20" i="4"/>
  <c r="AQ70" i="4"/>
  <c r="AQ80" i="4"/>
  <c r="AQ74" i="4"/>
  <c r="AQ112" i="4"/>
  <c r="AQ136" i="4"/>
  <c r="AQ116" i="4"/>
  <c r="Y126" i="4"/>
  <c r="Y141" i="4"/>
  <c r="Y152" i="4"/>
  <c r="Y99" i="4"/>
  <c r="AQ47" i="4"/>
  <c r="AQ57" i="4"/>
  <c r="AQ9" i="4"/>
  <c r="AQ4" i="4"/>
  <c r="AQ65" i="4"/>
  <c r="AQ46" i="4"/>
  <c r="AQ79" i="4"/>
  <c r="AA230" i="1"/>
  <c r="AS260" i="1"/>
  <c r="AS259" i="1"/>
  <c r="AS258" i="1"/>
  <c r="AS254" i="1"/>
  <c r="AS253" i="1"/>
  <c r="AS208" i="1"/>
  <c r="AS252" i="1"/>
  <c r="AS207" i="1"/>
  <c r="AS251" i="1"/>
  <c r="AS250" i="1"/>
  <c r="AS249" i="1"/>
  <c r="AS248" i="1"/>
  <c r="AS247" i="1"/>
  <c r="AS246" i="1"/>
  <c r="AS213" i="1"/>
  <c r="AS212" i="1"/>
  <c r="AS245" i="1"/>
  <c r="AA257" i="1"/>
  <c r="AS244" i="1"/>
  <c r="AA256" i="1"/>
  <c r="AS243" i="1"/>
  <c r="AA255" i="1"/>
  <c r="AA229" i="1"/>
  <c r="AA228" i="1"/>
  <c r="AA227" i="1"/>
  <c r="AA240" i="1"/>
  <c r="AA226" i="1"/>
  <c r="AA239" i="1"/>
  <c r="AA238" i="1"/>
  <c r="AA237" i="1"/>
  <c r="AS221" i="1"/>
  <c r="AA236" i="1"/>
  <c r="AS220" i="1"/>
  <c r="AA235" i="1"/>
  <c r="AS219" i="1"/>
  <c r="AS218" i="1"/>
  <c r="AS217" i="1"/>
  <c r="AS216" i="1"/>
  <c r="AS215" i="1"/>
  <c r="AS214" i="1"/>
  <c r="AS234" i="1"/>
  <c r="AS233" i="1"/>
  <c r="AS232" i="1"/>
  <c r="AS231" i="1"/>
  <c r="AS195" i="1"/>
  <c r="AS203" i="1"/>
  <c r="AS202" i="1"/>
  <c r="AS225" i="1"/>
  <c r="AS224" i="1"/>
  <c r="AS223" i="1"/>
  <c r="AS222" i="1"/>
  <c r="AS184" i="1"/>
  <c r="AS206" i="1"/>
  <c r="AS211" i="1"/>
  <c r="AS205" i="1"/>
  <c r="AS196" i="1"/>
  <c r="AS204" i="1"/>
  <c r="AS201" i="1"/>
  <c r="AS200" i="1"/>
  <c r="AS199" i="1"/>
  <c r="AS198" i="1"/>
  <c r="AS197" i="1"/>
  <c r="AS194" i="1"/>
  <c r="AS193" i="1"/>
  <c r="AS192" i="1"/>
  <c r="AS182" i="1"/>
  <c r="AS191" i="1"/>
  <c r="AS190" i="1"/>
  <c r="AS189" i="1"/>
  <c r="AS188" i="1"/>
  <c r="AS187" i="1"/>
  <c r="AS186" i="1"/>
  <c r="AA180" i="1"/>
  <c r="AS179" i="1"/>
  <c r="AS178" i="1"/>
  <c r="AS183" i="1"/>
  <c r="AS185" i="1"/>
  <c r="AS181" i="1"/>
  <c r="AS175" i="1"/>
  <c r="AS174" i="1"/>
  <c r="AS173" i="1"/>
  <c r="AS172" i="1"/>
  <c r="AS177" i="1"/>
  <c r="AS176" i="1"/>
  <c r="AD57" i="1" l="1"/>
  <c r="AR171" i="1" l="1"/>
  <c r="AP171" i="1"/>
  <c r="AM171" i="1"/>
  <c r="AL171" i="1"/>
  <c r="AK171" i="1"/>
  <c r="AJ171" i="1"/>
  <c r="AH171" i="1"/>
  <c r="AG171" i="1"/>
  <c r="AE171" i="1"/>
  <c r="AD171" i="1"/>
  <c r="AC171" i="1"/>
  <c r="AA171" i="1"/>
  <c r="AR170" i="1"/>
  <c r="AP170" i="1"/>
  <c r="AM170" i="1"/>
  <c r="AL170" i="1"/>
  <c r="AK170" i="1"/>
  <c r="AJ170" i="1"/>
  <c r="AH170" i="1"/>
  <c r="AG170" i="1"/>
  <c r="AE170" i="1"/>
  <c r="AD170" i="1"/>
  <c r="AC170" i="1"/>
  <c r="AR169" i="1"/>
  <c r="AP169" i="1"/>
  <c r="AM169" i="1"/>
  <c r="AL169" i="1"/>
  <c r="AK169" i="1"/>
  <c r="AJ169" i="1"/>
  <c r="AH169" i="1"/>
  <c r="AG169" i="1"/>
  <c r="AE169" i="1"/>
  <c r="AD169" i="1"/>
  <c r="AC169" i="1"/>
  <c r="AR168" i="1"/>
  <c r="AP168" i="1"/>
  <c r="AM168" i="1"/>
  <c r="AL168" i="1"/>
  <c r="AK168" i="1"/>
  <c r="AJ168" i="1"/>
  <c r="AH168" i="1"/>
  <c r="AG168" i="1"/>
  <c r="AE168" i="1"/>
  <c r="AD168" i="1"/>
  <c r="AC168" i="1"/>
  <c r="AR167" i="1"/>
  <c r="AP167" i="1"/>
  <c r="AM167" i="1"/>
  <c r="AL167" i="1"/>
  <c r="AK167" i="1"/>
  <c r="AJ167" i="1"/>
  <c r="AH167" i="1"/>
  <c r="AG167" i="1"/>
  <c r="AE167" i="1"/>
  <c r="AD167" i="1"/>
  <c r="AC167" i="1"/>
  <c r="AR166" i="1"/>
  <c r="AP166" i="1"/>
  <c r="AM166" i="1"/>
  <c r="AL166" i="1"/>
  <c r="AK166" i="1"/>
  <c r="AJ166" i="1"/>
  <c r="AH166" i="1"/>
  <c r="AG166" i="1"/>
  <c r="AE166" i="1"/>
  <c r="AD166" i="1"/>
  <c r="AC166" i="1"/>
  <c r="AR165" i="1"/>
  <c r="AP165" i="1"/>
  <c r="AM165" i="1"/>
  <c r="AL165" i="1"/>
  <c r="AK165" i="1"/>
  <c r="AJ165" i="1"/>
  <c r="AH165" i="1"/>
  <c r="AG165" i="1"/>
  <c r="AE165" i="1"/>
  <c r="AD165" i="1"/>
  <c r="AC165" i="1"/>
  <c r="AR164" i="1"/>
  <c r="AP164" i="1"/>
  <c r="AM164" i="1"/>
  <c r="AL164" i="1"/>
  <c r="AK164" i="1"/>
  <c r="AJ164" i="1"/>
  <c r="AH164" i="1"/>
  <c r="AG164" i="1"/>
  <c r="AE164" i="1"/>
  <c r="AD164" i="1"/>
  <c r="AC164" i="1"/>
  <c r="AR163" i="1"/>
  <c r="AP163" i="1"/>
  <c r="AM163" i="1"/>
  <c r="AL163" i="1"/>
  <c r="AK163" i="1"/>
  <c r="AJ163" i="1"/>
  <c r="AH163" i="1"/>
  <c r="AG163" i="1"/>
  <c r="AE163" i="1"/>
  <c r="AD163" i="1"/>
  <c r="AC163" i="1"/>
  <c r="AR162" i="1"/>
  <c r="AP162" i="1"/>
  <c r="AM162" i="1"/>
  <c r="AL162" i="1"/>
  <c r="AK162" i="1"/>
  <c r="AJ162" i="1"/>
  <c r="AH162" i="1"/>
  <c r="AG162" i="1"/>
  <c r="AE162" i="1"/>
  <c r="AD162" i="1"/>
  <c r="AC162" i="1"/>
  <c r="AR161" i="1"/>
  <c r="AP161" i="1"/>
  <c r="AM161" i="1"/>
  <c r="AL161" i="1"/>
  <c r="AK161" i="1"/>
  <c r="AJ161" i="1"/>
  <c r="AH161" i="1"/>
  <c r="AG161" i="1"/>
  <c r="AE161" i="1"/>
  <c r="AD161" i="1"/>
  <c r="AC161" i="1"/>
  <c r="AR160" i="1"/>
  <c r="AP160" i="1"/>
  <c r="AM160" i="1"/>
  <c r="AL160" i="1"/>
  <c r="AK160" i="1"/>
  <c r="AJ160" i="1"/>
  <c r="AH160" i="1"/>
  <c r="AG160" i="1"/>
  <c r="AE160" i="1"/>
  <c r="AD160" i="1"/>
  <c r="AC160" i="1"/>
  <c r="AR159" i="1"/>
  <c r="AP159" i="1"/>
  <c r="AM159" i="1"/>
  <c r="AL159" i="1"/>
  <c r="AK159" i="1"/>
  <c r="AJ159" i="1"/>
  <c r="AH159" i="1"/>
  <c r="AG159" i="1"/>
  <c r="AE159" i="1"/>
  <c r="AD159" i="1"/>
  <c r="AC159" i="1"/>
  <c r="AR158" i="1"/>
  <c r="AP158" i="1"/>
  <c r="AM158" i="1"/>
  <c r="AL158" i="1"/>
  <c r="AK158" i="1"/>
  <c r="AJ158" i="1"/>
  <c r="AH158" i="1"/>
  <c r="AG158" i="1"/>
  <c r="AE158" i="1"/>
  <c r="AD158" i="1"/>
  <c r="AC158" i="1"/>
  <c r="AA158" i="1"/>
  <c r="AR157" i="1"/>
  <c r="AP157" i="1"/>
  <c r="AM157" i="1"/>
  <c r="AL157" i="1"/>
  <c r="AK157" i="1"/>
  <c r="AJ157" i="1"/>
  <c r="AH157" i="1"/>
  <c r="AG157" i="1"/>
  <c r="AE157" i="1"/>
  <c r="AD157" i="1"/>
  <c r="AC157" i="1"/>
  <c r="AR156" i="1"/>
  <c r="AP156" i="1"/>
  <c r="AM156" i="1"/>
  <c r="AL156" i="1"/>
  <c r="AK156" i="1"/>
  <c r="AJ156" i="1"/>
  <c r="AH156" i="1"/>
  <c r="AG156" i="1"/>
  <c r="AE156" i="1"/>
  <c r="AD156" i="1"/>
  <c r="AC156" i="1"/>
  <c r="AR155" i="1"/>
  <c r="AP155" i="1"/>
  <c r="AM155" i="1"/>
  <c r="AL155" i="1"/>
  <c r="AK155" i="1"/>
  <c r="AJ155" i="1"/>
  <c r="AH155" i="1"/>
  <c r="AG155" i="1"/>
  <c r="AE155" i="1"/>
  <c r="AD155" i="1"/>
  <c r="AC155" i="1"/>
  <c r="AR154" i="1"/>
  <c r="AP154" i="1"/>
  <c r="AM154" i="1"/>
  <c r="AL154" i="1"/>
  <c r="AK154" i="1"/>
  <c r="AJ154" i="1"/>
  <c r="AH154" i="1"/>
  <c r="AG154" i="1"/>
  <c r="AE154" i="1"/>
  <c r="AD154" i="1"/>
  <c r="AC154" i="1"/>
  <c r="AR153" i="1"/>
  <c r="AP153" i="1"/>
  <c r="AM153" i="1"/>
  <c r="AL153" i="1"/>
  <c r="AK153" i="1"/>
  <c r="AJ153" i="1"/>
  <c r="AH153" i="1"/>
  <c r="AG153" i="1"/>
  <c r="AE153" i="1"/>
  <c r="AD153" i="1"/>
  <c r="AC153" i="1"/>
  <c r="AR152" i="1"/>
  <c r="AP152" i="1"/>
  <c r="AM152" i="1"/>
  <c r="AL152" i="1"/>
  <c r="AK152" i="1"/>
  <c r="AJ152" i="1"/>
  <c r="AH152" i="1"/>
  <c r="AG152" i="1"/>
  <c r="AE152" i="1"/>
  <c r="AD152" i="1"/>
  <c r="AC152" i="1"/>
  <c r="AR151" i="1"/>
  <c r="AP151" i="1"/>
  <c r="AM151" i="1"/>
  <c r="AL151" i="1"/>
  <c r="AK151" i="1"/>
  <c r="AJ151" i="1"/>
  <c r="AH151" i="1"/>
  <c r="AG151" i="1"/>
  <c r="AE151" i="1"/>
  <c r="AD151" i="1"/>
  <c r="AC151" i="1"/>
  <c r="AR150" i="1"/>
  <c r="AP150" i="1"/>
  <c r="AM150" i="1"/>
  <c r="AL150" i="1"/>
  <c r="AK150" i="1"/>
  <c r="AJ150" i="1"/>
  <c r="AH150" i="1"/>
  <c r="AG150" i="1"/>
  <c r="AE150" i="1"/>
  <c r="AD150" i="1"/>
  <c r="AC150" i="1"/>
  <c r="AR149" i="1"/>
  <c r="AP149" i="1"/>
  <c r="AM149" i="1"/>
  <c r="AL149" i="1"/>
  <c r="AK149" i="1"/>
  <c r="AJ149" i="1"/>
  <c r="AH149" i="1"/>
  <c r="AG149" i="1"/>
  <c r="AE149" i="1"/>
  <c r="AD149" i="1"/>
  <c r="AC149" i="1"/>
  <c r="AR148" i="1"/>
  <c r="AP148" i="1"/>
  <c r="AM148" i="1"/>
  <c r="AL148" i="1"/>
  <c r="AK148" i="1"/>
  <c r="AJ148" i="1"/>
  <c r="AH148" i="1"/>
  <c r="AG148" i="1"/>
  <c r="AE148" i="1"/>
  <c r="AD148" i="1"/>
  <c r="AC148" i="1"/>
  <c r="AR147" i="1"/>
  <c r="AP147" i="1"/>
  <c r="AM147" i="1"/>
  <c r="AL147" i="1"/>
  <c r="AK147" i="1"/>
  <c r="AJ147" i="1"/>
  <c r="AH147" i="1"/>
  <c r="AG147" i="1"/>
  <c r="AE147" i="1"/>
  <c r="AD147" i="1"/>
  <c r="AC147" i="1"/>
  <c r="AR146" i="1"/>
  <c r="AP146" i="1"/>
  <c r="AM146" i="1"/>
  <c r="AL146" i="1"/>
  <c r="AK146" i="1"/>
  <c r="AJ146" i="1"/>
  <c r="AH146" i="1"/>
  <c r="AG146" i="1"/>
  <c r="AE146" i="1"/>
  <c r="AD146" i="1"/>
  <c r="AC146" i="1"/>
  <c r="AR145" i="1"/>
  <c r="AP145" i="1"/>
  <c r="AM145" i="1"/>
  <c r="AL145" i="1"/>
  <c r="AK145" i="1"/>
  <c r="AJ145" i="1"/>
  <c r="AH145" i="1"/>
  <c r="AG145" i="1"/>
  <c r="AE145" i="1"/>
  <c r="AD145" i="1"/>
  <c r="AC145" i="1"/>
  <c r="AR144" i="1"/>
  <c r="AP144" i="1"/>
  <c r="AM144" i="1"/>
  <c r="AL144" i="1"/>
  <c r="AK144" i="1"/>
  <c r="AJ144" i="1"/>
  <c r="AH144" i="1"/>
  <c r="AG144" i="1"/>
  <c r="AE144" i="1"/>
  <c r="AD144" i="1"/>
  <c r="AC144" i="1"/>
  <c r="AR143" i="1"/>
  <c r="AP143" i="1"/>
  <c r="AM143" i="1"/>
  <c r="AL143" i="1"/>
  <c r="AK143" i="1"/>
  <c r="AJ143" i="1"/>
  <c r="AH143" i="1"/>
  <c r="AG143" i="1"/>
  <c r="AE143" i="1"/>
  <c r="AD143" i="1"/>
  <c r="AC143" i="1"/>
  <c r="AR142" i="1"/>
  <c r="AP142" i="1"/>
  <c r="AM142" i="1"/>
  <c r="AL142" i="1"/>
  <c r="AK142" i="1"/>
  <c r="AJ142" i="1"/>
  <c r="AH142" i="1"/>
  <c r="AG142" i="1"/>
  <c r="AE142" i="1"/>
  <c r="AD142" i="1"/>
  <c r="AC142" i="1"/>
  <c r="AR141" i="1"/>
  <c r="AP141" i="1"/>
  <c r="AM141" i="1"/>
  <c r="AL141" i="1"/>
  <c r="AK141" i="1"/>
  <c r="AJ141" i="1"/>
  <c r="AH141" i="1"/>
  <c r="AG141" i="1"/>
  <c r="AE141" i="1"/>
  <c r="AD141" i="1"/>
  <c r="AC141" i="1"/>
  <c r="AR140" i="1"/>
  <c r="AP140" i="1"/>
  <c r="AM140" i="1"/>
  <c r="AL140" i="1"/>
  <c r="AK140" i="1"/>
  <c r="AJ140" i="1"/>
  <c r="AH140" i="1"/>
  <c r="AG140" i="1"/>
  <c r="AE140" i="1"/>
  <c r="AD140" i="1"/>
  <c r="AC140" i="1"/>
  <c r="AR139" i="1"/>
  <c r="AP139" i="1"/>
  <c r="AM139" i="1"/>
  <c r="AL139" i="1"/>
  <c r="AK139" i="1"/>
  <c r="AJ139" i="1"/>
  <c r="AH139" i="1"/>
  <c r="AG139" i="1"/>
  <c r="AE139" i="1"/>
  <c r="AD139" i="1"/>
  <c r="AC139" i="1"/>
  <c r="AR138" i="1"/>
  <c r="AP138" i="1"/>
  <c r="AM138" i="1"/>
  <c r="AL138" i="1"/>
  <c r="AK138" i="1"/>
  <c r="AJ138" i="1"/>
  <c r="AH138" i="1"/>
  <c r="AG138" i="1"/>
  <c r="AE138" i="1"/>
  <c r="AD138" i="1"/>
  <c r="AC138" i="1"/>
  <c r="AR137" i="1"/>
  <c r="AP137" i="1"/>
  <c r="AM137" i="1"/>
  <c r="AL137" i="1"/>
  <c r="AK137" i="1"/>
  <c r="AJ137" i="1"/>
  <c r="AH137" i="1"/>
  <c r="AG137" i="1"/>
  <c r="AE137" i="1"/>
  <c r="AD137" i="1"/>
  <c r="AC137" i="1"/>
  <c r="AR136" i="1"/>
  <c r="AP136" i="1"/>
  <c r="AM136" i="1"/>
  <c r="AL136" i="1"/>
  <c r="AK136" i="1"/>
  <c r="AJ136" i="1"/>
  <c r="AH136" i="1"/>
  <c r="AG136" i="1"/>
  <c r="AE136" i="1"/>
  <c r="AD136" i="1"/>
  <c r="AC136" i="1"/>
  <c r="AR135" i="1"/>
  <c r="AP135" i="1"/>
  <c r="AM135" i="1"/>
  <c r="AL135" i="1"/>
  <c r="AK135" i="1"/>
  <c r="AJ135" i="1"/>
  <c r="AH135" i="1"/>
  <c r="AG135" i="1"/>
  <c r="AE135" i="1"/>
  <c r="AD135" i="1"/>
  <c r="AC135" i="1"/>
  <c r="AR134" i="1"/>
  <c r="AP134" i="1"/>
  <c r="AM134" i="1"/>
  <c r="AL134" i="1"/>
  <c r="AK134" i="1"/>
  <c r="AJ134" i="1"/>
  <c r="AH134" i="1"/>
  <c r="AG134" i="1"/>
  <c r="AE134" i="1"/>
  <c r="AD134" i="1"/>
  <c r="AC134" i="1"/>
  <c r="AR133" i="1"/>
  <c r="AP133" i="1"/>
  <c r="AM133" i="1"/>
  <c r="AL133" i="1"/>
  <c r="AK133" i="1"/>
  <c r="AJ133" i="1"/>
  <c r="AH133" i="1"/>
  <c r="AG133" i="1"/>
  <c r="AE133" i="1"/>
  <c r="AD133" i="1"/>
  <c r="AC133" i="1"/>
  <c r="AR132" i="1"/>
  <c r="AP132" i="1"/>
  <c r="AM132" i="1"/>
  <c r="AL132" i="1"/>
  <c r="AK132" i="1"/>
  <c r="AJ132" i="1"/>
  <c r="AH132" i="1"/>
  <c r="AG132" i="1"/>
  <c r="AE132" i="1"/>
  <c r="AD132" i="1"/>
  <c r="AC132" i="1"/>
  <c r="AR131" i="1"/>
  <c r="AP131" i="1"/>
  <c r="AM131" i="1"/>
  <c r="AL131" i="1"/>
  <c r="AK131" i="1"/>
  <c r="AJ131" i="1"/>
  <c r="AH131" i="1"/>
  <c r="AG131" i="1"/>
  <c r="AE131" i="1"/>
  <c r="AD131" i="1"/>
  <c r="AC131" i="1"/>
  <c r="AR130" i="1"/>
  <c r="AP130" i="1"/>
  <c r="AM130" i="1"/>
  <c r="AL130" i="1"/>
  <c r="AK130" i="1"/>
  <c r="AJ130" i="1"/>
  <c r="AH130" i="1"/>
  <c r="AG130" i="1"/>
  <c r="AE130" i="1"/>
  <c r="AD130" i="1"/>
  <c r="AC130" i="1"/>
  <c r="AR129" i="1"/>
  <c r="AP129" i="1"/>
  <c r="AM129" i="1"/>
  <c r="AL129" i="1"/>
  <c r="AK129" i="1"/>
  <c r="AJ129" i="1"/>
  <c r="AH129" i="1"/>
  <c r="AG129" i="1"/>
  <c r="AE129" i="1"/>
  <c r="AD129" i="1"/>
  <c r="AC129" i="1"/>
  <c r="AR128" i="1"/>
  <c r="AP128" i="1"/>
  <c r="AM128" i="1"/>
  <c r="AL128" i="1"/>
  <c r="AK128" i="1"/>
  <c r="AJ128" i="1"/>
  <c r="AH128" i="1"/>
  <c r="AG128" i="1"/>
  <c r="AE128" i="1"/>
  <c r="AD128" i="1"/>
  <c r="AC128" i="1"/>
  <c r="AR127" i="1"/>
  <c r="AP127" i="1"/>
  <c r="AM127" i="1"/>
  <c r="AL127" i="1"/>
  <c r="AK127" i="1"/>
  <c r="AJ127" i="1"/>
  <c r="AH127" i="1"/>
  <c r="AG127" i="1"/>
  <c r="AE127" i="1"/>
  <c r="AD127" i="1"/>
  <c r="AC127" i="1"/>
  <c r="AR126" i="1"/>
  <c r="AP126" i="1"/>
  <c r="AM126" i="1"/>
  <c r="AL126" i="1"/>
  <c r="AK126" i="1"/>
  <c r="AJ126" i="1"/>
  <c r="AH126" i="1"/>
  <c r="AG126" i="1"/>
  <c r="AE126" i="1"/>
  <c r="AD126" i="1"/>
  <c r="AC126" i="1"/>
  <c r="AR125" i="1"/>
  <c r="AP125" i="1"/>
  <c r="AM125" i="1"/>
  <c r="AL125" i="1"/>
  <c r="AK125" i="1"/>
  <c r="AJ125" i="1"/>
  <c r="AH125" i="1"/>
  <c r="AG125" i="1"/>
  <c r="AE125" i="1"/>
  <c r="AD125" i="1"/>
  <c r="AC125" i="1"/>
  <c r="AR124" i="1"/>
  <c r="AP124" i="1"/>
  <c r="AM124" i="1"/>
  <c r="AL124" i="1"/>
  <c r="AK124" i="1"/>
  <c r="AJ124" i="1"/>
  <c r="AH124" i="1"/>
  <c r="AG124" i="1"/>
  <c r="AE124" i="1"/>
  <c r="AD124" i="1"/>
  <c r="AC124" i="1"/>
  <c r="AR123" i="1"/>
  <c r="AP123" i="1"/>
  <c r="AM123" i="1"/>
  <c r="AL123" i="1"/>
  <c r="AK123" i="1"/>
  <c r="AJ123" i="1"/>
  <c r="AH123" i="1"/>
  <c r="AG123" i="1"/>
  <c r="AE123" i="1"/>
  <c r="AD123" i="1"/>
  <c r="AC123" i="1"/>
  <c r="AR122" i="1"/>
  <c r="AP122" i="1"/>
  <c r="AM122" i="1"/>
  <c r="AL122" i="1"/>
  <c r="AK122" i="1"/>
  <c r="AJ122" i="1"/>
  <c r="AH122" i="1"/>
  <c r="AG122" i="1"/>
  <c r="AE122" i="1"/>
  <c r="AD122" i="1"/>
  <c r="AC122" i="1"/>
  <c r="AR121" i="1"/>
  <c r="AP121" i="1"/>
  <c r="AM121" i="1"/>
  <c r="AL121" i="1"/>
  <c r="AK121" i="1"/>
  <c r="AJ121" i="1"/>
  <c r="AH121" i="1"/>
  <c r="AG121" i="1"/>
  <c r="AE121" i="1"/>
  <c r="AD121" i="1"/>
  <c r="AC121" i="1"/>
  <c r="AR119" i="1"/>
  <c r="AP119" i="1"/>
  <c r="AM119" i="1"/>
  <c r="AL119" i="1"/>
  <c r="AK119" i="1"/>
  <c r="AJ119" i="1"/>
  <c r="AH119" i="1"/>
  <c r="AG119" i="1"/>
  <c r="AE119" i="1"/>
  <c r="AD119" i="1"/>
  <c r="AC119" i="1"/>
  <c r="AR118" i="1"/>
  <c r="AP118" i="1"/>
  <c r="AM118" i="1"/>
  <c r="AL118" i="1"/>
  <c r="AK118" i="1"/>
  <c r="AJ118" i="1"/>
  <c r="AH118" i="1"/>
  <c r="AG118" i="1"/>
  <c r="AE118" i="1"/>
  <c r="AD118" i="1"/>
  <c r="AC118" i="1"/>
  <c r="AR117" i="1"/>
  <c r="AP117" i="1"/>
  <c r="AM117" i="1"/>
  <c r="AL117" i="1"/>
  <c r="AK117" i="1"/>
  <c r="AJ117" i="1"/>
  <c r="AH117" i="1"/>
  <c r="AG117" i="1"/>
  <c r="AE117" i="1"/>
  <c r="AD117" i="1"/>
  <c r="AC117" i="1"/>
  <c r="AR116" i="1"/>
  <c r="AP116" i="1"/>
  <c r="AM116" i="1"/>
  <c r="AL116" i="1"/>
  <c r="AK116" i="1"/>
  <c r="AJ116" i="1"/>
  <c r="AH116" i="1"/>
  <c r="AG116" i="1"/>
  <c r="AE116" i="1"/>
  <c r="AD116" i="1"/>
  <c r="AC116" i="1"/>
  <c r="AR115" i="1"/>
  <c r="AP115" i="1"/>
  <c r="AM115" i="1"/>
  <c r="AL115" i="1"/>
  <c r="AK115" i="1"/>
  <c r="AJ115" i="1"/>
  <c r="AH115" i="1"/>
  <c r="AG115" i="1"/>
  <c r="AE115" i="1"/>
  <c r="AD115" i="1"/>
  <c r="AC115" i="1"/>
  <c r="AR114" i="1"/>
  <c r="AP114" i="1"/>
  <c r="AM114" i="1"/>
  <c r="AL114" i="1"/>
  <c r="AK114" i="1"/>
  <c r="AJ114" i="1"/>
  <c r="AH114" i="1"/>
  <c r="AG114" i="1"/>
  <c r="AE114" i="1"/>
  <c r="AD114" i="1"/>
  <c r="AC114" i="1"/>
  <c r="AR113" i="1"/>
  <c r="AP113" i="1"/>
  <c r="AM113" i="1"/>
  <c r="AL113" i="1"/>
  <c r="AK113" i="1"/>
  <c r="AJ113" i="1"/>
  <c r="AH113" i="1"/>
  <c r="AG113" i="1"/>
  <c r="AE113" i="1"/>
  <c r="AD113" i="1"/>
  <c r="AC113" i="1"/>
  <c r="AR112" i="1"/>
  <c r="AP112" i="1"/>
  <c r="AM112" i="1"/>
  <c r="AL112" i="1"/>
  <c r="AK112" i="1"/>
  <c r="AJ112" i="1"/>
  <c r="AH112" i="1"/>
  <c r="AG112" i="1"/>
  <c r="AE112" i="1"/>
  <c r="AD112" i="1"/>
  <c r="AC112" i="1"/>
  <c r="AR111" i="1"/>
  <c r="AP111" i="1"/>
  <c r="AM111" i="1"/>
  <c r="AL111" i="1"/>
  <c r="AK111" i="1"/>
  <c r="AJ111" i="1"/>
  <c r="AH111" i="1"/>
  <c r="AG111" i="1"/>
  <c r="AE111" i="1"/>
  <c r="AD111" i="1"/>
  <c r="AC111" i="1"/>
  <c r="AR110" i="1"/>
  <c r="AP110" i="1"/>
  <c r="AN110" i="1"/>
  <c r="AM110" i="1" s="1"/>
  <c r="AL110" i="1"/>
  <c r="AK110" i="1"/>
  <c r="AJ110" i="1"/>
  <c r="AH110" i="1"/>
  <c r="AG110" i="1"/>
  <c r="AE110" i="1"/>
  <c r="AD110" i="1"/>
  <c r="AC110" i="1"/>
  <c r="AB110" i="1"/>
  <c r="AR109" i="1"/>
  <c r="AP109" i="1"/>
  <c r="AN109" i="1"/>
  <c r="AM109" i="1" s="1"/>
  <c r="AL109" i="1"/>
  <c r="AK109" i="1"/>
  <c r="AJ109" i="1"/>
  <c r="AH109" i="1"/>
  <c r="AG109" i="1"/>
  <c r="AE109" i="1"/>
  <c r="AD109" i="1"/>
  <c r="AC109" i="1"/>
  <c r="AB109" i="1"/>
  <c r="AN108" i="1"/>
  <c r="AB108" i="1"/>
  <c r="AN107" i="1"/>
  <c r="AB107" i="1"/>
  <c r="AN106" i="1"/>
  <c r="AB106" i="1"/>
  <c r="AR105" i="1"/>
  <c r="AP105" i="1"/>
  <c r="AN105" i="1"/>
  <c r="AM105" i="1" s="1"/>
  <c r="AL105" i="1"/>
  <c r="AK105" i="1"/>
  <c r="AJ105" i="1"/>
  <c r="AH105" i="1"/>
  <c r="AG105" i="1"/>
  <c r="AE105" i="1"/>
  <c r="AD105" i="1"/>
  <c r="AC105" i="1"/>
  <c r="AB105" i="1"/>
  <c r="AR104" i="1"/>
  <c r="AP104" i="1"/>
  <c r="AN104" i="1"/>
  <c r="AM104" i="1" s="1"/>
  <c r="AL104" i="1"/>
  <c r="AK104" i="1"/>
  <c r="AJ104" i="1"/>
  <c r="AH104" i="1"/>
  <c r="AG104" i="1"/>
  <c r="AE104" i="1"/>
  <c r="AD104" i="1"/>
  <c r="AC104" i="1"/>
  <c r="AB104" i="1"/>
  <c r="AR103" i="1"/>
  <c r="AP103" i="1"/>
  <c r="AN103" i="1"/>
  <c r="AM103" i="1" s="1"/>
  <c r="AL103" i="1"/>
  <c r="AK103" i="1"/>
  <c r="AJ103" i="1"/>
  <c r="AH103" i="1"/>
  <c r="AG103" i="1"/>
  <c r="AE103" i="1"/>
  <c r="AD103" i="1"/>
  <c r="AB103" i="1"/>
  <c r="AC103" i="1" s="1"/>
  <c r="AR102" i="1"/>
  <c r="AQ102" i="1"/>
  <c r="AP102" i="1"/>
  <c r="AO102" i="1"/>
  <c r="AN102" i="1"/>
  <c r="AM102" i="1" s="1"/>
  <c r="AL102" i="1"/>
  <c r="AK102" i="1"/>
  <c r="AJ102" i="1"/>
  <c r="AH102" i="1"/>
  <c r="AG102" i="1"/>
  <c r="AF102" i="1"/>
  <c r="AE102" i="1"/>
  <c r="AD102" i="1"/>
  <c r="AC102" i="1"/>
  <c r="AB102" i="1"/>
  <c r="AR101" i="1"/>
  <c r="AQ101" i="1"/>
  <c r="AP101" i="1"/>
  <c r="AO101" i="1"/>
  <c r="AN101" i="1"/>
  <c r="AM101" i="1" s="1"/>
  <c r="AL101" i="1"/>
  <c r="AK101" i="1"/>
  <c r="AJ101" i="1"/>
  <c r="AH101" i="1"/>
  <c r="AG101" i="1"/>
  <c r="AF101" i="1"/>
  <c r="AE101" i="1"/>
  <c r="AD101" i="1"/>
  <c r="AC101" i="1"/>
  <c r="AB101" i="1"/>
  <c r="AR100" i="1"/>
  <c r="AQ100" i="1"/>
  <c r="AP100" i="1"/>
  <c r="AO100" i="1"/>
  <c r="AN100" i="1"/>
  <c r="AM100" i="1" s="1"/>
  <c r="AL100" i="1"/>
  <c r="AK100" i="1"/>
  <c r="AJ100" i="1"/>
  <c r="AH100" i="1"/>
  <c r="AG100" i="1"/>
  <c r="AF100" i="1"/>
  <c r="AE100" i="1"/>
  <c r="AD100" i="1"/>
  <c r="AC100" i="1"/>
  <c r="AB100" i="1"/>
  <c r="AR99" i="1"/>
  <c r="AQ99" i="1"/>
  <c r="AP99" i="1"/>
  <c r="AO99" i="1"/>
  <c r="AN99" i="1"/>
  <c r="AM99" i="1" s="1"/>
  <c r="AL99" i="1"/>
  <c r="AK99" i="1"/>
  <c r="AJ99" i="1"/>
  <c r="AH99" i="1"/>
  <c r="AG99" i="1"/>
  <c r="AF99" i="1"/>
  <c r="AE99" i="1"/>
  <c r="AD99" i="1"/>
  <c r="AC99" i="1"/>
  <c r="AB99" i="1"/>
  <c r="AR98" i="1"/>
  <c r="AQ98" i="1"/>
  <c r="AP98" i="1"/>
  <c r="AO98" i="1"/>
  <c r="AN98" i="1"/>
  <c r="AM98" i="1" s="1"/>
  <c r="AL98" i="1"/>
  <c r="AK98" i="1"/>
  <c r="AJ98" i="1"/>
  <c r="AH98" i="1"/>
  <c r="AG98" i="1"/>
  <c r="AF98" i="1"/>
  <c r="AE98" i="1"/>
  <c r="AD98" i="1"/>
  <c r="AC98" i="1"/>
  <c r="AB98" i="1"/>
  <c r="AR97" i="1"/>
  <c r="AQ97" i="1"/>
  <c r="AP97" i="1"/>
  <c r="AO97" i="1"/>
  <c r="AN97" i="1"/>
  <c r="AM97" i="1" s="1"/>
  <c r="AL97" i="1"/>
  <c r="AK97" i="1"/>
  <c r="AJ97" i="1"/>
  <c r="AH97" i="1"/>
  <c r="AG97" i="1"/>
  <c r="AF97" i="1"/>
  <c r="AE97" i="1"/>
  <c r="AD97" i="1"/>
  <c r="AC97" i="1"/>
  <c r="AB97" i="1"/>
  <c r="AR96" i="1"/>
  <c r="AQ96" i="1"/>
  <c r="AP96" i="1"/>
  <c r="AO96" i="1"/>
  <c r="AN96" i="1"/>
  <c r="AM96" i="1" s="1"/>
  <c r="AL96" i="1"/>
  <c r="AK96" i="1"/>
  <c r="AJ96" i="1"/>
  <c r="AH96" i="1"/>
  <c r="AG96" i="1"/>
  <c r="AF96" i="1"/>
  <c r="AE96" i="1"/>
  <c r="AD96" i="1"/>
  <c r="AC96" i="1"/>
  <c r="AB96" i="1"/>
  <c r="AR95" i="1"/>
  <c r="AQ95" i="1"/>
  <c r="AP95" i="1"/>
  <c r="AO95" i="1"/>
  <c r="AN95" i="1"/>
  <c r="AM95" i="1" s="1"/>
  <c r="AL95" i="1"/>
  <c r="AK95" i="1"/>
  <c r="AJ95" i="1"/>
  <c r="AH95" i="1"/>
  <c r="AG95" i="1"/>
  <c r="AF95" i="1"/>
  <c r="AE95" i="1"/>
  <c r="AD95" i="1"/>
  <c r="AC95" i="1"/>
  <c r="AB95" i="1"/>
  <c r="AR94" i="1"/>
  <c r="AQ94" i="1"/>
  <c r="AP94" i="1"/>
  <c r="AO94" i="1"/>
  <c r="AN94" i="1"/>
  <c r="AM94" i="1" s="1"/>
  <c r="AL94" i="1"/>
  <c r="AK94" i="1"/>
  <c r="AJ94" i="1"/>
  <c r="AH94" i="1"/>
  <c r="AG94" i="1"/>
  <c r="AF94" i="1"/>
  <c r="AE94" i="1"/>
  <c r="AD94" i="1"/>
  <c r="AC94" i="1"/>
  <c r="AB94" i="1"/>
  <c r="AR93" i="1"/>
  <c r="AQ93" i="1"/>
  <c r="AP93" i="1"/>
  <c r="AO93" i="1"/>
  <c r="AN93" i="1"/>
  <c r="AM93" i="1" s="1"/>
  <c r="AL93" i="1"/>
  <c r="AK93" i="1"/>
  <c r="AJ93" i="1"/>
  <c r="AH93" i="1"/>
  <c r="AG93" i="1"/>
  <c r="AF93" i="1"/>
  <c r="AE93" i="1"/>
  <c r="AD93" i="1"/>
  <c r="AC93" i="1"/>
  <c r="AB93" i="1"/>
  <c r="AR92" i="1"/>
  <c r="AQ92" i="1"/>
  <c r="AP92" i="1"/>
  <c r="AO92" i="1"/>
  <c r="AN92" i="1"/>
  <c r="AM92" i="1" s="1"/>
  <c r="AL92" i="1"/>
  <c r="AK92" i="1"/>
  <c r="AJ92" i="1"/>
  <c r="AH92" i="1"/>
  <c r="AG92" i="1"/>
  <c r="AF92" i="1"/>
  <c r="AE92" i="1"/>
  <c r="AD92" i="1"/>
  <c r="AC92" i="1"/>
  <c r="AB92" i="1"/>
  <c r="AR91" i="1"/>
  <c r="AQ91" i="1"/>
  <c r="AP91" i="1"/>
  <c r="AO91" i="1"/>
  <c r="AN91" i="1"/>
  <c r="AM91" i="1" s="1"/>
  <c r="AL91" i="1"/>
  <c r="AK91" i="1"/>
  <c r="AJ91" i="1"/>
  <c r="AH91" i="1"/>
  <c r="AG91" i="1"/>
  <c r="AF91" i="1"/>
  <c r="AE91" i="1"/>
  <c r="AD91" i="1"/>
  <c r="AC91" i="1"/>
  <c r="AB91" i="1"/>
  <c r="AR90" i="1"/>
  <c r="AQ90" i="1"/>
  <c r="AP90" i="1"/>
  <c r="AO90" i="1"/>
  <c r="AN90" i="1"/>
  <c r="AM90" i="1" s="1"/>
  <c r="AL90" i="1"/>
  <c r="AK90" i="1"/>
  <c r="AJ90" i="1"/>
  <c r="AH90" i="1"/>
  <c r="AG90" i="1"/>
  <c r="AF90" i="1"/>
  <c r="AE90" i="1"/>
  <c r="AD90" i="1"/>
  <c r="AC90" i="1"/>
  <c r="AB90" i="1"/>
  <c r="AR89" i="1"/>
  <c r="AQ89" i="1"/>
  <c r="AP89" i="1"/>
  <c r="AO89" i="1"/>
  <c r="AN89" i="1"/>
  <c r="AM89" i="1" s="1"/>
  <c r="AL89" i="1"/>
  <c r="AK89" i="1"/>
  <c r="AJ89" i="1"/>
  <c r="AH89" i="1"/>
  <c r="AG89" i="1"/>
  <c r="AF89" i="1"/>
  <c r="AE89" i="1"/>
  <c r="AD89" i="1"/>
  <c r="AC89" i="1"/>
  <c r="AB89" i="1"/>
  <c r="AR88" i="1"/>
  <c r="AQ88" i="1"/>
  <c r="AP88" i="1"/>
  <c r="AO88" i="1"/>
  <c r="AN88" i="1"/>
  <c r="AM88" i="1" s="1"/>
  <c r="AL88" i="1"/>
  <c r="AK88" i="1"/>
  <c r="AJ88" i="1"/>
  <c r="AH88" i="1"/>
  <c r="AG88" i="1"/>
  <c r="AF88" i="1"/>
  <c r="AE88" i="1"/>
  <c r="AD88" i="1"/>
  <c r="AC88" i="1"/>
  <c r="AB88" i="1"/>
  <c r="AR87" i="1"/>
  <c r="AQ87" i="1"/>
  <c r="AP87" i="1"/>
  <c r="AO87" i="1"/>
  <c r="AN87" i="1"/>
  <c r="AM87" i="1" s="1"/>
  <c r="AL87" i="1"/>
  <c r="AK87" i="1"/>
  <c r="AJ87" i="1"/>
  <c r="AH87" i="1"/>
  <c r="AG87" i="1"/>
  <c r="AF87" i="1"/>
  <c r="AE87" i="1"/>
  <c r="AD87" i="1"/>
  <c r="AC87" i="1"/>
  <c r="AB87" i="1"/>
  <c r="AR86" i="1"/>
  <c r="AQ86" i="1"/>
  <c r="AP86" i="1"/>
  <c r="AO86" i="1"/>
  <c r="AN86" i="1"/>
  <c r="AM86" i="1" s="1"/>
  <c r="AL86" i="1"/>
  <c r="AK86" i="1"/>
  <c r="AJ86" i="1"/>
  <c r="AH86" i="1"/>
  <c r="AG86" i="1"/>
  <c r="AF86" i="1"/>
  <c r="AE86" i="1"/>
  <c r="AD86" i="1"/>
  <c r="AC86" i="1"/>
  <c r="AB86" i="1"/>
  <c r="AR85" i="1"/>
  <c r="AQ85" i="1"/>
  <c r="AP85" i="1"/>
  <c r="AO85" i="1"/>
  <c r="AN85" i="1"/>
  <c r="AM85" i="1" s="1"/>
  <c r="AL85" i="1"/>
  <c r="AK85" i="1"/>
  <c r="AJ85" i="1"/>
  <c r="AH85" i="1"/>
  <c r="AG85" i="1"/>
  <c r="AF85" i="1"/>
  <c r="AE85" i="1"/>
  <c r="AD85" i="1"/>
  <c r="AC85" i="1"/>
  <c r="AB85" i="1"/>
  <c r="AR84" i="1"/>
  <c r="AQ84" i="1"/>
  <c r="AP84" i="1"/>
  <c r="AO84" i="1"/>
  <c r="AN84" i="1"/>
  <c r="AM84" i="1" s="1"/>
  <c r="AL84" i="1"/>
  <c r="AK84" i="1"/>
  <c r="AJ84" i="1"/>
  <c r="AH84" i="1"/>
  <c r="AG84" i="1"/>
  <c r="AF84" i="1"/>
  <c r="AE84" i="1"/>
  <c r="AD84" i="1"/>
  <c r="AC84" i="1"/>
  <c r="AB84" i="1"/>
  <c r="AR83" i="1"/>
  <c r="AQ83" i="1"/>
  <c r="AP83" i="1"/>
  <c r="AO83" i="1"/>
  <c r="AN83" i="1"/>
  <c r="AM83" i="1" s="1"/>
  <c r="AL83" i="1"/>
  <c r="AK83" i="1"/>
  <c r="AJ83" i="1"/>
  <c r="AH83" i="1"/>
  <c r="AG83" i="1"/>
  <c r="AF83" i="1"/>
  <c r="AE83" i="1"/>
  <c r="AD83" i="1"/>
  <c r="AC83" i="1"/>
  <c r="AB83" i="1"/>
  <c r="AR82" i="1"/>
  <c r="AQ82" i="1"/>
  <c r="AP82" i="1"/>
  <c r="AO82" i="1"/>
  <c r="AN82" i="1"/>
  <c r="AM82" i="1" s="1"/>
  <c r="AL82" i="1"/>
  <c r="AK82" i="1"/>
  <c r="AJ82" i="1"/>
  <c r="AH82" i="1"/>
  <c r="AG82" i="1"/>
  <c r="AF82" i="1"/>
  <c r="AE82" i="1"/>
  <c r="AD82" i="1"/>
  <c r="AC82" i="1"/>
  <c r="AB82" i="1"/>
  <c r="AR81" i="1"/>
  <c r="AQ81" i="1"/>
  <c r="AP81" i="1"/>
  <c r="AO81" i="1"/>
  <c r="AN81" i="1"/>
  <c r="AM81" i="1" s="1"/>
  <c r="AL81" i="1"/>
  <c r="AK81" i="1"/>
  <c r="AJ81" i="1"/>
  <c r="AH81" i="1"/>
  <c r="AG81" i="1"/>
  <c r="AF81" i="1"/>
  <c r="AE81" i="1"/>
  <c r="AD81" i="1"/>
  <c r="AB81" i="1"/>
  <c r="AC81" i="1" s="1"/>
  <c r="AR80" i="1"/>
  <c r="AQ80" i="1"/>
  <c r="AP80" i="1"/>
  <c r="AO80" i="1"/>
  <c r="AN80" i="1"/>
  <c r="AM80" i="1" s="1"/>
  <c r="AL80" i="1"/>
  <c r="AK80" i="1"/>
  <c r="AJ80" i="1"/>
  <c r="AH80" i="1"/>
  <c r="AG80" i="1"/>
  <c r="AF80" i="1"/>
  <c r="AE80" i="1"/>
  <c r="AD80" i="1"/>
  <c r="AC80" i="1"/>
  <c r="AB80" i="1"/>
  <c r="AR79" i="1"/>
  <c r="AQ79" i="1"/>
  <c r="AP79" i="1"/>
  <c r="AO79" i="1"/>
  <c r="AN79" i="1"/>
  <c r="AM79" i="1" s="1"/>
  <c r="AL79" i="1"/>
  <c r="AK79" i="1"/>
  <c r="AJ79" i="1"/>
  <c r="AH79" i="1"/>
  <c r="AG79" i="1"/>
  <c r="AF79" i="1"/>
  <c r="AE79" i="1"/>
  <c r="AD79" i="1"/>
  <c r="AC79" i="1"/>
  <c r="AB79" i="1"/>
  <c r="AR78" i="1"/>
  <c r="AQ78" i="1"/>
  <c r="AP78" i="1"/>
  <c r="AO78" i="1"/>
  <c r="AN78" i="1"/>
  <c r="AM78" i="1" s="1"/>
  <c r="AL78" i="1"/>
  <c r="AK78" i="1"/>
  <c r="AJ78" i="1"/>
  <c r="AH78" i="1"/>
  <c r="AG78" i="1"/>
  <c r="AF78" i="1"/>
  <c r="AE78" i="1"/>
  <c r="AD78" i="1"/>
  <c r="AC78" i="1"/>
  <c r="AB78" i="1"/>
  <c r="AR77" i="1"/>
  <c r="AQ77" i="1"/>
  <c r="AP77" i="1"/>
  <c r="AN77" i="1"/>
  <c r="AM77" i="1" s="1"/>
  <c r="AL77" i="1"/>
  <c r="AK77" i="1"/>
  <c r="AJ77" i="1"/>
  <c r="AH77" i="1"/>
  <c r="AG77" i="1"/>
  <c r="AF77" i="1"/>
  <c r="AE77" i="1"/>
  <c r="AD77" i="1"/>
  <c r="AB77" i="1"/>
  <c r="AC77" i="1" s="1"/>
  <c r="AR76" i="1"/>
  <c r="AQ76" i="1"/>
  <c r="AP76" i="1"/>
  <c r="AO76" i="1"/>
  <c r="AN76" i="1"/>
  <c r="AM76" i="1" s="1"/>
  <c r="AL76" i="1"/>
  <c r="AK76" i="1"/>
  <c r="AJ76" i="1"/>
  <c r="AH76" i="1"/>
  <c r="AG76" i="1"/>
  <c r="AF76" i="1"/>
  <c r="AE76" i="1"/>
  <c r="AD76" i="1"/>
  <c r="AC76" i="1"/>
  <c r="AB76" i="1"/>
  <c r="AR75" i="1"/>
  <c r="AQ75" i="1"/>
  <c r="AP75" i="1"/>
  <c r="AO75" i="1"/>
  <c r="AN75" i="1"/>
  <c r="AM75" i="1" s="1"/>
  <c r="AL75" i="1"/>
  <c r="AK75" i="1"/>
  <c r="AJ75" i="1"/>
  <c r="AH75" i="1"/>
  <c r="AG75" i="1"/>
  <c r="AF75" i="1"/>
  <c r="AE75" i="1"/>
  <c r="AD75" i="1"/>
  <c r="AC75" i="1"/>
  <c r="AB75" i="1"/>
  <c r="AR74" i="1"/>
  <c r="AQ74" i="1"/>
  <c r="AP74" i="1"/>
  <c r="AO74" i="1"/>
  <c r="AN74" i="1"/>
  <c r="AL74" i="1"/>
  <c r="AK74" i="1"/>
  <c r="AJ74" i="1"/>
  <c r="AI74" i="1"/>
  <c r="AH74" i="1"/>
  <c r="AG74" i="1"/>
  <c r="AF74" i="1"/>
  <c r="AE74" i="1"/>
  <c r="AD74" i="1"/>
  <c r="AC74" i="1"/>
  <c r="AB74" i="1"/>
  <c r="AR73" i="1"/>
  <c r="AQ73" i="1"/>
  <c r="AP73" i="1"/>
  <c r="AO73" i="1"/>
  <c r="AN73" i="1"/>
  <c r="AL73" i="1"/>
  <c r="AK73" i="1"/>
  <c r="AJ73" i="1"/>
  <c r="AI73" i="1"/>
  <c r="AH73" i="1"/>
  <c r="AG73" i="1"/>
  <c r="AF73" i="1"/>
  <c r="AE73" i="1"/>
  <c r="AD73" i="1"/>
  <c r="AC73" i="1"/>
  <c r="AB73" i="1"/>
  <c r="AR72" i="1"/>
  <c r="AQ72" i="1"/>
  <c r="AP72" i="1"/>
  <c r="AO72" i="1"/>
  <c r="AN72" i="1"/>
  <c r="AL72" i="1"/>
  <c r="AK72" i="1"/>
  <c r="AJ72" i="1"/>
  <c r="AI72" i="1"/>
  <c r="AH72" i="1"/>
  <c r="AG72" i="1"/>
  <c r="AF72" i="1"/>
  <c r="AE72" i="1"/>
  <c r="AD72" i="1"/>
  <c r="AB72" i="1"/>
  <c r="AC72" i="1" s="1"/>
  <c r="AR71" i="1"/>
  <c r="AQ71" i="1"/>
  <c r="AP71" i="1"/>
  <c r="AO71" i="1"/>
  <c r="AN71" i="1"/>
  <c r="AL71" i="1"/>
  <c r="AK71" i="1"/>
  <c r="AJ71" i="1"/>
  <c r="AI71" i="1"/>
  <c r="AH71" i="1"/>
  <c r="AG71" i="1"/>
  <c r="AF71" i="1"/>
  <c r="AE71" i="1"/>
  <c r="AD71" i="1"/>
  <c r="AC71" i="1"/>
  <c r="AB71" i="1"/>
  <c r="AR70" i="1"/>
  <c r="AQ70" i="1"/>
  <c r="AP70" i="1"/>
  <c r="AO70" i="1"/>
  <c r="AN70" i="1"/>
  <c r="AL70" i="1"/>
  <c r="AK70" i="1"/>
  <c r="AJ70" i="1"/>
  <c r="AI70" i="1"/>
  <c r="AH70" i="1"/>
  <c r="AG70" i="1"/>
  <c r="AF70" i="1"/>
  <c r="AE70" i="1"/>
  <c r="AD70" i="1"/>
  <c r="AC70" i="1"/>
  <c r="AB70" i="1"/>
  <c r="Q70" i="1"/>
  <c r="AR69" i="1"/>
  <c r="AQ69" i="1"/>
  <c r="AP69" i="1"/>
  <c r="AO69" i="1"/>
  <c r="AN69" i="1"/>
  <c r="AL69" i="1"/>
  <c r="AK69" i="1"/>
  <c r="AJ69" i="1"/>
  <c r="AI69" i="1"/>
  <c r="AH69" i="1"/>
  <c r="AG69" i="1"/>
  <c r="AF69" i="1"/>
  <c r="AE69" i="1"/>
  <c r="AD69" i="1"/>
  <c r="AC69" i="1"/>
  <c r="AB69" i="1"/>
  <c r="Q69" i="1"/>
  <c r="AR68" i="1"/>
  <c r="AQ68" i="1"/>
  <c r="AP68" i="1"/>
  <c r="AO68" i="1"/>
  <c r="AN68" i="1"/>
  <c r="AL68" i="1"/>
  <c r="AK68" i="1"/>
  <c r="AJ68" i="1"/>
  <c r="AI68" i="1"/>
  <c r="AH68" i="1"/>
  <c r="AG68" i="1"/>
  <c r="AF68" i="1"/>
  <c r="AE68" i="1"/>
  <c r="AD68" i="1"/>
  <c r="AB68" i="1"/>
  <c r="AC68" i="1" s="1"/>
  <c r="AR67" i="1"/>
  <c r="AQ67" i="1"/>
  <c r="AP67" i="1"/>
  <c r="AO67" i="1"/>
  <c r="AN67" i="1"/>
  <c r="AL67" i="1"/>
  <c r="AK67" i="1"/>
  <c r="AJ67" i="1"/>
  <c r="AI67" i="1"/>
  <c r="AH67" i="1"/>
  <c r="AG67" i="1"/>
  <c r="AF67" i="1"/>
  <c r="AE67" i="1"/>
  <c r="AD67" i="1"/>
  <c r="AC67" i="1"/>
  <c r="AB67" i="1"/>
  <c r="AR66" i="1"/>
  <c r="AQ66" i="1"/>
  <c r="AP66" i="1"/>
  <c r="AO66" i="1"/>
  <c r="AN66" i="1"/>
  <c r="AL66" i="1"/>
  <c r="AK66" i="1"/>
  <c r="AJ66" i="1"/>
  <c r="AI66" i="1"/>
  <c r="AH66" i="1"/>
  <c r="AG66" i="1"/>
  <c r="AF66" i="1"/>
  <c r="AE66" i="1"/>
  <c r="AD66" i="1"/>
  <c r="AC66" i="1"/>
  <c r="AB66" i="1"/>
  <c r="AR65" i="1"/>
  <c r="AQ65" i="1"/>
  <c r="AP65" i="1"/>
  <c r="AO65" i="1"/>
  <c r="AN65" i="1"/>
  <c r="AL65" i="1"/>
  <c r="AK65" i="1"/>
  <c r="AJ65" i="1"/>
  <c r="AI65" i="1"/>
  <c r="AH65" i="1"/>
  <c r="AG65" i="1"/>
  <c r="AF65" i="1"/>
  <c r="AE65" i="1"/>
  <c r="AD65" i="1"/>
  <c r="AC65" i="1"/>
  <c r="AB65" i="1"/>
  <c r="AR64" i="1"/>
  <c r="AQ64" i="1"/>
  <c r="AP64" i="1"/>
  <c r="AO64" i="1"/>
  <c r="AN64" i="1"/>
  <c r="AL64" i="1"/>
  <c r="AK64" i="1"/>
  <c r="AJ64" i="1"/>
  <c r="AI64" i="1"/>
  <c r="AH64" i="1"/>
  <c r="AG64" i="1"/>
  <c r="AF64" i="1"/>
  <c r="AE64" i="1"/>
  <c r="AD64" i="1"/>
  <c r="AC64" i="1"/>
  <c r="AB64" i="1"/>
  <c r="AR63" i="1"/>
  <c r="AP63" i="1"/>
  <c r="AN63" i="1"/>
  <c r="AM63" i="1" s="1"/>
  <c r="AL63" i="1"/>
  <c r="AK63" i="1"/>
  <c r="AJ63" i="1"/>
  <c r="AH63" i="1"/>
  <c r="AG63" i="1"/>
  <c r="AF63" i="1"/>
  <c r="AE63" i="1"/>
  <c r="AD63" i="1"/>
  <c r="AC63" i="1"/>
  <c r="AB63" i="1"/>
  <c r="AR62" i="1"/>
  <c r="AQ62" i="1"/>
  <c r="AP62" i="1"/>
  <c r="AO62" i="1"/>
  <c r="AN62" i="1"/>
  <c r="AL62" i="1"/>
  <c r="AK62" i="1"/>
  <c r="AJ62" i="1"/>
  <c r="AI62" i="1"/>
  <c r="AH62" i="1"/>
  <c r="AG62" i="1"/>
  <c r="AF62" i="1"/>
  <c r="AE62" i="1"/>
  <c r="AD62" i="1"/>
  <c r="AC62" i="1"/>
  <c r="AB62" i="1"/>
  <c r="AR61" i="1"/>
  <c r="AQ61" i="1"/>
  <c r="AP61" i="1"/>
  <c r="AO61" i="1"/>
  <c r="AN61" i="1"/>
  <c r="AL61" i="1"/>
  <c r="AK61" i="1"/>
  <c r="AJ61" i="1"/>
  <c r="AI61" i="1"/>
  <c r="AH61" i="1"/>
  <c r="AG61" i="1"/>
  <c r="AF61" i="1"/>
  <c r="AE61" i="1"/>
  <c r="AD61" i="1"/>
  <c r="AB61" i="1"/>
  <c r="AC61" i="1" s="1"/>
  <c r="AR60" i="1"/>
  <c r="AQ60" i="1"/>
  <c r="AP60" i="1"/>
  <c r="AO60" i="1"/>
  <c r="AN60" i="1"/>
  <c r="AL60" i="1"/>
  <c r="AK60" i="1"/>
  <c r="AJ60" i="1"/>
  <c r="AI60" i="1"/>
  <c r="AH60" i="1"/>
  <c r="AG60" i="1"/>
  <c r="AF60" i="1"/>
  <c r="AE60" i="1"/>
  <c r="AD60" i="1"/>
  <c r="AC60" i="1"/>
  <c r="AB60" i="1"/>
  <c r="AR59" i="1"/>
  <c r="AQ59" i="1"/>
  <c r="AP59" i="1"/>
  <c r="AO59" i="1"/>
  <c r="AN59" i="1"/>
  <c r="AL59" i="1"/>
  <c r="AK59" i="1"/>
  <c r="AJ59" i="1"/>
  <c r="AI59" i="1"/>
  <c r="AH59" i="1"/>
  <c r="AG59" i="1"/>
  <c r="AF59" i="1"/>
  <c r="AE59" i="1"/>
  <c r="AD59" i="1"/>
  <c r="AC59" i="1"/>
  <c r="AB59" i="1"/>
  <c r="AR58" i="1"/>
  <c r="AQ58" i="1"/>
  <c r="AP58" i="1"/>
  <c r="AO58" i="1"/>
  <c r="AN58" i="1"/>
  <c r="AL58" i="1"/>
  <c r="AK58" i="1"/>
  <c r="AJ58" i="1"/>
  <c r="AI58" i="1"/>
  <c r="AH58" i="1"/>
  <c r="AG58" i="1"/>
  <c r="AF58" i="1"/>
  <c r="AE58" i="1"/>
  <c r="AD58" i="1"/>
  <c r="AC58" i="1"/>
  <c r="AB58" i="1"/>
  <c r="AR57" i="1"/>
  <c r="AP57" i="1"/>
  <c r="AM57" i="1"/>
  <c r="AL57" i="1"/>
  <c r="AK57" i="1"/>
  <c r="AJ57" i="1"/>
  <c r="AH57" i="1"/>
  <c r="AG57" i="1"/>
  <c r="AF57" i="1"/>
  <c r="AE57" i="1"/>
  <c r="AB57" i="1"/>
  <c r="AC57" i="1" s="1"/>
  <c r="AR56" i="1"/>
  <c r="AQ56" i="1"/>
  <c r="AP56" i="1"/>
  <c r="AO56" i="1"/>
  <c r="AN56" i="1"/>
  <c r="AL56" i="1"/>
  <c r="AK56" i="1"/>
  <c r="AJ56" i="1"/>
  <c r="AI56" i="1"/>
  <c r="AH56" i="1"/>
  <c r="AG56" i="1"/>
  <c r="AF56" i="1"/>
  <c r="AE56" i="1"/>
  <c r="AD56" i="1"/>
  <c r="AB56" i="1"/>
  <c r="AC56" i="1" s="1"/>
  <c r="AR55" i="1"/>
  <c r="AQ55" i="1"/>
  <c r="AP55" i="1"/>
  <c r="AO55" i="1"/>
  <c r="AN55" i="1"/>
  <c r="AL55" i="1"/>
  <c r="AK55" i="1"/>
  <c r="AJ55" i="1"/>
  <c r="AI55" i="1"/>
  <c r="AH55" i="1"/>
  <c r="AG55" i="1"/>
  <c r="AF55" i="1"/>
  <c r="AE55" i="1"/>
  <c r="AD55" i="1"/>
  <c r="AB55" i="1"/>
  <c r="AC55" i="1" s="1"/>
  <c r="AR54" i="1"/>
  <c r="AQ54" i="1"/>
  <c r="AP54" i="1"/>
  <c r="AO54" i="1"/>
  <c r="AN54" i="1"/>
  <c r="AL54" i="1"/>
  <c r="AK54" i="1"/>
  <c r="AJ54" i="1"/>
  <c r="AI54" i="1"/>
  <c r="AH54" i="1"/>
  <c r="AG54" i="1"/>
  <c r="AF54" i="1"/>
  <c r="AE54" i="1"/>
  <c r="AD54" i="1"/>
  <c r="AC54" i="1"/>
  <c r="AB54" i="1"/>
  <c r="AR53" i="1"/>
  <c r="AQ53" i="1"/>
  <c r="AP53" i="1"/>
  <c r="AO53" i="1"/>
  <c r="AN53" i="1"/>
  <c r="AL53" i="1"/>
  <c r="AK53" i="1"/>
  <c r="AJ53" i="1"/>
  <c r="AI53" i="1"/>
  <c r="AH53" i="1"/>
  <c r="AG53" i="1"/>
  <c r="AF53" i="1"/>
  <c r="AE53" i="1"/>
  <c r="AD53" i="1"/>
  <c r="AC53" i="1"/>
  <c r="AB53" i="1"/>
  <c r="AR52" i="1"/>
  <c r="AQ52" i="1"/>
  <c r="AP52" i="1"/>
  <c r="AO52" i="1"/>
  <c r="AN52" i="1"/>
  <c r="AL52" i="1"/>
  <c r="AK52" i="1"/>
  <c r="AJ52" i="1"/>
  <c r="AI52" i="1"/>
  <c r="AH52" i="1"/>
  <c r="AG52" i="1"/>
  <c r="AF52" i="1"/>
  <c r="AE52" i="1"/>
  <c r="AD52" i="1"/>
  <c r="AC52" i="1"/>
  <c r="AB52" i="1"/>
  <c r="AR51" i="1"/>
  <c r="AQ51" i="1"/>
  <c r="AP51" i="1"/>
  <c r="AO51" i="1"/>
  <c r="AN51" i="1"/>
  <c r="AL51" i="1"/>
  <c r="AK51" i="1"/>
  <c r="AJ51" i="1"/>
  <c r="AI51" i="1"/>
  <c r="AH51" i="1"/>
  <c r="AG51" i="1"/>
  <c r="AF51" i="1"/>
  <c r="AE51" i="1"/>
  <c r="AD51" i="1"/>
  <c r="AC51" i="1"/>
  <c r="AB51" i="1"/>
  <c r="AR50" i="1"/>
  <c r="AQ50" i="1"/>
  <c r="AP50" i="1"/>
  <c r="AO50" i="1"/>
  <c r="AN50" i="1"/>
  <c r="AL50" i="1"/>
  <c r="AK50" i="1"/>
  <c r="AJ50" i="1"/>
  <c r="AI50" i="1"/>
  <c r="AH50" i="1"/>
  <c r="AG50" i="1"/>
  <c r="AF50" i="1"/>
  <c r="AE50" i="1"/>
  <c r="AD50" i="1"/>
  <c r="AC50" i="1"/>
  <c r="AB50" i="1"/>
  <c r="AR49" i="1"/>
  <c r="AQ49" i="1"/>
  <c r="AP49" i="1"/>
  <c r="AO49" i="1"/>
  <c r="AN49" i="1"/>
  <c r="AL49" i="1"/>
  <c r="AK49" i="1"/>
  <c r="AJ49" i="1"/>
  <c r="AI49" i="1"/>
  <c r="AH49" i="1"/>
  <c r="AG49" i="1"/>
  <c r="AF49" i="1"/>
  <c r="AE49" i="1"/>
  <c r="AD49" i="1"/>
  <c r="AC49" i="1"/>
  <c r="AB49" i="1"/>
  <c r="AR48" i="1"/>
  <c r="AQ48" i="1"/>
  <c r="AP48" i="1"/>
  <c r="AO48" i="1"/>
  <c r="AN48" i="1"/>
  <c r="AL48" i="1"/>
  <c r="AK48" i="1"/>
  <c r="AJ48" i="1"/>
  <c r="AI48" i="1"/>
  <c r="AH48" i="1"/>
  <c r="AG48" i="1"/>
  <c r="AF48" i="1"/>
  <c r="AE48" i="1"/>
  <c r="AD48" i="1"/>
  <c r="AC48" i="1"/>
  <c r="AB48" i="1"/>
  <c r="AR47" i="1"/>
  <c r="AQ47" i="1"/>
  <c r="AP47" i="1"/>
  <c r="AO47" i="1"/>
  <c r="AN47" i="1"/>
  <c r="AL47" i="1"/>
  <c r="AK47" i="1"/>
  <c r="AJ47" i="1"/>
  <c r="AI47" i="1"/>
  <c r="AH47" i="1"/>
  <c r="AG47" i="1"/>
  <c r="AF47" i="1"/>
  <c r="AE47" i="1"/>
  <c r="AD47" i="1"/>
  <c r="AC47" i="1"/>
  <c r="AB47" i="1"/>
  <c r="AR46" i="1"/>
  <c r="AQ46" i="1"/>
  <c r="AP46" i="1"/>
  <c r="AO46" i="1"/>
  <c r="AN46" i="1"/>
  <c r="AL46" i="1"/>
  <c r="AK46" i="1"/>
  <c r="AJ46" i="1"/>
  <c r="AI46" i="1"/>
  <c r="AH46" i="1"/>
  <c r="AG46" i="1"/>
  <c r="AF46" i="1"/>
  <c r="AE46" i="1"/>
  <c r="AD46" i="1"/>
  <c r="AC46" i="1"/>
  <c r="AB46" i="1"/>
  <c r="AR45" i="1"/>
  <c r="AQ45" i="1"/>
  <c r="AP45" i="1"/>
  <c r="AO45" i="1"/>
  <c r="AN45" i="1"/>
  <c r="AL45" i="1"/>
  <c r="AK45" i="1"/>
  <c r="AJ45" i="1"/>
  <c r="AI45" i="1"/>
  <c r="AH45" i="1"/>
  <c r="AG45" i="1"/>
  <c r="AF45" i="1"/>
  <c r="AE45" i="1"/>
  <c r="AD45" i="1"/>
  <c r="AC45" i="1"/>
  <c r="AB45" i="1"/>
  <c r="AR44" i="1"/>
  <c r="AQ44" i="1"/>
  <c r="AP44" i="1"/>
  <c r="AO44" i="1"/>
  <c r="AN44" i="1"/>
  <c r="AL44" i="1"/>
  <c r="AK44" i="1"/>
  <c r="AJ44" i="1"/>
  <c r="AI44" i="1"/>
  <c r="AH44" i="1"/>
  <c r="AG44" i="1"/>
  <c r="AF44" i="1"/>
  <c r="AE44" i="1"/>
  <c r="AD44" i="1"/>
  <c r="AC44" i="1"/>
  <c r="AB44" i="1"/>
  <c r="AR43" i="1"/>
  <c r="AQ43" i="1"/>
  <c r="AP43" i="1"/>
  <c r="AO43" i="1"/>
  <c r="AN43" i="1"/>
  <c r="AL43" i="1"/>
  <c r="AK43" i="1"/>
  <c r="AJ43" i="1"/>
  <c r="AI43" i="1"/>
  <c r="AH43" i="1"/>
  <c r="AG43" i="1"/>
  <c r="AF43" i="1"/>
  <c r="AE43" i="1"/>
  <c r="AD43" i="1"/>
  <c r="AB43" i="1"/>
  <c r="AC43" i="1" s="1"/>
  <c r="AR42" i="1"/>
  <c r="AQ42" i="1"/>
  <c r="AP42" i="1"/>
  <c r="AO42" i="1"/>
  <c r="AN42" i="1"/>
  <c r="AL42" i="1"/>
  <c r="AK42" i="1"/>
  <c r="AJ42" i="1"/>
  <c r="AI42" i="1"/>
  <c r="AH42" i="1"/>
  <c r="AG42" i="1"/>
  <c r="AF42" i="1"/>
  <c r="AE42" i="1"/>
  <c r="AD42" i="1"/>
  <c r="AC42" i="1"/>
  <c r="AB42" i="1"/>
  <c r="AR41" i="1"/>
  <c r="AQ41" i="1"/>
  <c r="AP41" i="1"/>
  <c r="AO41" i="1"/>
  <c r="AN41" i="1"/>
  <c r="AL41" i="1"/>
  <c r="AK41" i="1"/>
  <c r="AJ41" i="1"/>
  <c r="AI41" i="1"/>
  <c r="AH41" i="1"/>
  <c r="AG41" i="1"/>
  <c r="AF41" i="1"/>
  <c r="AE41" i="1"/>
  <c r="AD41" i="1"/>
  <c r="AC41" i="1"/>
  <c r="AB41" i="1"/>
  <c r="AR40" i="1"/>
  <c r="AQ40" i="1"/>
  <c r="AP40" i="1"/>
  <c r="AO40" i="1"/>
  <c r="AN40" i="1"/>
  <c r="AL40" i="1"/>
  <c r="AK40" i="1"/>
  <c r="AJ40" i="1"/>
  <c r="AI40" i="1"/>
  <c r="AH40" i="1"/>
  <c r="AG40" i="1"/>
  <c r="AF40" i="1"/>
  <c r="AE40" i="1"/>
  <c r="AD40" i="1"/>
  <c r="AC40" i="1"/>
  <c r="AB40" i="1"/>
  <c r="AR39" i="1"/>
  <c r="AQ39" i="1"/>
  <c r="AP39" i="1"/>
  <c r="AO39" i="1"/>
  <c r="AN39" i="1"/>
  <c r="AL39" i="1"/>
  <c r="AK39" i="1"/>
  <c r="AJ39" i="1"/>
  <c r="AI39" i="1"/>
  <c r="AH39" i="1"/>
  <c r="AG39" i="1"/>
  <c r="AF39" i="1"/>
  <c r="AE39" i="1"/>
  <c r="AD39" i="1"/>
  <c r="AC39" i="1"/>
  <c r="AB39" i="1"/>
  <c r="R39" i="1"/>
  <c r="AR38" i="1"/>
  <c r="AQ38" i="1"/>
  <c r="AP38" i="1"/>
  <c r="AO38" i="1"/>
  <c r="AN38" i="1"/>
  <c r="AL38" i="1"/>
  <c r="AK38" i="1"/>
  <c r="AJ38" i="1"/>
  <c r="AI38" i="1"/>
  <c r="AH38" i="1"/>
  <c r="AG38" i="1"/>
  <c r="AF38" i="1"/>
  <c r="AE38" i="1"/>
  <c r="AD38" i="1"/>
  <c r="AC38" i="1"/>
  <c r="AB38" i="1"/>
  <c r="AR37" i="1"/>
  <c r="AQ37" i="1"/>
  <c r="AP37" i="1"/>
  <c r="AO37" i="1"/>
  <c r="AN37" i="1"/>
  <c r="AL37" i="1"/>
  <c r="AK37" i="1"/>
  <c r="AJ37" i="1"/>
  <c r="AI37" i="1"/>
  <c r="AH37" i="1"/>
  <c r="AG37" i="1"/>
  <c r="AF37" i="1"/>
  <c r="AE37" i="1"/>
  <c r="AD37" i="1"/>
  <c r="AC37" i="1"/>
  <c r="AB37" i="1"/>
  <c r="AR36" i="1"/>
  <c r="AQ36" i="1"/>
  <c r="AP36" i="1"/>
  <c r="AO36" i="1"/>
  <c r="AN36" i="1"/>
  <c r="AL36" i="1"/>
  <c r="AK36" i="1"/>
  <c r="AJ36" i="1"/>
  <c r="AI36" i="1"/>
  <c r="AH36" i="1"/>
  <c r="AG36" i="1"/>
  <c r="AF36" i="1"/>
  <c r="AE36" i="1"/>
  <c r="AD36" i="1"/>
  <c r="AB36" i="1"/>
  <c r="AC36" i="1" s="1"/>
  <c r="AR35" i="1"/>
  <c r="AQ35" i="1"/>
  <c r="AP35" i="1"/>
  <c r="AO35" i="1"/>
  <c r="AN35" i="1"/>
  <c r="AL35" i="1"/>
  <c r="AK35" i="1"/>
  <c r="AJ35" i="1"/>
  <c r="AI35" i="1"/>
  <c r="AH35" i="1"/>
  <c r="AG35" i="1"/>
  <c r="AF35" i="1"/>
  <c r="AE35" i="1"/>
  <c r="AD35" i="1"/>
  <c r="AC35" i="1"/>
  <c r="AB35" i="1"/>
  <c r="AR34" i="1"/>
  <c r="AQ34" i="1"/>
  <c r="AP34" i="1"/>
  <c r="AO34" i="1"/>
  <c r="AN34" i="1"/>
  <c r="AL34" i="1"/>
  <c r="AK34" i="1"/>
  <c r="AJ34" i="1"/>
  <c r="AI34" i="1"/>
  <c r="AH34" i="1"/>
  <c r="AG34" i="1"/>
  <c r="AF34" i="1"/>
  <c r="AE34" i="1"/>
  <c r="AD34" i="1"/>
  <c r="AC34" i="1"/>
  <c r="AB34" i="1"/>
  <c r="AR33" i="1"/>
  <c r="AQ33" i="1"/>
  <c r="AP33" i="1"/>
  <c r="AO33" i="1"/>
  <c r="AN33" i="1"/>
  <c r="AL33" i="1"/>
  <c r="AK33" i="1"/>
  <c r="AJ33" i="1"/>
  <c r="AI33" i="1"/>
  <c r="AH33" i="1"/>
  <c r="AG33" i="1"/>
  <c r="AF33" i="1"/>
  <c r="AE33" i="1"/>
  <c r="AD33" i="1"/>
  <c r="AC33" i="1"/>
  <c r="AB33" i="1"/>
  <c r="Q33" i="1"/>
  <c r="AR32" i="1"/>
  <c r="AQ32" i="1"/>
  <c r="AP32" i="1"/>
  <c r="AO32" i="1"/>
  <c r="AN32" i="1"/>
  <c r="AL32" i="1"/>
  <c r="AK32" i="1"/>
  <c r="AJ32" i="1"/>
  <c r="AI32" i="1"/>
  <c r="AH32" i="1"/>
  <c r="AG32" i="1"/>
  <c r="AF32" i="1"/>
  <c r="AE32" i="1"/>
  <c r="AD32" i="1"/>
  <c r="AC32" i="1"/>
  <c r="AB32" i="1"/>
  <c r="AR31" i="1"/>
  <c r="AQ31" i="1"/>
  <c r="AP31" i="1"/>
  <c r="AO31" i="1"/>
  <c r="AN31" i="1"/>
  <c r="AL31" i="1"/>
  <c r="AK31" i="1"/>
  <c r="AJ31" i="1"/>
  <c r="AI31" i="1"/>
  <c r="AH31" i="1"/>
  <c r="AG31" i="1"/>
  <c r="AF31" i="1"/>
  <c r="AE31" i="1"/>
  <c r="AD31" i="1"/>
  <c r="AC31" i="1"/>
  <c r="AB31" i="1"/>
  <c r="AR30" i="1"/>
  <c r="AQ30" i="1"/>
  <c r="AP30" i="1"/>
  <c r="AO30" i="1"/>
  <c r="AN30" i="1"/>
  <c r="AL30" i="1"/>
  <c r="AK30" i="1"/>
  <c r="AJ30" i="1"/>
  <c r="AI30" i="1"/>
  <c r="AH30" i="1"/>
  <c r="AG30" i="1"/>
  <c r="AF30" i="1"/>
  <c r="AE30" i="1"/>
  <c r="AD30" i="1"/>
  <c r="AC30" i="1"/>
  <c r="AB30" i="1"/>
  <c r="AR29" i="1"/>
  <c r="AQ29" i="1"/>
  <c r="AP29" i="1"/>
  <c r="AO29" i="1"/>
  <c r="AN29" i="1"/>
  <c r="AL29" i="1"/>
  <c r="AK29" i="1"/>
  <c r="AJ29" i="1"/>
  <c r="AI29" i="1"/>
  <c r="AH29" i="1"/>
  <c r="AG29" i="1"/>
  <c r="AF29" i="1"/>
  <c r="AE29" i="1"/>
  <c r="AD29" i="1"/>
  <c r="AC29" i="1"/>
  <c r="AB29" i="1"/>
  <c r="AR28" i="1"/>
  <c r="AQ28" i="1"/>
  <c r="AP28" i="1"/>
  <c r="AO28" i="1"/>
  <c r="AN28" i="1"/>
  <c r="AL28" i="1"/>
  <c r="AK28" i="1"/>
  <c r="AJ28" i="1"/>
  <c r="AI28" i="1"/>
  <c r="AH28" i="1"/>
  <c r="AG28" i="1"/>
  <c r="AF28" i="1"/>
  <c r="AE28" i="1"/>
  <c r="AD28" i="1"/>
  <c r="AC28" i="1"/>
  <c r="AB28" i="1"/>
  <c r="AR27" i="1"/>
  <c r="AQ27" i="1"/>
  <c r="AP27" i="1"/>
  <c r="AO27" i="1"/>
  <c r="AN27" i="1"/>
  <c r="AL27" i="1"/>
  <c r="AK27" i="1"/>
  <c r="AJ27" i="1"/>
  <c r="AI27" i="1"/>
  <c r="AM27" i="1" s="1"/>
  <c r="AH27" i="1"/>
  <c r="AG27" i="1"/>
  <c r="AF27" i="1"/>
  <c r="AE27" i="1"/>
  <c r="AD27" i="1"/>
  <c r="AB27" i="1"/>
  <c r="AC27" i="1" s="1"/>
  <c r="AR26" i="1"/>
  <c r="AQ26" i="1"/>
  <c r="AP26" i="1"/>
  <c r="AO26" i="1"/>
  <c r="AN26" i="1"/>
  <c r="AL26" i="1"/>
  <c r="AK26" i="1"/>
  <c r="AJ26" i="1"/>
  <c r="AI26" i="1"/>
  <c r="AH26" i="1"/>
  <c r="AG26" i="1"/>
  <c r="AF26" i="1"/>
  <c r="AE26" i="1"/>
  <c r="AD26" i="1"/>
  <c r="AC26" i="1"/>
  <c r="AB26" i="1"/>
  <c r="AR25" i="1"/>
  <c r="AQ25" i="1"/>
  <c r="AP25" i="1"/>
  <c r="AO25" i="1"/>
  <c r="AN25" i="1"/>
  <c r="AL25" i="1"/>
  <c r="AK25" i="1"/>
  <c r="AJ25" i="1"/>
  <c r="AI25" i="1"/>
  <c r="AH25" i="1"/>
  <c r="AG25" i="1"/>
  <c r="AF25" i="1"/>
  <c r="AE25" i="1"/>
  <c r="AD25" i="1"/>
  <c r="AC25" i="1"/>
  <c r="AB25" i="1"/>
  <c r="AR24" i="1"/>
  <c r="AQ24" i="1"/>
  <c r="AP24" i="1"/>
  <c r="AO24" i="1"/>
  <c r="AN24" i="1"/>
  <c r="AL24" i="1"/>
  <c r="AK24" i="1"/>
  <c r="AJ24" i="1"/>
  <c r="AI24" i="1"/>
  <c r="AH24" i="1"/>
  <c r="AG24" i="1"/>
  <c r="AF24" i="1"/>
  <c r="AE24" i="1"/>
  <c r="AD24" i="1"/>
  <c r="AC24" i="1"/>
  <c r="AB24" i="1"/>
  <c r="AR23" i="1"/>
  <c r="AQ23" i="1"/>
  <c r="AP23" i="1"/>
  <c r="AO23" i="1"/>
  <c r="AN23" i="1"/>
  <c r="AL23" i="1"/>
  <c r="AK23" i="1"/>
  <c r="AJ23" i="1"/>
  <c r="AI23" i="1"/>
  <c r="AH23" i="1"/>
  <c r="AG23" i="1"/>
  <c r="AF23" i="1"/>
  <c r="AE23" i="1"/>
  <c r="AD23" i="1"/>
  <c r="AC23" i="1"/>
  <c r="AR22" i="1"/>
  <c r="AQ22" i="1"/>
  <c r="AP22" i="1"/>
  <c r="AO22" i="1"/>
  <c r="AN22" i="1"/>
  <c r="AL22" i="1"/>
  <c r="AK22" i="1"/>
  <c r="AJ22" i="1"/>
  <c r="AI22" i="1"/>
  <c r="AH22" i="1"/>
  <c r="AG22" i="1"/>
  <c r="AF22" i="1"/>
  <c r="AE22" i="1"/>
  <c r="AD22" i="1"/>
  <c r="AC22" i="1"/>
  <c r="AB22" i="1"/>
  <c r="AR21" i="1"/>
  <c r="AQ21" i="1"/>
  <c r="AP21" i="1"/>
  <c r="AO21" i="1"/>
  <c r="AN21" i="1"/>
  <c r="AL21" i="1"/>
  <c r="AK21" i="1"/>
  <c r="AJ21" i="1"/>
  <c r="AI21" i="1"/>
  <c r="AH21" i="1"/>
  <c r="AG21" i="1"/>
  <c r="AF21" i="1"/>
  <c r="AE21" i="1"/>
  <c r="AD21" i="1"/>
  <c r="AC21" i="1"/>
  <c r="AB21" i="1"/>
  <c r="AR20" i="1"/>
  <c r="AQ20" i="1"/>
  <c r="AP20" i="1"/>
  <c r="AO20" i="1"/>
  <c r="AN20" i="1"/>
  <c r="AL20" i="1"/>
  <c r="AK20" i="1"/>
  <c r="AJ20" i="1"/>
  <c r="AI20" i="1"/>
  <c r="AH20" i="1"/>
  <c r="AG20" i="1"/>
  <c r="AF20" i="1"/>
  <c r="AE20" i="1"/>
  <c r="AD20" i="1"/>
  <c r="AC20" i="1"/>
  <c r="AB20" i="1"/>
  <c r="AR19" i="1"/>
  <c r="AQ19" i="1"/>
  <c r="AP19" i="1"/>
  <c r="AO19" i="1"/>
  <c r="AN19" i="1"/>
  <c r="AL19" i="1"/>
  <c r="AK19" i="1"/>
  <c r="AJ19" i="1"/>
  <c r="AI19" i="1"/>
  <c r="AH19" i="1"/>
  <c r="AG19" i="1"/>
  <c r="AF19" i="1"/>
  <c r="AE19" i="1"/>
  <c r="AD19" i="1"/>
  <c r="AC19" i="1"/>
  <c r="AB19" i="1"/>
  <c r="AR18" i="1"/>
  <c r="AQ18" i="1"/>
  <c r="AP18" i="1"/>
  <c r="AO18" i="1"/>
  <c r="AN18" i="1"/>
  <c r="AL18" i="1"/>
  <c r="AK18" i="1"/>
  <c r="AJ18" i="1"/>
  <c r="AI18" i="1"/>
  <c r="AH18" i="1"/>
  <c r="AG18" i="1"/>
  <c r="AF18" i="1"/>
  <c r="AE18" i="1"/>
  <c r="AD18" i="1"/>
  <c r="AC18" i="1"/>
  <c r="AB18" i="1"/>
  <c r="AR17" i="1"/>
  <c r="AQ17" i="1"/>
  <c r="AP17" i="1"/>
  <c r="AO17" i="1"/>
  <c r="AN17" i="1"/>
  <c r="AL17" i="1"/>
  <c r="AK17" i="1"/>
  <c r="AJ17" i="1"/>
  <c r="AI17" i="1"/>
  <c r="AH17" i="1"/>
  <c r="AG17" i="1"/>
  <c r="AF17" i="1"/>
  <c r="AE17" i="1"/>
  <c r="AD17" i="1"/>
  <c r="AC17" i="1"/>
  <c r="AB17" i="1"/>
  <c r="AR16" i="1"/>
  <c r="AQ16" i="1"/>
  <c r="AP16" i="1"/>
  <c r="AO16" i="1"/>
  <c r="AN16" i="1"/>
  <c r="AL16" i="1"/>
  <c r="AK16" i="1"/>
  <c r="AJ16" i="1"/>
  <c r="AI16" i="1"/>
  <c r="AH16" i="1"/>
  <c r="AG16" i="1"/>
  <c r="AF16" i="1"/>
  <c r="AE16" i="1"/>
  <c r="AD16" i="1"/>
  <c r="AC16" i="1"/>
  <c r="AB16" i="1"/>
  <c r="AR15" i="1"/>
  <c r="AQ15" i="1"/>
  <c r="AP15" i="1"/>
  <c r="AO15" i="1"/>
  <c r="AN15" i="1"/>
  <c r="AL15" i="1"/>
  <c r="AK15" i="1"/>
  <c r="AJ15" i="1"/>
  <c r="AI15" i="1"/>
  <c r="AH15" i="1"/>
  <c r="AG15" i="1"/>
  <c r="AF15" i="1"/>
  <c r="AE15" i="1"/>
  <c r="AD15" i="1"/>
  <c r="AC15" i="1"/>
  <c r="AB15" i="1"/>
  <c r="AR14" i="1"/>
  <c r="AQ14" i="1"/>
  <c r="AP14" i="1"/>
  <c r="AO14" i="1"/>
  <c r="AN14" i="1"/>
  <c r="AL14" i="1"/>
  <c r="AK14" i="1"/>
  <c r="AJ14" i="1"/>
  <c r="AI14" i="1"/>
  <c r="AH14" i="1"/>
  <c r="AG14" i="1"/>
  <c r="AF14" i="1"/>
  <c r="AE14" i="1"/>
  <c r="AD14" i="1"/>
  <c r="AC14" i="1"/>
  <c r="AB14" i="1"/>
  <c r="AR13" i="1"/>
  <c r="AQ13" i="1"/>
  <c r="AP13" i="1"/>
  <c r="AO13" i="1"/>
  <c r="AN13" i="1"/>
  <c r="AL13" i="1"/>
  <c r="AK13" i="1"/>
  <c r="AJ13" i="1"/>
  <c r="AI13" i="1"/>
  <c r="AH13" i="1"/>
  <c r="AG13" i="1"/>
  <c r="AF13" i="1"/>
  <c r="AE13" i="1"/>
  <c r="AD13" i="1"/>
  <c r="AC13" i="1"/>
  <c r="AB13" i="1"/>
  <c r="AR12" i="1"/>
  <c r="AP12" i="1"/>
  <c r="AM12" i="1"/>
  <c r="AL12" i="1"/>
  <c r="AK12" i="1"/>
  <c r="AJ12" i="1"/>
  <c r="AH12" i="1"/>
  <c r="AG12" i="1"/>
  <c r="AF12" i="1"/>
  <c r="AE12" i="1"/>
  <c r="AD12" i="1"/>
  <c r="AC12" i="1"/>
  <c r="AB12" i="1"/>
  <c r="AR11" i="1"/>
  <c r="AQ11" i="1"/>
  <c r="AP11" i="1"/>
  <c r="AO11" i="1"/>
  <c r="AN11" i="1"/>
  <c r="AL11" i="1"/>
  <c r="AK11" i="1"/>
  <c r="AJ11" i="1"/>
  <c r="AI11" i="1"/>
  <c r="AH11" i="1"/>
  <c r="AG11" i="1"/>
  <c r="AF11" i="1"/>
  <c r="AE11" i="1"/>
  <c r="AD11" i="1"/>
  <c r="AB11" i="1"/>
  <c r="AC11" i="1" s="1"/>
  <c r="Q11" i="1"/>
  <c r="AR10" i="1"/>
  <c r="AQ10" i="1"/>
  <c r="AP10" i="1"/>
  <c r="AO10" i="1"/>
  <c r="AN10" i="1"/>
  <c r="AL10" i="1"/>
  <c r="AK10" i="1"/>
  <c r="AJ10" i="1"/>
  <c r="AI10" i="1"/>
  <c r="AH10" i="1"/>
  <c r="AG10" i="1"/>
  <c r="AF10" i="1"/>
  <c r="AE10" i="1"/>
  <c r="AD10" i="1"/>
  <c r="AB10" i="1"/>
  <c r="AC10" i="1" s="1"/>
  <c r="Q10" i="1"/>
  <c r="AR9" i="1"/>
  <c r="AQ9" i="1"/>
  <c r="AP9" i="1"/>
  <c r="AO9" i="1"/>
  <c r="AN9" i="1"/>
  <c r="AL9" i="1"/>
  <c r="AK9" i="1"/>
  <c r="AJ9" i="1"/>
  <c r="AI9" i="1"/>
  <c r="AH9" i="1"/>
  <c r="AG9" i="1"/>
  <c r="AF9" i="1"/>
  <c r="AE9" i="1"/>
  <c r="AD9" i="1"/>
  <c r="AC9" i="1"/>
  <c r="AB9" i="1"/>
  <c r="Q9" i="1"/>
  <c r="AR8" i="1"/>
  <c r="AQ8" i="1"/>
  <c r="AP8" i="1"/>
  <c r="AO8" i="1"/>
  <c r="AN8" i="1"/>
  <c r="AL8" i="1"/>
  <c r="AK8" i="1"/>
  <c r="AJ8" i="1"/>
  <c r="AI8" i="1"/>
  <c r="AH8" i="1"/>
  <c r="AG8" i="1"/>
  <c r="AF8" i="1"/>
  <c r="AE8" i="1"/>
  <c r="AD8" i="1"/>
  <c r="AC8" i="1"/>
  <c r="AB8" i="1"/>
  <c r="AR7" i="1"/>
  <c r="AQ7" i="1"/>
  <c r="AP7" i="1"/>
  <c r="AO7" i="1"/>
  <c r="AN7" i="1"/>
  <c r="AL7" i="1"/>
  <c r="AK7" i="1"/>
  <c r="AJ7" i="1"/>
  <c r="AI7" i="1"/>
  <c r="AH7" i="1"/>
  <c r="AG7" i="1"/>
  <c r="AE7" i="1"/>
  <c r="AD7" i="1"/>
  <c r="AC7" i="1"/>
  <c r="AB7" i="1"/>
  <c r="Q7" i="1"/>
  <c r="AR6" i="1"/>
  <c r="AQ6" i="1"/>
  <c r="AP6" i="1"/>
  <c r="AO6" i="1"/>
  <c r="AN6" i="1"/>
  <c r="AL6" i="1"/>
  <c r="AK6" i="1"/>
  <c r="AJ6" i="1"/>
  <c r="AI6" i="1"/>
  <c r="AF6" i="1"/>
  <c r="AE6" i="1"/>
  <c r="AD6" i="1"/>
  <c r="AC6" i="1"/>
  <c r="AB6" i="1"/>
  <c r="R6" i="1"/>
  <c r="AR5" i="1"/>
  <c r="AQ5" i="1"/>
  <c r="AP5" i="1"/>
  <c r="AO5" i="1"/>
  <c r="AN5" i="1"/>
  <c r="AL5" i="1"/>
  <c r="AK5" i="1"/>
  <c r="AJ5" i="1"/>
  <c r="AI5" i="1"/>
  <c r="AH5" i="1"/>
  <c r="AG5" i="1"/>
  <c r="AF5" i="1"/>
  <c r="AE5" i="1"/>
  <c r="AD5" i="1"/>
  <c r="AC5" i="1"/>
  <c r="AB5" i="1"/>
  <c r="AR4" i="1"/>
  <c r="AQ4" i="1"/>
  <c r="AP4" i="1"/>
  <c r="AO4" i="1"/>
  <c r="AN4" i="1"/>
  <c r="AL4" i="1"/>
  <c r="AK4" i="1"/>
  <c r="AJ4" i="1"/>
  <c r="AI4" i="1"/>
  <c r="AF4" i="1"/>
  <c r="AE4" i="1"/>
  <c r="AD4" i="1"/>
  <c r="AC4" i="1"/>
  <c r="AB4" i="1"/>
  <c r="R4" i="1"/>
  <c r="AR3" i="1"/>
  <c r="AQ3" i="1"/>
  <c r="AP3" i="1"/>
  <c r="AO3" i="1"/>
  <c r="AN3" i="1"/>
  <c r="AL3" i="1"/>
  <c r="AK3" i="1"/>
  <c r="AJ3" i="1"/>
  <c r="AI3" i="1"/>
  <c r="AF3" i="1"/>
  <c r="AE3" i="1"/>
  <c r="AD3" i="1"/>
  <c r="AC3" i="1"/>
  <c r="AB3" i="1"/>
  <c r="R3" i="1"/>
  <c r="AR2" i="1"/>
  <c r="AQ2" i="1"/>
  <c r="AP2" i="1"/>
  <c r="AO2" i="1"/>
  <c r="AN2" i="1"/>
  <c r="AL2" i="1"/>
  <c r="AK2" i="1"/>
  <c r="AJ2" i="1"/>
  <c r="AI2" i="1"/>
  <c r="AM2" i="1" s="1"/>
  <c r="AF2" i="1"/>
  <c r="AE2" i="1"/>
  <c r="AD2" i="1"/>
  <c r="AC2" i="1"/>
  <c r="AB2" i="1"/>
  <c r="R2" i="1"/>
  <c r="D26" i="6" l="1"/>
  <c r="AM13" i="1"/>
  <c r="AM19" i="1"/>
  <c r="AM7" i="1"/>
  <c r="AA156" i="1"/>
  <c r="AA128" i="1"/>
  <c r="AA154" i="1"/>
  <c r="AA126" i="1"/>
  <c r="AA152" i="1"/>
  <c r="AS54" i="1"/>
  <c r="AA18" i="1"/>
  <c r="AS148" i="1"/>
  <c r="AS76" i="1"/>
  <c r="AA81" i="1"/>
  <c r="AS119" i="1"/>
  <c r="AS73" i="1"/>
  <c r="AS104" i="1"/>
  <c r="AG4" i="1"/>
  <c r="AS56" i="1"/>
  <c r="AS70" i="1"/>
  <c r="AA102" i="1"/>
  <c r="AS78" i="1"/>
  <c r="AA32" i="1"/>
  <c r="AS47" i="1"/>
  <c r="AS53" i="1"/>
  <c r="AA113" i="1"/>
  <c r="AS23" i="1"/>
  <c r="AA99" i="1"/>
  <c r="AA111" i="1"/>
  <c r="AA109" i="1"/>
  <c r="AA138" i="1"/>
  <c r="AS123" i="1"/>
  <c r="AG6" i="1"/>
  <c r="AS63" i="1"/>
  <c r="AA136" i="1"/>
  <c r="AA150" i="1"/>
  <c r="AA169" i="1"/>
  <c r="AS121" i="1"/>
  <c r="AA167" i="1"/>
  <c r="AA85" i="1"/>
  <c r="AA134" i="1"/>
  <c r="AA165" i="1"/>
  <c r="AA40" i="1"/>
  <c r="AA103" i="1"/>
  <c r="AA105" i="1"/>
  <c r="AA132" i="1"/>
  <c r="AA130" i="1"/>
  <c r="AA95" i="1"/>
  <c r="AM4" i="1"/>
  <c r="AM6" i="1"/>
  <c r="AM73" i="1"/>
  <c r="AM14" i="1"/>
  <c r="AM20" i="1"/>
  <c r="AM23" i="1"/>
  <c r="AM26" i="1"/>
  <c r="AS27" i="1"/>
  <c r="AM32" i="1"/>
  <c r="AM61" i="1"/>
  <c r="AM18" i="1"/>
  <c r="AM3" i="1"/>
  <c r="AM58" i="1"/>
  <c r="AM11" i="1"/>
  <c r="AM71" i="1"/>
  <c r="AA28" i="1"/>
  <c r="AM66" i="1"/>
  <c r="AM30" i="1"/>
  <c r="AA78" i="1"/>
  <c r="AA65" i="1"/>
  <c r="AM72" i="1"/>
  <c r="AM60" i="1"/>
  <c r="AM64" i="1"/>
  <c r="AA60" i="1"/>
  <c r="AM16" i="1"/>
  <c r="AA30" i="1"/>
  <c r="AM31" i="1"/>
  <c r="AA47" i="1"/>
  <c r="AM68" i="1"/>
  <c r="AM33" i="1"/>
  <c r="AM39" i="1"/>
  <c r="AA56" i="1"/>
  <c r="AM35" i="1"/>
  <c r="AM38" i="1"/>
  <c r="AS66" i="1"/>
  <c r="AS20" i="1"/>
  <c r="AM25" i="1"/>
  <c r="AM50" i="1"/>
  <c r="AM53" i="1"/>
  <c r="AS16" i="1"/>
  <c r="AS35" i="1"/>
  <c r="AM24" i="1"/>
  <c r="AM55" i="1"/>
  <c r="AM9" i="1"/>
  <c r="AS58" i="1"/>
  <c r="AM28" i="1"/>
  <c r="AM41" i="1"/>
  <c r="AM44" i="1"/>
  <c r="AS85" i="1"/>
  <c r="AA52" i="1"/>
  <c r="AM37" i="1"/>
  <c r="AS57" i="1"/>
  <c r="AS105" i="1"/>
  <c r="AA13" i="1"/>
  <c r="AM5" i="1"/>
  <c r="AA4" i="1"/>
  <c r="AS9" i="1"/>
  <c r="AM43" i="1"/>
  <c r="AM62" i="1"/>
  <c r="AM65" i="1"/>
  <c r="AA61" i="1"/>
  <c r="AA45" i="1"/>
  <c r="AA163" i="1"/>
  <c r="AA10" i="1"/>
  <c r="AH4" i="1"/>
  <c r="AA22" i="1"/>
  <c r="AM40" i="1"/>
  <c r="AA3" i="1"/>
  <c r="AM29" i="1"/>
  <c r="AS43" i="1"/>
  <c r="AM10" i="1"/>
  <c r="AM45" i="1"/>
  <c r="AA57" i="1"/>
  <c r="AM70" i="1"/>
  <c r="AA21" i="1"/>
  <c r="AM48" i="1"/>
  <c r="AM51" i="1"/>
  <c r="AM15" i="1"/>
  <c r="AM52" i="1"/>
  <c r="AM22" i="1"/>
  <c r="AS39" i="1"/>
  <c r="AS98" i="1"/>
  <c r="AS139" i="1"/>
  <c r="AS141" i="1"/>
  <c r="AS143" i="1"/>
  <c r="AS145" i="1"/>
  <c r="AS147" i="1"/>
  <c r="AS94" i="1"/>
  <c r="AS101" i="1"/>
  <c r="AS114" i="1"/>
  <c r="AS116" i="1"/>
  <c r="AS118" i="1"/>
  <c r="AS38" i="1"/>
  <c r="AS19" i="1"/>
  <c r="AS34" i="1"/>
  <c r="AA70" i="1"/>
  <c r="AS90" i="1"/>
  <c r="AS97" i="1"/>
  <c r="AS8" i="1"/>
  <c r="AM21" i="1"/>
  <c r="AA35" i="1"/>
  <c r="AA39" i="1"/>
  <c r="AA53" i="1"/>
  <c r="AA91" i="1"/>
  <c r="AA98" i="1"/>
  <c r="AS168" i="1"/>
  <c r="AS15" i="1"/>
  <c r="AA5" i="1"/>
  <c r="AS30" i="1"/>
  <c r="AA66" i="1"/>
  <c r="AS162" i="1"/>
  <c r="AA9" i="1"/>
  <c r="AM17" i="1"/>
  <c r="AS22" i="1"/>
  <c r="AA27" i="1"/>
  <c r="AM36" i="1"/>
  <c r="AM47" i="1"/>
  <c r="AM54" i="1"/>
  <c r="AS86" i="1"/>
  <c r="AS93" i="1"/>
  <c r="AA23" i="1"/>
  <c r="AM67" i="1"/>
  <c r="AM74" i="1"/>
  <c r="AA87" i="1"/>
  <c r="AA94" i="1"/>
  <c r="AA101" i="1"/>
  <c r="AA19" i="1"/>
  <c r="AS138" i="1"/>
  <c r="AA42" i="1"/>
  <c r="AS75" i="1"/>
  <c r="AS82" i="1"/>
  <c r="AS89" i="1"/>
  <c r="AS103" i="1"/>
  <c r="AA139" i="1"/>
  <c r="AA141" i="1"/>
  <c r="AA143" i="1"/>
  <c r="AS144" i="1"/>
  <c r="AS29" i="1"/>
  <c r="AA83" i="1"/>
  <c r="AA90" i="1"/>
  <c r="AA97" i="1"/>
  <c r="AA145" i="1"/>
  <c r="AA147" i="1"/>
  <c r="AS113" i="1"/>
  <c r="AA149" i="1"/>
  <c r="AS5" i="1"/>
  <c r="AS25" i="1"/>
  <c r="AS61" i="1"/>
  <c r="AA114" i="1"/>
  <c r="AA116" i="1"/>
  <c r="AA118" i="1"/>
  <c r="AM46" i="1"/>
  <c r="AA79" i="1"/>
  <c r="AA86" i="1"/>
  <c r="AA93" i="1"/>
  <c r="AA121" i="1"/>
  <c r="AA123" i="1"/>
  <c r="AS124" i="1"/>
  <c r="AA125" i="1"/>
  <c r="AA37" i="1"/>
  <c r="AS81" i="1"/>
  <c r="AA8" i="1"/>
  <c r="AS40" i="1"/>
  <c r="AM49" i="1"/>
  <c r="AM56" i="1"/>
  <c r="AM59" i="1"/>
  <c r="AS67" i="1"/>
  <c r="AA75" i="1"/>
  <c r="AA82" i="1"/>
  <c r="AA89" i="1"/>
  <c r="AA29" i="1"/>
  <c r="AM69" i="1"/>
  <c r="AA162" i="1"/>
  <c r="AM8" i="1"/>
  <c r="AM42" i="1"/>
  <c r="AS10" i="1"/>
  <c r="AS13" i="1"/>
  <c r="AA25" i="1"/>
  <c r="AA33" i="1"/>
  <c r="AM34" i="1"/>
  <c r="AS50" i="1"/>
  <c r="AS60" i="1"/>
  <c r="AS77" i="1"/>
  <c r="AS102" i="1"/>
  <c r="AA160" i="1"/>
  <c r="AS163" i="1"/>
  <c r="AS26" i="1"/>
  <c r="AS117" i="1"/>
  <c r="AS142" i="1"/>
  <c r="AS166" i="1"/>
  <c r="AS151" i="1"/>
  <c r="AS21" i="1"/>
  <c r="AS55" i="1"/>
  <c r="AS59" i="1"/>
  <c r="AS68" i="1"/>
  <c r="AS131" i="1"/>
  <c r="AS155" i="1"/>
  <c r="AS36" i="1"/>
  <c r="AA17" i="1"/>
  <c r="AS45" i="1"/>
  <c r="AA51" i="1"/>
  <c r="AA64" i="1"/>
  <c r="AA69" i="1"/>
  <c r="AA74" i="1"/>
  <c r="AS133" i="1"/>
  <c r="AS157" i="1"/>
  <c r="AS127" i="1"/>
  <c r="AS140" i="1"/>
  <c r="AA2" i="1"/>
  <c r="AA46" i="1"/>
  <c r="AS122" i="1"/>
  <c r="AS146" i="1"/>
  <c r="AS170" i="1"/>
  <c r="AS6" i="1"/>
  <c r="AA31" i="1"/>
  <c r="AA36" i="1"/>
  <c r="AA41" i="1"/>
  <c r="AS110" i="1"/>
  <c r="AS135" i="1"/>
  <c r="AS159" i="1"/>
  <c r="AS64" i="1"/>
  <c r="AS41" i="1"/>
  <c r="AA26" i="1"/>
  <c r="AS17" i="1"/>
  <c r="AS51" i="1"/>
  <c r="AS46" i="1"/>
  <c r="AS49" i="1"/>
  <c r="AA55" i="1"/>
  <c r="AA59" i="1"/>
  <c r="AA68" i="1"/>
  <c r="AS72" i="1"/>
  <c r="AS112" i="1"/>
  <c r="AS137" i="1"/>
  <c r="AS161" i="1"/>
  <c r="AA12" i="1"/>
  <c r="AA16" i="1"/>
  <c r="AS44" i="1"/>
  <c r="AA50" i="1"/>
  <c r="AA73" i="1"/>
  <c r="AS80" i="1"/>
  <c r="AS84" i="1"/>
  <c r="AS88" i="1"/>
  <c r="AS92" i="1"/>
  <c r="AS96" i="1"/>
  <c r="AS100" i="1"/>
  <c r="AS126" i="1"/>
  <c r="AS150" i="1"/>
  <c r="AS115" i="1"/>
  <c r="AA127" i="1"/>
  <c r="AA151" i="1"/>
  <c r="AG2" i="1"/>
  <c r="AS24" i="1"/>
  <c r="AS62" i="1"/>
  <c r="AA77" i="1"/>
  <c r="AA115" i="1"/>
  <c r="AS128" i="1"/>
  <c r="AA140" i="1"/>
  <c r="AS152" i="1"/>
  <c r="AA164" i="1"/>
  <c r="AH3" i="1"/>
  <c r="AH2" i="1"/>
  <c r="AA6" i="1"/>
  <c r="AA63" i="1"/>
  <c r="AA129" i="1"/>
  <c r="AA153" i="1"/>
  <c r="AS165" i="1"/>
  <c r="AS12" i="1"/>
  <c r="AS31" i="1"/>
  <c r="AS14" i="1"/>
  <c r="AA20" i="1"/>
  <c r="AS48" i="1"/>
  <c r="AA54" i="1"/>
  <c r="AA58" i="1"/>
  <c r="AA67" i="1"/>
  <c r="AS71" i="1"/>
  <c r="AA104" i="1"/>
  <c r="AA117" i="1"/>
  <c r="AS130" i="1"/>
  <c r="AA142" i="1"/>
  <c r="AS154" i="1"/>
  <c r="AA166" i="1"/>
  <c r="AS7" i="1"/>
  <c r="AA15" i="1"/>
  <c r="AA49" i="1"/>
  <c r="AA72" i="1"/>
  <c r="AA131" i="1"/>
  <c r="AA155" i="1"/>
  <c r="AS167" i="1"/>
  <c r="AS129" i="1"/>
  <c r="AA11" i="1"/>
  <c r="AS4" i="1"/>
  <c r="AS28" i="1"/>
  <c r="AS33" i="1"/>
  <c r="AA44" i="1"/>
  <c r="AS79" i="1"/>
  <c r="AS83" i="1"/>
  <c r="AS87" i="1"/>
  <c r="AS91" i="1"/>
  <c r="AS95" i="1"/>
  <c r="AS99" i="1"/>
  <c r="AS109" i="1"/>
  <c r="AA119" i="1"/>
  <c r="AS132" i="1"/>
  <c r="AA144" i="1"/>
  <c r="AS156" i="1"/>
  <c r="AA168" i="1"/>
  <c r="AG3" i="1"/>
  <c r="AS11" i="1"/>
  <c r="AA34" i="1"/>
  <c r="AA80" i="1"/>
  <c r="AA84" i="1"/>
  <c r="AA88" i="1"/>
  <c r="AA92" i="1"/>
  <c r="AA96" i="1"/>
  <c r="AA100" i="1"/>
  <c r="AA110" i="1"/>
  <c r="AA133" i="1"/>
  <c r="AA157" i="1"/>
  <c r="AS169" i="1"/>
  <c r="AS69" i="1"/>
  <c r="AS18" i="1"/>
  <c r="AA24" i="1"/>
  <c r="AS52" i="1"/>
  <c r="AA62" i="1"/>
  <c r="AS65" i="1"/>
  <c r="AA76" i="1"/>
  <c r="AA122" i="1"/>
  <c r="AS134" i="1"/>
  <c r="AA146" i="1"/>
  <c r="AS158" i="1"/>
  <c r="AA170" i="1"/>
  <c r="AA135" i="1"/>
  <c r="AA159" i="1"/>
  <c r="AS171" i="1"/>
  <c r="AS74" i="1"/>
  <c r="AA7" i="1"/>
  <c r="AS3" i="1"/>
  <c r="AH6" i="1"/>
  <c r="AA14" i="1"/>
  <c r="AS32" i="1"/>
  <c r="AS37" i="1"/>
  <c r="AS42" i="1"/>
  <c r="AA48" i="1"/>
  <c r="AA71" i="1"/>
  <c r="AS111" i="1"/>
  <c r="AA124" i="1"/>
  <c r="AS136" i="1"/>
  <c r="AA148" i="1"/>
  <c r="AS160" i="1"/>
  <c r="AS2" i="1"/>
  <c r="AS164" i="1"/>
  <c r="AS153" i="1"/>
  <c r="AA38" i="1"/>
  <c r="AA43" i="1"/>
  <c r="AA112" i="1"/>
  <c r="AS125" i="1"/>
  <c r="AA137" i="1"/>
  <c r="AS149" i="1"/>
  <c r="AA16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tc={365BEAC5-3471-4322-8C3A-15C01C6D14BF}</author>
    <author>tc={099EA61F-5CA2-4FE0-B266-65E03C2B088F}</author>
    <author>tc={6C23FFD6-32EF-4970-A237-69FA28490A1E}</author>
    <author>tc={593819FF-931A-4AF8-8682-868F133110E5}</author>
    <author>tc={095375AE-8324-4E7E-8B28-BEA642259C1B}</author>
    <author>tc={F34480D3-8B9E-4945-B661-B3677F7C3BB0}</author>
    <author>tc={4EAB0F34-2C9F-431D-B587-6B0E7F8CAB0A}</author>
    <author>tc={A925F336-C120-4657-BBC2-68E377F68630}</author>
    <author>tc={7C5B32D1-4A8E-4082-B166-CDE220C905CF}</author>
    <author>Michael G</author>
  </authors>
  <commentList>
    <comment ref="M1" authorId="0" shapeId="0" xr:uid="{365BEAC5-3471-4322-8C3A-15C01C6D14BF}">
      <text>
        <t>[Threaded comment]
Your version of Excel allows you to read this threaded comment; however, any edits to it will get removed if the file is opened in a newer version of Excel. Learn more: https://go.microsoft.com/fwlink/?linkid=870924
Comment:
    Highest point after premarket
Reply:
    High should not be before squeeze and after premarket. Hi in this case should only be created after squeeze.</t>
      </text>
    </comment>
    <comment ref="U1" authorId="1" shapeId="0" xr:uid="{099EA61F-5CA2-4FE0-B266-65E03C2B088F}">
      <text>
        <t>[Threaded comment]
Your version of Excel allows you to read this threaded comment; however, any edits to it will get removed if the file is opened in a newer version of Excel. Learn more: https://go.microsoft.com/fwlink/?linkid=870924
Comment:
    Shares traded at prior running day
Reply:
    Is there overhead supply above the market open price from a prior day?</t>
      </text>
    </comment>
    <comment ref="W1" authorId="2" shapeId="0" xr:uid="{6C23FFD6-32EF-4970-A237-69FA28490A1E}">
      <text>
        <t>[Threaded comment]
Your version of Excel allows you to read this threaded comment; however, any edits to it will get removed if the file is opened in a newer version of Excel. Learn more: https://go.microsoft.com/fwlink/?linkid=870924
Comment:
    Morning Drop: Time from open until bottom 
Level hold: Time from open until bottom
Midday Squeeze: From Hi of move to the lowest low is created
Reply:
    If there are two matching lows before squeeze, take the time of the one nearest to the squeeze.</t>
      </text>
    </comment>
    <comment ref="X1" authorId="3" shapeId="0" xr:uid="{593819FF-931A-4AF8-8682-868F133110E5}">
      <text>
        <t>[Threaded comment]
Your version of Excel allows you to read this threaded comment; however, any edits to it will get removed if the file is opened in a newer version of Excel. Learn more: https://go.microsoft.com/fwlink/?linkid=870924
Comment:
    1 minute past the nearest local minimum (found on 3 minute line chart) to squeeze</t>
      </text>
    </comment>
    <comment ref="Z1" authorId="4" shapeId="0" xr:uid="{095375AE-8324-4E7E-8B28-BEA642259C1B}">
      <text>
        <t>[Threaded comment]
Your version of Excel allows you to read this threaded comment; however, any edits to it will get removed if the file is opened in a newer version of Excel. Learn more: https://go.microsoft.com/fwlink/?linkid=870924
Comment:
    This is from the ideal entry point to the top of the move.</t>
      </text>
    </comment>
    <comment ref="AF1" authorId="5" shapeId="0" xr:uid="{F34480D3-8B9E-4945-B661-B3677F7C3BB0}">
      <text>
        <t>[Threaded comment]
Your version of Excel allows you to read this threaded comment; however, any edits to it will get removed if the file is opened in a newer version of Excel. Learn more: https://go.microsoft.com/fwlink/?linkid=870924
Comment:
    Bottom to top
Reply:
    Lowest point from after open local minimum
Reply:
    The point at which the top is formed is when there is a lower lo on a 5 minute line chart.</t>
      </text>
    </comment>
    <comment ref="AK1" authorId="6" shapeId="0" xr:uid="{4EAB0F34-2C9F-431D-B587-6B0E7F8CAB0A}">
      <text>
        <t>[Threaded comment]
Your version of Excel allows you to read this threaded comment; however, any edits to it will get removed if the file is opened in a newer version of Excel. Learn more: https://go.microsoft.com/fwlink/?linkid=870924
Comment:
    Take the dollar amount from the close to hi of premarket then take the dollar amount from the pm hi to the open price. Divide hi to open by close to hi.</t>
      </text>
    </comment>
    <comment ref="AN1" authorId="7" shapeId="0" xr:uid="{A925F336-C120-4657-BBC2-68E377F68630}">
      <text>
        <t>[Threaded comment]
Your version of Excel allows you to read this threaded comment; however, any edits to it will get removed if the file is opened in a newer version of Excel. Learn more: https://go.microsoft.com/fwlink/?linkid=870924
Comment:
    *Use trendline, DO NOT DIVIDE PULLBACK FROM PRIOR MOVE. Use basic trendline to measure relative pullback. 
Start from opening price to the low of the absolute extremum (relative to this move, and after market open). 
Go to bottom of wick.</t>
      </text>
    </comment>
    <comment ref="AQ1" authorId="8" shapeId="0" xr:uid="{7C5B32D1-4A8E-4082-B166-CDE220C905CF}">
      <text>
        <t>[Threaded comment]
Your version of Excel allows you to read this threaded comment; however, any edits to it will get removed if the file is opened in a newer version of Excel. Learn more: https://go.microsoft.com/fwlink/?linkid=870924
Comment:
    Take the dollar amount of close of prior day to the high of premarket. Then take the high of day to the absolute minimum to the right of the high prior to the morning squeeze.
Reply:
    Take the highest dollar amount the stock reaches before the drop, can be after open.</t>
      </text>
    </comment>
    <comment ref="A5" authorId="9" shapeId="0" xr:uid="{8BAB108D-513F-4484-8A41-E29B992C1C05}">
      <text>
        <r>
          <rPr>
            <b/>
            <sz val="9"/>
            <color indexed="81"/>
            <rFont val="Tahoma"/>
            <family val="2"/>
          </rPr>
          <t>Michael G:</t>
        </r>
        <r>
          <rPr>
            <sz val="9"/>
            <color indexed="81"/>
            <rFont val="Tahoma"/>
            <family val="2"/>
          </rPr>
          <t xml:space="preserve">
Possible hi of squeeze change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tc={8F2D3DF7-1B86-44BA-854C-2918B13F9A9F}</author>
    <author>tc={13917B21-BBBE-40B0-8DB8-96B9B1B3B7F3}</author>
    <author>tc={55922BB1-5A1E-41C6-A79A-273E8A971865}</author>
    <author>tc={677A6B2E-2308-4D42-A944-19133C0ADA0E}</author>
    <author>tc={638D87D4-231B-4597-8ACF-8A09421F3618}</author>
    <author>tc={CB89E82A-6602-4C2C-BF2A-5EC05C26EB1A}</author>
    <author>tc={447F82C6-6F01-4CA6-B4D0-E1BA08F322C2}</author>
    <author>tc={06E02266-EE04-4210-8117-FD2F26959147}</author>
    <author>tc={477E6204-F2D9-4AF6-BDD5-097BB590938A}</author>
    <author>Michael G</author>
  </authors>
  <commentList>
    <comment ref="L1" authorId="0" shapeId="0" xr:uid="{8F2D3DF7-1B86-44BA-854C-2918B13F9A9F}">
      <text>
        <t>[Threaded comment]
Your version of Excel allows you to read this threaded comment; however, any edits to it will get removed if the file is opened in a newer version of Excel. Learn more: https://go.microsoft.com/fwlink/?linkid=870924
Comment:
    Highest point after premarket
Reply:
    High should not be before squeeze and after premarket. Hi in this case should only be created after squeeze.</t>
      </text>
    </comment>
    <comment ref="S1" authorId="1" shapeId="0" xr:uid="{13917B21-BBBE-40B0-8DB8-96B9B1B3B7F3}">
      <text>
        <t>[Threaded comment]
Your version of Excel allows you to read this threaded comment; however, any edits to it will get removed if the file is opened in a newer version of Excel. Learn more: https://go.microsoft.com/fwlink/?linkid=870924
Comment:
    Shares traded at prior running day
Reply:
    Is there overhead supply above the market open price from a prior day?</t>
      </text>
    </comment>
    <comment ref="U1" authorId="2" shapeId="0" xr:uid="{55922BB1-5A1E-41C6-A79A-273E8A971865}">
      <text>
        <t>[Threaded comment]
Your version of Excel allows you to read this threaded comment; however, any edits to it will get removed if the file is opened in a newer version of Excel. Learn more: https://go.microsoft.com/fwlink/?linkid=870924
Comment:
    Morning Drop: Time from open until bottom 
Level hold: Time from open until bottom
Midday Squeeze: From Hi of move to the lowest low is created
Reply:
    If there are two matching lows before squeeze, take the time of the one nearest to the squeeze.</t>
      </text>
    </comment>
    <comment ref="V1" authorId="3" shapeId="0" xr:uid="{677A6B2E-2308-4D42-A944-19133C0ADA0E}">
      <text>
        <t>[Threaded comment]
Your version of Excel allows you to read this threaded comment; however, any edits to it will get removed if the file is opened in a newer version of Excel. Learn more: https://go.microsoft.com/fwlink/?linkid=870924
Comment:
    1 minute past the nearest local minimum (found on 3 minute line chart) to squeeze</t>
      </text>
    </comment>
    <comment ref="X1" authorId="4" shapeId="0" xr:uid="{638D87D4-231B-4597-8ACF-8A09421F3618}">
      <text>
        <t>[Threaded comment]
Your version of Excel allows you to read this threaded comment; however, any edits to it will get removed if the file is opened in a newer version of Excel. Learn more: https://go.microsoft.com/fwlink/?linkid=870924
Comment:
    This is from the ideal entry point to the top of the move.</t>
      </text>
    </comment>
    <comment ref="AD1" authorId="5" shapeId="0" xr:uid="{CB89E82A-6602-4C2C-BF2A-5EC05C26EB1A}">
      <text>
        <t>[Threaded comment]
Your version of Excel allows you to read this threaded comment; however, any edits to it will get removed if the file is opened in a newer version of Excel. Learn more: https://go.microsoft.com/fwlink/?linkid=870924
Comment:
    Bottom to top
Reply:
    Lowest point from after open local minimum
Reply:
    The point at which the top is formed is when there is a lower lo on a 5 minute line chart.</t>
      </text>
    </comment>
    <comment ref="AI1" authorId="6" shapeId="0" xr:uid="{447F82C6-6F01-4CA6-B4D0-E1BA08F322C2}">
      <text>
        <t>[Threaded comment]
Your version of Excel allows you to read this threaded comment; however, any edits to it will get removed if the file is opened in a newer version of Excel. Learn more: https://go.microsoft.com/fwlink/?linkid=870924
Comment:
    Take the dollar amount from the close to hi of premarket then take the dollar amount from the pm hi to the open price. Divide hi to open by close to hi.</t>
      </text>
    </comment>
    <comment ref="AL1" authorId="7" shapeId="0" xr:uid="{06E02266-EE04-4210-8117-FD2F26959147}">
      <text>
        <t>[Threaded comment]
Your version of Excel allows you to read this threaded comment; however, any edits to it will get removed if the file is opened in a newer version of Excel. Learn more: https://go.microsoft.com/fwlink/?linkid=870924
Comment:
    *Use trendline, DO NOT DIVIDE PULLBACK FROM PRIOR MOVE. Use basic trendline to measure relative pullback. 
Start from opening price to the low of the absolute extremum (relative to this move, and after market open). 
Go to bottom of wick.</t>
      </text>
    </comment>
    <comment ref="AO1" authorId="8" shapeId="0" xr:uid="{477E6204-F2D9-4AF6-BDD5-097BB590938A}">
      <text>
        <t>[Threaded comment]
Your version of Excel allows you to read this threaded comment; however, any edits to it will get removed if the file is opened in a newer version of Excel. Learn more: https://go.microsoft.com/fwlink/?linkid=870924
Comment:
    Take the dollar amount of close of prior day to the high of premarket. Then take the high of day to the absolute minimum to the right of the high prior to the morning squeeze.
Reply:
    Take the highest dollar amount the stock reaches before the drop, can be after open.</t>
      </text>
    </comment>
    <comment ref="A21" authorId="9" shapeId="0" xr:uid="{2FA11283-A6B6-4DC0-9562-AB1B2F8CB604}">
      <text>
        <r>
          <rPr>
            <b/>
            <sz val="9"/>
            <color indexed="81"/>
            <rFont val="Tahoma"/>
            <family val="2"/>
          </rPr>
          <t>Michael G:</t>
        </r>
        <r>
          <rPr>
            <sz val="9"/>
            <color indexed="81"/>
            <rFont val="Tahoma"/>
            <family val="2"/>
          </rPr>
          <t xml:space="preserve">
Possible hi of squeeze change
</t>
        </r>
      </text>
    </comment>
  </commentList>
</comments>
</file>

<file path=xl/sharedStrings.xml><?xml version="1.0" encoding="utf-8"?>
<sst xmlns="http://schemas.openxmlformats.org/spreadsheetml/2006/main" count="1452" uniqueCount="372">
  <si>
    <t>Ticker</t>
  </si>
  <si>
    <t>Date</t>
  </si>
  <si>
    <t>Notes</t>
  </si>
  <si>
    <t>Prior day close</t>
  </si>
  <si>
    <t>PM Open Price</t>
  </si>
  <si>
    <t>PM Hi</t>
  </si>
  <si>
    <t>PM LO</t>
  </si>
  <si>
    <t>PM Lo After PM Hi</t>
  </si>
  <si>
    <t>MKT Open Price</t>
  </si>
  <si>
    <t>Hi of Spike after open before drop</t>
  </si>
  <si>
    <t>Lowest lo from open to squeeze</t>
  </si>
  <si>
    <t>HOD AFTER PM HI</t>
  </si>
  <si>
    <t>Price at hi of squeeze</t>
  </si>
  <si>
    <t>Volume</t>
  </si>
  <si>
    <t>Volume ($M)</t>
  </si>
  <si>
    <t>MKT CAP(M)</t>
  </si>
  <si>
    <t>FLOAT(M)</t>
  </si>
  <si>
    <t>PM Trend</t>
  </si>
  <si>
    <t>PM VOL</t>
  </si>
  <si>
    <t>Overhead supply above 20m (Y/N)</t>
  </si>
  <si>
    <t>Day 1 (Y/N)</t>
  </si>
  <si>
    <t>Time until lowest lo (mins) from open</t>
  </si>
  <si>
    <t>Time until ideal entry point (mins) from open</t>
  </si>
  <si>
    <t>Entry Price</t>
  </si>
  <si>
    <t>Duration of frontside (mins)</t>
  </si>
  <si>
    <t>Time of Entry</t>
  </si>
  <si>
    <t>Prior Close to PM Hi %</t>
  </si>
  <si>
    <t>Full day % Change</t>
  </si>
  <si>
    <t>Squeeze % from open</t>
  </si>
  <si>
    <t>Squeeze % above PM HI</t>
  </si>
  <si>
    <t>Squeeze %</t>
  </si>
  <si>
    <t>PM Float Rotations</t>
  </si>
  <si>
    <t>Float Rotations per day</t>
  </si>
  <si>
    <t>Spike % on open before drop</t>
  </si>
  <si>
    <t xml:space="preserve">Pullback from spike </t>
  </si>
  <si>
    <t>Pullback % from open</t>
  </si>
  <si>
    <t>Retracement of Prior Move % until lowerst low (Not relative)</t>
  </si>
  <si>
    <t>Retracement of prior move w/ if pm lo &lt; prior day close</t>
  </si>
  <si>
    <t>Retracement of prior move % until lowest lo (relative to day)</t>
  </si>
  <si>
    <t>Time until ideal entry + 390 (6:30)</t>
  </si>
  <si>
    <t>Time until top</t>
  </si>
  <si>
    <t>GENE</t>
  </si>
  <si>
    <t>N</t>
  </si>
  <si>
    <t>ANGI</t>
  </si>
  <si>
    <t>Y</t>
  </si>
  <si>
    <t>ARRY</t>
  </si>
  <si>
    <t>CNET</t>
  </si>
  <si>
    <t>PTI</t>
  </si>
  <si>
    <t>RKDA</t>
  </si>
  <si>
    <t>BPTH</t>
  </si>
  <si>
    <t>ALT</t>
  </si>
  <si>
    <t>TROV</t>
  </si>
  <si>
    <t>Opened up very high then dropped down to HS</t>
  </si>
  <si>
    <t>DERM</t>
  </si>
  <si>
    <t>OPTT</t>
  </si>
  <si>
    <t>Large spike on open</t>
  </si>
  <si>
    <t>Uptrend</t>
  </si>
  <si>
    <t>OTLK</t>
  </si>
  <si>
    <t>PRVB</t>
  </si>
  <si>
    <t>AGTC</t>
  </si>
  <si>
    <t>SNCA</t>
  </si>
  <si>
    <t>APRN</t>
  </si>
  <si>
    <t>IMAC</t>
  </si>
  <si>
    <t>Low price, Large PM Range,  opened at top of range</t>
  </si>
  <si>
    <t>ASTC</t>
  </si>
  <si>
    <t>GPMT</t>
  </si>
  <si>
    <t xml:space="preserve">BKYI </t>
  </si>
  <si>
    <t>Large PM Range, opened up really high</t>
  </si>
  <si>
    <t>SPCB</t>
  </si>
  <si>
    <t>DPW</t>
  </si>
  <si>
    <t>CLSK</t>
  </si>
  <si>
    <t>WORX</t>
  </si>
  <si>
    <t>Opens at half spike, then trends back down to prior support</t>
  </si>
  <si>
    <t>Opened up Hi then dropped to support level</t>
  </si>
  <si>
    <t>MDGS</t>
  </si>
  <si>
    <t>YTEN</t>
  </si>
  <si>
    <t>SRNE</t>
  </si>
  <si>
    <t>NNDM</t>
  </si>
  <si>
    <t>W</t>
  </si>
  <si>
    <t>HX</t>
  </si>
  <si>
    <t>ABIO</t>
  </si>
  <si>
    <t>Opened up high then dropped to nearest sup</t>
  </si>
  <si>
    <t>Y, but opened above</t>
  </si>
  <si>
    <t>TENX</t>
  </si>
  <si>
    <t>GNUS</t>
  </si>
  <si>
    <t>SAVA</t>
  </si>
  <si>
    <t>CIDM</t>
  </si>
  <si>
    <t>Extremely crowded, dropped to nearest level then squeezed EASILY</t>
  </si>
  <si>
    <t>WLL</t>
  </si>
  <si>
    <t>Opened up on HS</t>
  </si>
  <si>
    <t>BORR</t>
  </si>
  <si>
    <t>IMRN</t>
  </si>
  <si>
    <t>NAKD</t>
  </si>
  <si>
    <t>CRIS</t>
  </si>
  <si>
    <t>WAFU</t>
  </si>
  <si>
    <t>Trading around half spike, very choppy, then dropped to notch level on open</t>
  </si>
  <si>
    <t>LMFA</t>
  </si>
  <si>
    <t>IDEX</t>
  </si>
  <si>
    <t>HTZ</t>
  </si>
  <si>
    <t>SINT</t>
  </si>
  <si>
    <t>Had tiny pm range, and opened up on its HS</t>
  </si>
  <si>
    <t>EKSO</t>
  </si>
  <si>
    <t>WKHS</t>
  </si>
  <si>
    <t>POLA</t>
  </si>
  <si>
    <t>MYOS</t>
  </si>
  <si>
    <t>AYRO</t>
  </si>
  <si>
    <t>SOLO</t>
  </si>
  <si>
    <t>WIMI</t>
  </si>
  <si>
    <t>ECOR</t>
  </si>
  <si>
    <t>NBY</t>
  </si>
  <si>
    <t>INMB</t>
  </si>
  <si>
    <t>Dropped extremely low, multiday runner</t>
  </si>
  <si>
    <t xml:space="preserve">GENE </t>
  </si>
  <si>
    <t>VRNA</t>
  </si>
  <si>
    <t>Opened up in middle of range then dropped to HS</t>
  </si>
  <si>
    <t>Opened up slightly below HS</t>
  </si>
  <si>
    <t>MTP</t>
  </si>
  <si>
    <t>SNDE</t>
  </si>
  <si>
    <t>Opened Hi then dropped to a sup</t>
  </si>
  <si>
    <t>Downtrend</t>
  </si>
  <si>
    <t xml:space="preserve"> KODK</t>
  </si>
  <si>
    <t>KODK</t>
  </si>
  <si>
    <t>MARA</t>
  </si>
  <si>
    <t>MCRB</t>
  </si>
  <si>
    <t>MESO</t>
  </si>
  <si>
    <t>GEVO</t>
  </si>
  <si>
    <t xml:space="preserve">BRQS </t>
  </si>
  <si>
    <t>LUB</t>
  </si>
  <si>
    <t>MRNS</t>
  </si>
  <si>
    <t>SPI</t>
  </si>
  <si>
    <t>SLDB</t>
  </si>
  <si>
    <t>Grindy all PM, level held and short squeeze to b.h area</t>
  </si>
  <si>
    <t>Range</t>
  </si>
  <si>
    <t>PPSI</t>
  </si>
  <si>
    <t>Opened up high and only retraceed a little</t>
  </si>
  <si>
    <t>AREC</t>
  </si>
  <si>
    <t>Weird premarket, very choppy, gained volume into open</t>
  </si>
  <si>
    <t>PECK</t>
  </si>
  <si>
    <t>Lowish volume</t>
  </si>
  <si>
    <t>AGE</t>
  </si>
  <si>
    <t>Once again opened high and only retraced 10%</t>
  </si>
  <si>
    <t>VVPR</t>
  </si>
  <si>
    <t>Multiple runners this day, expensive</t>
  </si>
  <si>
    <t>LIZI</t>
  </si>
  <si>
    <t>Stopped at PM hi then died</t>
  </si>
  <si>
    <t>Had overhead resistance and got stopped there</t>
  </si>
  <si>
    <t>IDXG</t>
  </si>
  <si>
    <t>Opened up RIGHT BELOW HS, other hot chicks this day as well</t>
  </si>
  <si>
    <t>Downtrend Range</t>
  </si>
  <si>
    <t>KXIN</t>
  </si>
  <si>
    <t>BIMI was hothick and after bimi died this stock ran</t>
  </si>
  <si>
    <t>CBLI</t>
  </si>
  <si>
    <t>Really high opening spike, after squeeze, dumped immidiately</t>
  </si>
  <si>
    <t>TGC</t>
  </si>
  <si>
    <t>2, 1 minute bars squeezed up then dropped back down</t>
  </si>
  <si>
    <t>Uptrend Range</t>
  </si>
  <si>
    <t>UUU</t>
  </si>
  <si>
    <t>EXTREMELY CHOPPY, getting stuffed in morning spike</t>
  </si>
  <si>
    <t>BLRX</t>
  </si>
  <si>
    <t>Held half spike really well</t>
  </si>
  <si>
    <t xml:space="preserve">Range </t>
  </si>
  <si>
    <t>WISA</t>
  </si>
  <si>
    <t>There was GTEC, another runner this day</t>
  </si>
  <si>
    <t xml:space="preserve">GTEC </t>
  </si>
  <si>
    <t>CBAT</t>
  </si>
  <si>
    <t>Spiked and held on open then dropped to entry</t>
  </si>
  <si>
    <t>DNK</t>
  </si>
  <si>
    <t>Dropped for two minutes then FLEW</t>
  </si>
  <si>
    <t>Day 2 Runner</t>
  </si>
  <si>
    <t xml:space="preserve">100m baggy and squeezed past it </t>
  </si>
  <si>
    <t>LXRX</t>
  </si>
  <si>
    <t>XBIO</t>
  </si>
  <si>
    <t>ACY</t>
  </si>
  <si>
    <t>IPDN</t>
  </si>
  <si>
    <t>ANTE</t>
  </si>
  <si>
    <t>CYTH</t>
  </si>
  <si>
    <t>AIKI</t>
  </si>
  <si>
    <t>W/L</t>
  </si>
  <si>
    <t>L</t>
  </si>
  <si>
    <t>GRNQ</t>
  </si>
  <si>
    <t>HAPP</t>
  </si>
  <si>
    <t>Dropped to half spike before squeezing</t>
  </si>
  <si>
    <t>Had massive overhead supply (300m)</t>
  </si>
  <si>
    <t>Dipped below range line then squeezed</t>
  </si>
  <si>
    <t>Extremely tight uptrend range</t>
  </si>
  <si>
    <t>ACOR</t>
  </si>
  <si>
    <t>The range was downtrending but still above HS</t>
  </si>
  <si>
    <t>Dowtrend Range</t>
  </si>
  <si>
    <t>Didn’t offer an ideal entry</t>
  </si>
  <si>
    <t>Uptrend range</t>
  </si>
  <si>
    <t xml:space="preserve">WENT PARABOLICCCC --- premarket was rather slow </t>
  </si>
  <si>
    <t>AVGR</t>
  </si>
  <si>
    <t>OBSv</t>
  </si>
  <si>
    <t>Perfect uptrending range</t>
  </si>
  <si>
    <t>Yes</t>
  </si>
  <si>
    <t>Range was not completely clear</t>
  </si>
  <si>
    <t>Volume was a little lower than I liked but setup was def good</t>
  </si>
  <si>
    <t>Wide range, more of W, but still above the range supp</t>
  </si>
  <si>
    <t>Perfect right trending range, bounced perfectly on sup line</t>
  </si>
  <si>
    <t>Downtrending range, perfectly range bound</t>
  </si>
  <si>
    <t>Opening Price % Retracement of Prior Move</t>
  </si>
  <si>
    <t>Opening Price % Retracement of Prior Move (relative to day)</t>
  </si>
  <si>
    <t xml:space="preserve">Pullback % from open (relative to day) </t>
  </si>
  <si>
    <t>CLBS</t>
  </si>
  <si>
    <t>APM</t>
  </si>
  <si>
    <t>ADMP</t>
  </si>
  <si>
    <t>OBLN</t>
  </si>
  <si>
    <t>ADXS</t>
  </si>
  <si>
    <t>IMBI</t>
  </si>
  <si>
    <t>NVAX</t>
  </si>
  <si>
    <t>CODX</t>
  </si>
  <si>
    <t>LLIT</t>
  </si>
  <si>
    <t>TNXP</t>
  </si>
  <si>
    <t>APT</t>
  </si>
  <si>
    <t>UVXY</t>
  </si>
  <si>
    <t>AHPI</t>
  </si>
  <si>
    <t>KPTI</t>
  </si>
  <si>
    <t>CANF</t>
  </si>
  <si>
    <t>AIM</t>
  </si>
  <si>
    <t>INO</t>
  </si>
  <si>
    <t>BLPH</t>
  </si>
  <si>
    <t>MEIP</t>
  </si>
  <si>
    <t>APDN</t>
  </si>
  <si>
    <t>ATOS</t>
  </si>
  <si>
    <t>THMO</t>
  </si>
  <si>
    <t>WATT</t>
  </si>
  <si>
    <t>VXRT</t>
  </si>
  <si>
    <t>CPAH</t>
  </si>
  <si>
    <t>SNGX</t>
  </si>
  <si>
    <t>GSUM</t>
  </si>
  <si>
    <t>GNPX</t>
  </si>
  <si>
    <t>APOP</t>
  </si>
  <si>
    <t>MARK</t>
  </si>
  <si>
    <t>NNVC</t>
  </si>
  <si>
    <t>DVAX</t>
  </si>
  <si>
    <t>PHUN</t>
  </si>
  <si>
    <t>CETX</t>
  </si>
  <si>
    <t>SECO</t>
  </si>
  <si>
    <t>TMDI</t>
  </si>
  <si>
    <t>IZEA</t>
  </si>
  <si>
    <t>TEUM</t>
  </si>
  <si>
    <t>ROSEU</t>
  </si>
  <si>
    <t>OPHC</t>
  </si>
  <si>
    <t>NTN</t>
  </si>
  <si>
    <t>CARV</t>
  </si>
  <si>
    <t>UONEK</t>
  </si>
  <si>
    <t>EVOk</t>
  </si>
  <si>
    <t>IBIO</t>
  </si>
  <si>
    <t>JOB</t>
  </si>
  <si>
    <t>RETO</t>
  </si>
  <si>
    <t>IFRX</t>
  </si>
  <si>
    <t>MBRX</t>
  </si>
  <si>
    <t>SCKT</t>
  </si>
  <si>
    <t>HTBX</t>
  </si>
  <si>
    <t>A++++ play but a loser</t>
  </si>
  <si>
    <t>KNDI</t>
  </si>
  <si>
    <t>SSNT</t>
  </si>
  <si>
    <t>AVCT</t>
  </si>
  <si>
    <t>CNDT</t>
  </si>
  <si>
    <t>BOXL</t>
  </si>
  <si>
    <t>MBOT</t>
  </si>
  <si>
    <t>BDR</t>
  </si>
  <si>
    <t>AESE</t>
  </si>
  <si>
    <t>TYME</t>
  </si>
  <si>
    <t>MOXC</t>
  </si>
  <si>
    <t>not hot chick on open</t>
  </si>
  <si>
    <t>NSYS</t>
  </si>
  <si>
    <t>EARS</t>
  </si>
  <si>
    <t>BFRA</t>
  </si>
  <si>
    <t>WPRT</t>
  </si>
  <si>
    <t>NAOV</t>
  </si>
  <si>
    <t>PLL</t>
  </si>
  <si>
    <t>HUSA</t>
  </si>
  <si>
    <t>ITRM</t>
  </si>
  <si>
    <t>ENLV</t>
  </si>
  <si>
    <t>CRVS</t>
  </si>
  <si>
    <t>WWR</t>
  </si>
  <si>
    <t>SNMP</t>
  </si>
  <si>
    <t>OCX</t>
  </si>
  <si>
    <t>HUSN</t>
  </si>
  <si>
    <t>AIHS</t>
  </si>
  <si>
    <t>CBLI was hot chick</t>
  </si>
  <si>
    <t>BGI</t>
  </si>
  <si>
    <t>Bag holders</t>
  </si>
  <si>
    <t>YVR</t>
  </si>
  <si>
    <t>Baggies</t>
  </si>
  <si>
    <t>AMC</t>
  </si>
  <si>
    <t>CCL</t>
  </si>
  <si>
    <t>FRSX</t>
  </si>
  <si>
    <t>Premarket was terrible</t>
  </si>
  <si>
    <t>PSHG</t>
  </si>
  <si>
    <t>ZCMD</t>
  </si>
  <si>
    <t>2 0ther major runners</t>
  </si>
  <si>
    <t xml:space="preserve">A+++ but had bag holders so loss </t>
  </si>
  <si>
    <t>BAG HOLDERS</t>
  </si>
  <si>
    <t>EVK</t>
  </si>
  <si>
    <t>range was high, ended up dipping to hs then squeezing</t>
  </si>
  <si>
    <t>Squeeze was small</t>
  </si>
  <si>
    <t>ABOVE LARGE BAGGY AREA</t>
  </si>
  <si>
    <t xml:space="preserve">Baggies </t>
  </si>
  <si>
    <t>Moved really far below range level then squeezed + HAD HUGE SUPPLY</t>
  </si>
  <si>
    <t>NURO</t>
  </si>
  <si>
    <t>other hotchicks plus bh level</t>
  </si>
  <si>
    <t>Only squeezed 14%</t>
  </si>
  <si>
    <t>ZKIN</t>
  </si>
  <si>
    <t>Bag holders (30m)</t>
  </si>
  <si>
    <t xml:space="preserve"> May have been other hotchick , ANCN squeezed</t>
  </si>
  <si>
    <t>AEMD</t>
  </si>
  <si>
    <t>Scalp (small squeeze)</t>
  </si>
  <si>
    <t>XSPA</t>
  </si>
  <si>
    <t>Bag holders big time</t>
  </si>
  <si>
    <t>AMTX</t>
  </si>
  <si>
    <t>INDO</t>
  </si>
  <si>
    <t>lower volume, super extended</t>
  </si>
  <si>
    <t>NETE</t>
  </si>
  <si>
    <t>LARGE SUPPLY</t>
  </si>
  <si>
    <t>was trading in a range BUT WAS WAYYY TO HIGH, baggies too</t>
  </si>
  <si>
    <t>NCTY</t>
  </si>
  <si>
    <t>MULTI day runner</t>
  </si>
  <si>
    <t>FTFT</t>
  </si>
  <si>
    <t>PARABOLIC</t>
  </si>
  <si>
    <t>BNGO</t>
  </si>
  <si>
    <t>2nd day (ah to pm) moved above lots of BH</t>
  </si>
  <si>
    <t>EXPR</t>
  </si>
  <si>
    <t>downtrending range</t>
  </si>
  <si>
    <t>CHRA</t>
  </si>
  <si>
    <t>odd range</t>
  </si>
  <si>
    <t>NERV</t>
  </si>
  <si>
    <t>Lowvol other hot chicks and baggies</t>
  </si>
  <si>
    <t>BAGGIES (200m)</t>
  </si>
  <si>
    <t>AUPH</t>
  </si>
  <si>
    <t>Untradeable, plummeted on open</t>
  </si>
  <si>
    <t>100m baggies</t>
  </si>
  <si>
    <t>KOSS</t>
  </si>
  <si>
    <t>The squeeze happened premarket but range was perfect</t>
  </si>
  <si>
    <t>OXBR</t>
  </si>
  <si>
    <t>choppy + had magnet supply</t>
  </si>
  <si>
    <t>HUGE RESISTANCE</t>
  </si>
  <si>
    <t>CATB</t>
  </si>
  <si>
    <t>A++++ PERFECT TRADE</t>
  </si>
  <si>
    <t>huge baggy res</t>
  </si>
  <si>
    <t>day 2 play (spike happened ah prior day)</t>
  </si>
  <si>
    <t>Dumped on open</t>
  </si>
  <si>
    <t>large res from prior day</t>
  </si>
  <si>
    <t>took too long to reach supp level</t>
  </si>
  <si>
    <t>200m resistance and day 2 gap down</t>
  </si>
  <si>
    <t>wacky price action</t>
  </si>
  <si>
    <t>Range was created after premarket on top of pm range</t>
  </si>
  <si>
    <t>moved below pm range</t>
  </si>
  <si>
    <t>very low volume</t>
  </si>
  <si>
    <t>ah to pm continuation (day 2 essentially)</t>
  </si>
  <si>
    <t xml:space="preserve">did not go down to bottom of range for entry </t>
  </si>
  <si>
    <t xml:space="preserve">dipped super low below range then squeezed </t>
  </si>
  <si>
    <t>small range was created before open, range cracked then squeezed off of prior niche level</t>
  </si>
  <si>
    <t>not a real range</t>
  </si>
  <si>
    <t>not real range…</t>
  </si>
  <si>
    <t>terrible price action</t>
  </si>
  <si>
    <t>no real entry</t>
  </si>
  <si>
    <t>really large psych resistance</t>
  </si>
  <si>
    <t>bounced off of support then DIED</t>
  </si>
  <si>
    <t>day 2 (ah to pm contunation)</t>
  </si>
  <si>
    <t>no real spike in morning</t>
  </si>
  <si>
    <t>awful price action…</t>
  </si>
  <si>
    <t>ideal setup but no entry</t>
  </si>
  <si>
    <t>UT</t>
  </si>
  <si>
    <t>Wins</t>
  </si>
  <si>
    <t>Losses</t>
  </si>
  <si>
    <t/>
  </si>
  <si>
    <t>MEAN</t>
  </si>
  <si>
    <t>MAX</t>
  </si>
  <si>
    <t xml:space="preserve">MIN </t>
  </si>
  <si>
    <t>STD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</si>
</sst>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F400]h:mm:ss\ AM/PM"/>
    <numFmt numFmtId="165" formatCode="_(* #,##0.000_);_(* \(#,##0.000\);_(* &quot;-&quot;??_);_(@_)"/>
  </numFmts>
  <fonts count="10" x14ac:knownFonts="1">
    <font>
      <sz val="11"/>
      <color theme="1"/>
      <name val="Calibri"/>
      <family val="2"/>
      <scheme val="minor"/>
    </font>
    <font>
      <sz val="11"/>
      <color theme="1"/>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u/>
      <sz val="11"/>
      <color theme="10"/>
      <name val="Calibri"/>
      <family val="2"/>
      <scheme val="minor"/>
    </font>
    <font>
      <b/>
      <sz val="9"/>
      <color indexed="81"/>
      <name val="Tahoma"/>
      <family val="2"/>
    </font>
    <font>
      <sz val="9"/>
      <color indexed="81"/>
      <name val="Tahoma"/>
      <family val="2"/>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theme="1" tint="0.34998626667073579"/>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3" tint="0.39997558519241921"/>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cellStyleXfs>
  <cellXfs count="66">
    <xf numFmtId="0" fontId="0" fillId="0" borderId="0" xfId="0"/>
    <xf numFmtId="0" fontId="4" fillId="0" borderId="0" xfId="0" applyFont="1" applyAlignment="1">
      <alignment wrapText="1"/>
    </xf>
    <xf numFmtId="14" fontId="6" fillId="0" borderId="0" xfId="0" applyNumberFormat="1" applyFont="1" applyAlignment="1">
      <alignment wrapText="1"/>
    </xf>
    <xf numFmtId="0" fontId="0" fillId="0" borderId="0" xfId="0" applyAlignment="1">
      <alignment wrapText="1"/>
    </xf>
    <xf numFmtId="9" fontId="0" fillId="0" borderId="0" xfId="3" applyFont="1" applyAlignment="1">
      <alignment wrapText="1"/>
    </xf>
    <xf numFmtId="43" fontId="0" fillId="0" borderId="0" xfId="1" applyFont="1" applyAlignment="1">
      <alignment wrapText="1"/>
    </xf>
    <xf numFmtId="44" fontId="0" fillId="0" borderId="0" xfId="2" applyFont="1" applyAlignment="1">
      <alignment wrapText="1"/>
    </xf>
    <xf numFmtId="164" fontId="6" fillId="0" borderId="0" xfId="0" applyNumberFormat="1" applyFont="1" applyAlignment="1">
      <alignment wrapText="1"/>
    </xf>
    <xf numFmtId="0" fontId="0" fillId="0" borderId="0" xfId="3" applyNumberFormat="1" applyFont="1" applyAlignment="1">
      <alignment wrapText="1"/>
    </xf>
    <xf numFmtId="165" fontId="0" fillId="0" borderId="0" xfId="1" applyNumberFormat="1" applyFont="1" applyAlignment="1">
      <alignment wrapText="1"/>
    </xf>
    <xf numFmtId="0" fontId="4" fillId="0" borderId="0" xfId="0" applyFont="1"/>
    <xf numFmtId="14" fontId="6" fillId="0" borderId="0" xfId="0" applyNumberFormat="1" applyFont="1"/>
    <xf numFmtId="44" fontId="0" fillId="0" borderId="0" xfId="2" applyFont="1"/>
    <xf numFmtId="43" fontId="0" fillId="0" borderId="0" xfId="1" applyFont="1"/>
    <xf numFmtId="43" fontId="0" fillId="0" borderId="0" xfId="0" applyNumberFormat="1"/>
    <xf numFmtId="46" fontId="6" fillId="0" borderId="0" xfId="0" applyNumberFormat="1" applyFont="1"/>
    <xf numFmtId="9" fontId="0" fillId="0" borderId="0" xfId="3" applyFont="1" applyFill="1"/>
    <xf numFmtId="0" fontId="0" fillId="0" borderId="0" xfId="3" applyNumberFormat="1" applyFont="1"/>
    <xf numFmtId="9" fontId="0" fillId="0" borderId="0" xfId="3" applyFont="1"/>
    <xf numFmtId="2" fontId="0" fillId="0" borderId="0" xfId="3" applyNumberFormat="1" applyFont="1"/>
    <xf numFmtId="165" fontId="0" fillId="0" borderId="0" xfId="1" applyNumberFormat="1" applyFont="1"/>
    <xf numFmtId="2" fontId="0" fillId="0" borderId="0" xfId="0" applyNumberFormat="1"/>
    <xf numFmtId="20" fontId="0" fillId="0" borderId="0" xfId="3" applyNumberFormat="1" applyFont="1"/>
    <xf numFmtId="2" fontId="0" fillId="0" borderId="0" xfId="1" applyNumberFormat="1" applyFont="1"/>
    <xf numFmtId="0" fontId="5" fillId="0" borderId="0" xfId="6" applyFill="1"/>
    <xf numFmtId="0" fontId="5" fillId="0" borderId="0" xfId="6"/>
    <xf numFmtId="0" fontId="3" fillId="3" borderId="0" xfId="5"/>
    <xf numFmtId="14" fontId="3" fillId="3" borderId="0" xfId="5" applyNumberFormat="1"/>
    <xf numFmtId="44" fontId="3" fillId="3" borderId="0" xfId="5" applyNumberFormat="1"/>
    <xf numFmtId="43" fontId="3" fillId="3" borderId="0" xfId="5" applyNumberFormat="1"/>
    <xf numFmtId="46" fontId="3" fillId="3" borderId="0" xfId="5" applyNumberFormat="1"/>
    <xf numFmtId="9" fontId="3" fillId="3" borderId="0" xfId="5" applyNumberFormat="1"/>
    <xf numFmtId="0" fontId="3" fillId="3" borderId="0" xfId="5" applyNumberFormat="1"/>
    <xf numFmtId="9" fontId="3" fillId="3" borderId="0" xfId="3" applyFont="1" applyFill="1"/>
    <xf numFmtId="2" fontId="3" fillId="3" borderId="0" xfId="5" applyNumberFormat="1"/>
    <xf numFmtId="165" fontId="3" fillId="3" borderId="0" xfId="5" applyNumberFormat="1"/>
    <xf numFmtId="0" fontId="2" fillId="2" borderId="0" xfId="4"/>
    <xf numFmtId="43" fontId="0" fillId="0" borderId="0" xfId="1" applyFont="1" applyFill="1"/>
    <xf numFmtId="0" fontId="0" fillId="0" borderId="0" xfId="3" applyNumberFormat="1" applyFont="1" applyFill="1"/>
    <xf numFmtId="44" fontId="0" fillId="0" borderId="0" xfId="2" applyFont="1" applyFill="1"/>
    <xf numFmtId="46" fontId="6" fillId="0" borderId="0" xfId="1" applyNumberFormat="1" applyFont="1"/>
    <xf numFmtId="46" fontId="6" fillId="0" borderId="0" xfId="3" applyNumberFormat="1" applyFont="1"/>
    <xf numFmtId="9" fontId="0" fillId="0" borderId="0" xfId="2" applyNumberFormat="1" applyFont="1"/>
    <xf numFmtId="0" fontId="7" fillId="0" borderId="0" xfId="6" applyFont="1" applyFill="1"/>
    <xf numFmtId="14" fontId="5" fillId="0" borderId="0" xfId="6" applyNumberFormat="1"/>
    <xf numFmtId="14" fontId="5" fillId="0" borderId="0" xfId="6" applyNumberFormat="1" applyFill="1"/>
    <xf numFmtId="0" fontId="0" fillId="0" borderId="0" xfId="0" applyFill="1"/>
    <xf numFmtId="14" fontId="6" fillId="0" borderId="0" xfId="0" applyNumberFormat="1" applyFont="1" applyFill="1"/>
    <xf numFmtId="9" fontId="0" fillId="0" borderId="0" xfId="3" applyNumberFormat="1" applyFont="1"/>
    <xf numFmtId="0" fontId="4" fillId="0" borderId="0" xfId="0" applyFont="1" applyFill="1"/>
    <xf numFmtId="2" fontId="0" fillId="0" borderId="0" xfId="2" applyNumberFormat="1" applyFont="1"/>
    <xf numFmtId="164" fontId="0" fillId="0" borderId="0" xfId="3"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4" borderId="0" xfId="0" applyFill="1" applyAlignment="1">
      <alignment horizontal="center"/>
    </xf>
    <xf numFmtId="0" fontId="0" fillId="0" borderId="0" xfId="0" applyFont="1" applyAlignment="1"/>
    <xf numFmtId="0" fontId="0" fillId="5" borderId="0" xfId="0" applyFill="1"/>
    <xf numFmtId="0" fontId="0" fillId="6" borderId="0" xfId="0" applyFill="1" applyAlignment="1">
      <alignment horizontal="center"/>
    </xf>
    <xf numFmtId="0" fontId="0" fillId="0" borderId="0" xfId="0" applyAlignment="1"/>
    <xf numFmtId="0" fontId="0" fillId="7" borderId="0" xfId="0" applyFill="1" applyAlignment="1">
      <alignment horizontal="center"/>
    </xf>
    <xf numFmtId="0" fontId="0" fillId="0" borderId="0" xfId="0" quotePrefix="1"/>
    <xf numFmtId="9" fontId="0" fillId="0" borderId="4" xfId="0" applyNumberFormat="1" applyBorder="1"/>
  </cellXfs>
  <cellStyles count="7">
    <cellStyle name="Bad" xfId="4" builtinId="27"/>
    <cellStyle name="Comma" xfId="1" builtinId="3"/>
    <cellStyle name="Currency" xfId="2" builtinId="4"/>
    <cellStyle name="Hyperlink" xfId="6" builtinId="8"/>
    <cellStyle name="Neutral" xfId="5" builtinId="28"/>
    <cellStyle name="Normal" xfId="0" builtinId="0"/>
    <cellStyle name="Percent" xfId="3" builtinId="5"/>
  </cellStyles>
  <dxfs count="183">
    <dxf>
      <font>
        <color theme="0"/>
      </font>
      <fill>
        <patternFill>
          <bgColor rgb="FF695DFF"/>
        </patternFill>
      </fill>
    </dxf>
    <dxf>
      <font>
        <color rgb="FF9C0006"/>
      </font>
      <fill>
        <patternFill>
          <bgColor rgb="FFD2C7FF"/>
        </patternFill>
      </fill>
    </dxf>
    <dxf>
      <font>
        <color rgb="FF9C0006"/>
      </font>
      <fill>
        <patternFill>
          <bgColor rgb="FF9981FF"/>
        </patternFill>
      </fill>
    </dxf>
    <dxf>
      <font>
        <color rgb="FF006100"/>
      </font>
      <fill>
        <patternFill>
          <bgColor rgb="FFC6EFCE"/>
        </patternFill>
      </fill>
    </dxf>
    <dxf>
      <font>
        <color theme="0"/>
      </font>
      <fill>
        <patternFill>
          <bgColor rgb="FFA50021"/>
        </patternFill>
      </fill>
    </dxf>
    <dxf>
      <font>
        <color theme="0"/>
      </font>
      <fill>
        <patternFill>
          <bgColor rgb="FFA50021"/>
        </patternFill>
      </fill>
    </dxf>
    <dxf>
      <font>
        <color theme="0"/>
      </font>
      <fill>
        <patternFill>
          <bgColor rgb="FFA50021"/>
        </patternFill>
      </fill>
    </dxf>
    <dxf>
      <font>
        <color theme="0"/>
      </font>
      <fill>
        <patternFill>
          <bgColor theme="9" tint="-0.24994659260841701"/>
        </patternFill>
      </fill>
    </dxf>
    <dxf>
      <font>
        <color theme="0"/>
      </font>
      <fill>
        <patternFill>
          <bgColor rgb="FF695DFF"/>
        </patternFill>
      </fill>
    </dxf>
    <dxf>
      <font>
        <color rgb="FF9C0006"/>
      </font>
      <fill>
        <patternFill>
          <bgColor rgb="FFD2C7FF"/>
        </patternFill>
      </fill>
    </dxf>
    <dxf>
      <font>
        <color rgb="FF9C0006"/>
      </font>
      <fill>
        <patternFill>
          <bgColor rgb="FF9981FF"/>
        </patternFill>
      </fill>
    </dxf>
    <dxf>
      <font>
        <color theme="0"/>
      </font>
      <fill>
        <patternFill>
          <bgColor rgb="FFA50021"/>
        </patternFill>
      </fill>
    </dxf>
    <dxf>
      <fill>
        <patternFill>
          <bgColor rgb="FFFF33CC"/>
        </patternFill>
      </fill>
      <border>
        <vertical/>
        <horizontal/>
      </border>
    </dxf>
    <dxf>
      <fill>
        <gradientFill degree="90">
          <stop position="0">
            <color theme="9" tint="0.40000610370189521"/>
          </stop>
          <stop position="1">
            <color rgb="FFFF66FF"/>
          </stop>
        </gradientFill>
      </fill>
    </dxf>
    <dxf>
      <font>
        <color rgb="FF006100"/>
      </font>
      <fill>
        <patternFill>
          <bgColor rgb="FFC6EFCE"/>
        </patternFill>
      </fill>
    </dxf>
    <dxf>
      <font>
        <color theme="0"/>
      </font>
      <fill>
        <patternFill>
          <bgColor rgb="FFA50021"/>
        </patternFill>
      </fill>
    </dxf>
    <dxf>
      <font>
        <color theme="0"/>
      </font>
      <fill>
        <patternFill>
          <bgColor rgb="FFA50021"/>
        </patternFill>
      </fill>
    </dxf>
    <dxf>
      <font>
        <color theme="0"/>
      </font>
      <fill>
        <patternFill>
          <bgColor rgb="FFA50021"/>
        </patternFill>
      </fill>
    </dxf>
    <dxf>
      <font>
        <color theme="0"/>
      </font>
      <fill>
        <patternFill>
          <bgColor rgb="FFA50021"/>
        </patternFill>
      </fill>
    </dxf>
    <dxf>
      <font>
        <color theme="0"/>
      </font>
      <fill>
        <patternFill>
          <bgColor theme="9" tint="-0.24994659260841701"/>
        </patternFill>
      </fill>
    </dxf>
    <dxf>
      <font>
        <color theme="0"/>
      </font>
      <fill>
        <patternFill>
          <bgColor rgb="FF695DFF"/>
        </patternFill>
      </fill>
    </dxf>
    <dxf>
      <font>
        <color rgb="FF9C0006"/>
      </font>
      <fill>
        <patternFill>
          <bgColor rgb="FFD2C7FF"/>
        </patternFill>
      </fill>
    </dxf>
    <dxf>
      <font>
        <color rgb="FF9C0006"/>
      </font>
      <fill>
        <patternFill>
          <bgColor rgb="FF9981FF"/>
        </patternFill>
      </fill>
    </dxf>
    <dxf>
      <font>
        <color theme="0"/>
      </font>
      <fill>
        <patternFill>
          <bgColor rgb="FFA50021"/>
        </patternFill>
      </fill>
    </dxf>
    <dxf>
      <fill>
        <patternFill>
          <bgColor rgb="FFFF33CC"/>
        </patternFill>
      </fill>
      <border>
        <vertical/>
        <horizontal/>
      </border>
    </dxf>
    <dxf>
      <fill>
        <gradientFill degree="90">
          <stop position="0">
            <color theme="9" tint="0.40000610370189521"/>
          </stop>
          <stop position="1">
            <color rgb="FFFF66FF"/>
          </stop>
        </gradientFill>
      </fil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numFmt numFmtId="2" formatCode="0.00"/>
    </dxf>
    <dxf>
      <numFmt numFmtId="35" formatCode="_(* #,##0.00_);_(* \(#,##0.00\);_(* &quot;-&quot;??_);_(@_)"/>
    </dxf>
    <dxf>
      <font>
        <b val="0"/>
        <i val="0"/>
        <strike val="0"/>
        <condense val="0"/>
        <extend val="0"/>
        <outline val="0"/>
        <shadow val="0"/>
        <u val="none"/>
        <vertAlign val="baseline"/>
        <sz val="11"/>
        <color theme="1"/>
        <name val="Calibri"/>
        <family val="2"/>
        <scheme val="minor"/>
      </font>
      <numFmt numFmtId="165" formatCode="_(* #,##0.000_);_(* \(#,##0.000\);_(* &quot;-&quot;??_);_(@_)"/>
    </dxf>
    <dxf>
      <numFmt numFmtId="165" formatCode="_(* #,##0.000_);_(* \(#,##0.000\);_(* &quot;-&quot;??_);_(@_)"/>
    </dxf>
    <dxf>
      <numFmt numFmtId="13" formatCode="0%"/>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3" formatCode="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numFmt numFmtId="13" formatCode="0%"/>
    </dxf>
    <dxf>
      <font>
        <b val="0"/>
        <i/>
        <strike val="0"/>
        <condense val="0"/>
        <extend val="0"/>
        <outline val="0"/>
        <shadow val="0"/>
        <u val="none"/>
        <vertAlign val="baseline"/>
        <sz val="11"/>
        <color theme="1"/>
        <name val="Calibri"/>
        <family val="2"/>
        <scheme val="minor"/>
      </font>
      <numFmt numFmtId="31" formatCode="[h]:mm:ss"/>
    </dxf>
    <dxf>
      <font>
        <b val="0"/>
        <i/>
        <strike val="0"/>
        <condense val="0"/>
        <extend val="0"/>
        <outline val="0"/>
        <shadow val="0"/>
        <u val="none"/>
        <vertAlign val="baseline"/>
        <sz val="11"/>
        <color theme="1"/>
        <name val="Calibri"/>
        <family val="2"/>
        <scheme val="minor"/>
      </font>
      <numFmt numFmtId="164" formatCode="[$-F400]h:mm:ss\ AM/PM"/>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13" formatCode="0%"/>
    </dxf>
    <dxf>
      <font>
        <b val="0"/>
        <i/>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dxf>
    <dxf>
      <font>
        <b val="0"/>
        <i/>
        <strike val="0"/>
        <condense val="0"/>
        <extend val="0"/>
        <outline val="0"/>
        <shadow val="0"/>
        <u val="none"/>
        <vertAlign val="baseline"/>
        <sz val="11"/>
        <color theme="1"/>
        <name val="Calibri"/>
        <family val="2"/>
        <scheme val="minor"/>
      </font>
      <numFmt numFmtId="19" formatCode="m/d/yyyy"/>
    </dxf>
    <dxf>
      <font>
        <i/>
      </font>
      <numFmt numFmtId="19" formatCode="m/d/yyyy"/>
    </dxf>
    <dxf>
      <font>
        <b val="0"/>
        <i/>
        <strike val="0"/>
        <condense val="0"/>
        <extend val="0"/>
        <outline val="0"/>
        <shadow val="0"/>
        <u val="none"/>
        <vertAlign val="baseline"/>
        <sz val="11"/>
        <color theme="1"/>
        <name val="Calibri"/>
        <family val="2"/>
        <scheme val="minor"/>
      </font>
      <numFmt numFmtId="19" formatCode="m/d/yyyy"/>
    </dxf>
    <dxf>
      <font>
        <b/>
      </font>
    </dxf>
    <dxf>
      <font>
        <b/>
        <i val="0"/>
        <strike val="0"/>
        <condense val="0"/>
        <extend val="0"/>
        <outline val="0"/>
        <shadow val="0"/>
        <u val="none"/>
        <vertAlign val="baseline"/>
        <sz val="11"/>
        <color theme="1"/>
        <name val="Calibri"/>
        <family val="2"/>
        <scheme val="minor"/>
      </font>
    </dxf>
    <dxf>
      <border outline="0">
        <bottom style="double">
          <color rgb="FF3F3F3F"/>
        </bottom>
      </border>
    </dxf>
    <dxf>
      <border outline="0">
        <top style="double">
          <color rgb="FF3F3F3F"/>
        </top>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numFmt numFmtId="2" formatCode="0.00"/>
    </dxf>
    <dxf>
      <numFmt numFmtId="165" formatCode="_(* #,##0.000_);_(* \(#,##0.000\);_(* &quot;-&quot;??_);_(@_)"/>
    </dxf>
    <dxf>
      <font>
        <b val="0"/>
        <i val="0"/>
        <strike val="0"/>
        <condense val="0"/>
        <extend val="0"/>
        <outline val="0"/>
        <shadow val="0"/>
        <u val="none"/>
        <vertAlign val="baseline"/>
        <sz val="11"/>
        <color theme="1"/>
        <name val="Calibri"/>
        <family val="2"/>
        <scheme val="minor"/>
      </font>
      <numFmt numFmtId="165" formatCode="_(* #,##0.000_);_(* \(#,##0.000\);_(* &quot;-&quot;??_);_(@_)"/>
    </dxf>
    <dxf>
      <numFmt numFmtId="13" formatCode="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numFmt numFmtId="164" formatCode="[$-F400]h:mm:ss\ AM/PM"/>
    </dxf>
    <dxf>
      <font>
        <b val="0"/>
        <i/>
        <strike val="0"/>
        <condense val="0"/>
        <extend val="0"/>
        <outline val="0"/>
        <shadow val="0"/>
        <u val="none"/>
        <vertAlign val="baseline"/>
        <sz val="11"/>
        <color theme="1"/>
        <name val="Calibri"/>
        <family val="2"/>
        <scheme val="minor"/>
      </font>
      <numFmt numFmtId="31" formatCode="[h]:mm:ss"/>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fill>
        <patternFill patternType="none">
          <fgColor indexed="64"/>
          <bgColor indexed="65"/>
        </patternFill>
      </fill>
    </dxf>
    <dxf>
      <font>
        <b val="0"/>
        <i/>
        <strike val="0"/>
        <condense val="0"/>
        <extend val="0"/>
        <outline val="0"/>
        <shadow val="0"/>
        <u val="none"/>
        <vertAlign val="baseline"/>
        <sz val="11"/>
        <color theme="1"/>
        <name val="Calibri"/>
        <family val="2"/>
        <scheme val="minor"/>
      </font>
      <numFmt numFmtId="19" formatCode="m/d/yyyy"/>
    </dxf>
    <dxf>
      <font>
        <b val="0"/>
        <i/>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dxf>
    <dxf>
      <font>
        <b val="0"/>
        <i/>
        <strike val="0"/>
        <condense val="0"/>
        <extend val="0"/>
        <outline val="0"/>
        <shadow val="0"/>
        <u val="none"/>
        <vertAlign val="baseline"/>
        <sz val="11"/>
        <color theme="1"/>
        <name val="Calibri"/>
        <family val="2"/>
        <scheme val="minor"/>
      </font>
      <numFmt numFmtId="19" formatCode="m/d/yyyy"/>
    </dxf>
    <dxf>
      <font>
        <i/>
      </font>
      <numFmt numFmtId="19" formatCode="m/d/yyyy"/>
    </dxf>
    <dxf>
      <font>
        <b/>
        <i val="0"/>
        <strike val="0"/>
        <condense val="0"/>
        <extend val="0"/>
        <outline val="0"/>
        <shadow val="0"/>
        <u val="none"/>
        <vertAlign val="baseline"/>
        <sz val="11"/>
        <color theme="1"/>
        <name val="Calibri"/>
        <family val="2"/>
        <scheme val="minor"/>
      </font>
    </dxf>
    <dxf>
      <font>
        <b/>
      </font>
    </dxf>
    <dxf>
      <border outline="0">
        <top style="double">
          <color rgb="FF3F3F3F"/>
        </top>
      </border>
    </dxf>
    <dxf>
      <border outline="0">
        <bottom style="double">
          <color rgb="FF3F3F3F"/>
        </bottom>
      </border>
    </dxf>
    <dxf>
      <alignment horizontal="general" vertical="bottom" textRotation="0" wrapText="1" indent="0" justifyLastLine="0" shrinkToFit="0" readingOrder="0"/>
    </dxf>
  </dxfs>
  <tableStyles count="0" defaultTableStyle="TableStyleMedium2" defaultPivotStyle="PivotStyleLight16"/>
  <colors>
    <mruColors>
      <color rgb="FFA36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Win/Losses/Untradeable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C59-4200-A597-7E2593E999B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C59-4200-A597-7E2593E999B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C59-4200-A597-7E2593E999B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'Basic Analysis'!$P$31:$R$31</c:f>
              <c:strCache>
                <c:ptCount val="3"/>
                <c:pt idx="0">
                  <c:v>Wins</c:v>
                </c:pt>
                <c:pt idx="1">
                  <c:v>Losses</c:v>
                </c:pt>
                <c:pt idx="2">
                  <c:v>UT</c:v>
                </c:pt>
              </c:strCache>
            </c:strRef>
          </c:cat>
          <c:val>
            <c:numRef>
              <c:f>'Basic Analysis'!$P$32:$R$32</c:f>
              <c:numCache>
                <c:formatCode>General</c:formatCode>
                <c:ptCount val="3"/>
                <c:pt idx="0">
                  <c:v>100</c:v>
                </c:pt>
                <c:pt idx="1">
                  <c:v>27</c:v>
                </c:pt>
                <c:pt idx="2">
                  <c:v>42</c:v>
                </c:pt>
              </c:numCache>
            </c:numRef>
          </c:val>
          <c:extLst>
            <c:ext xmlns:c16="http://schemas.microsoft.com/office/drawing/2014/chart" uri="{C3380CC4-5D6E-409C-BE32-E72D297353CC}">
              <c16:uniqueId val="{00000006-BC59-4200-A597-7E2593E999B6}"/>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chartData>
  <cx:chart>
    <cx:title pos="t" align="ctr" overlay="0">
      <cx:tx>
        <cx:txData>
          <cx:v>Float</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Float</a:t>
          </a:r>
        </a:p>
      </cx:txPr>
    </cx:title>
    <cx:plotArea>
      <cx:plotAreaRegion>
        <cx:series layoutId="clusteredColumn" uniqueId="{B8EBD176-5E91-4EEC-AAA3-1CF973BE2F8D}">
          <cx:dataLabels>
            <cx:visibility seriesName="0" categoryName="0" value="1"/>
          </cx:dataLabels>
          <cx:dataId val="0"/>
          <cx:layoutPr>
            <cx:binning intervalClosed="r" overflow="50">
              <cx:binSize val="5"/>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_xlchart.v1.54</cx:f>
      </cx:numDim>
    </cx:data>
  </cx:chartData>
  <cx:chart>
    <cx:title pos="t" align="ctr" overlay="0">
      <cx:tx>
        <cx:txData>
          <cx:v>MORNING GAP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MORNING GAP</a:t>
          </a:r>
        </a:p>
      </cx:txPr>
    </cx:title>
    <cx:plotArea>
      <cx:plotAreaRegion>
        <cx:series layoutId="clusteredColumn" uniqueId="{AE7FFC3B-F716-44DC-A745-83A9D0644E48}">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_xlchart.v1.34</cx:f>
      </cx:numDim>
    </cx:data>
  </cx:chartData>
  <cx:chart>
    <cx:title pos="t" align="ctr" overlay="0">
      <cx:tx>
        <cx:txData>
          <cx:v>Pullback Percentage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Pullback Percentage</a:t>
          </a:r>
        </a:p>
      </cx:txPr>
    </cx:title>
    <cx:plotArea>
      <cx:plotAreaRegion>
        <cx:series layoutId="clusteredColumn" uniqueId="{F9E1FED3-55D0-468F-8054-A62ECEEC4BAE}">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414337</xdr:colOff>
      <xdr:row>5</xdr:row>
      <xdr:rowOff>0</xdr:rowOff>
    </xdr:from>
    <xdr:to>
      <xdr:col>8</xdr:col>
      <xdr:colOff>109537</xdr:colOff>
      <xdr:row>19</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6B9E17C-3A9F-4424-8CEA-B01C6509F9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4337" y="1714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185737</xdr:colOff>
      <xdr:row>5</xdr:row>
      <xdr:rowOff>114300</xdr:rowOff>
    </xdr:from>
    <xdr:to>
      <xdr:col>19</xdr:col>
      <xdr:colOff>490537</xdr:colOff>
      <xdr:row>20</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34E31EA-A13F-48CF-8D20-A2F271FF52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00937" y="10668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128587</xdr:colOff>
      <xdr:row>5</xdr:row>
      <xdr:rowOff>57150</xdr:rowOff>
    </xdr:from>
    <xdr:to>
      <xdr:col>31</xdr:col>
      <xdr:colOff>433387</xdr:colOff>
      <xdr:row>19</xdr:row>
      <xdr:rowOff>133350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BA8D8A2-6ED0-4688-884E-0817CE7E89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758987" y="10096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295275</xdr:colOff>
      <xdr:row>34</xdr:row>
      <xdr:rowOff>85725</xdr:rowOff>
    </xdr:from>
    <xdr:to>
      <xdr:col>20</xdr:col>
      <xdr:colOff>180975</xdr:colOff>
      <xdr:row>48</xdr:row>
      <xdr:rowOff>161925</xdr:rowOff>
    </xdr:to>
    <xdr:graphicFrame macro="">
      <xdr:nvGraphicFramePr>
        <xdr:cNvPr id="5" name="Chart 4">
          <a:extLst>
            <a:ext uri="{FF2B5EF4-FFF2-40B4-BE49-F238E27FC236}">
              <a16:creationId xmlns:a16="http://schemas.microsoft.com/office/drawing/2014/main" id="{2729A526-A089-454C-8D04-9FC428A10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rading%20Review\Trading%20Review\Trading%20Study\TNS%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EXECUTION SCORE"/>
      <sheetName val="Actual Trades"/>
      <sheetName val="Morning TNS (W)"/>
      <sheetName val="Uncategorized Setups"/>
      <sheetName val="Morning TNS (L)"/>
      <sheetName val="Morning TNS (Non-Tradeable)"/>
      <sheetName val="Morning TNS PT"/>
      <sheetName val="Histograms (W)"/>
      <sheetName val="Histograms (L)"/>
      <sheetName val="Opening Squeeze"/>
      <sheetName val="Secondary Morning Move"/>
      <sheetName val="Midday TNS"/>
      <sheetName val="Misc. WKTSH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Set>
  </externalBook>
</externalLink>
</file>

<file path=xl/persons/person.xml><?xml version="1.0" encoding="utf-8"?>
<personList xmlns="http://schemas.microsoft.com/office/spreadsheetml/2018/threadedcomments" xmlns:x="http://schemas.openxmlformats.org/spreadsheetml/2006/main">
  <person displayName="Michael G" id="{79675405-5FBD-4F7E-B612-8AF7BC845AAD}" userId="Michael G"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4578D0-15A2-4C91-9A0E-94D68E17AB64}" name="Table13" displayName="Table13" ref="A1:AS262" headerRowDxfId="182" headerRowBorderDxfId="181" tableBorderDxfId="180" headerRowCellStyle="Normal" dataCellStyle="Normal" totalsRowCellStyle="Normal">
  <autoFilter ref="A1:AS262" xr:uid="{E89DD4C8-D0B0-4C5A-BBE7-34541F73D590}">
    <filterColumn colId="39">
      <filters>
        <filter val="1%"/>
        <filter val="10%"/>
        <filter val="11%"/>
        <filter val="12%"/>
        <filter val="13%"/>
        <filter val="14%"/>
        <filter val="15%"/>
        <filter val="16%"/>
        <filter val="17%"/>
        <filter val="18%"/>
        <filter val="2%"/>
        <filter val="20%"/>
        <filter val="23%"/>
        <filter val="27%"/>
        <filter val="3%"/>
        <filter val="32%"/>
        <filter val="4%"/>
        <filter val="5%"/>
        <filter val="6%"/>
        <filter val="7%"/>
        <filter val="8%"/>
        <filter val="9%"/>
      </filters>
    </filterColumn>
  </autoFilter>
  <tableColumns count="45">
    <tableColumn id="1" xr3:uid="{1D30DD57-9637-4AC8-B052-E82F6817D196}" name="Ticker" dataDxfId="179" totalsRowDxfId="178" dataCellStyle="Normal"/>
    <tableColumn id="2" xr3:uid="{D40C7D89-2B15-45DB-A637-705597E130C4}" name="Date" dataDxfId="177" totalsRowDxfId="176" dataCellStyle="Normal"/>
    <tableColumn id="22" xr3:uid="{5B80071C-F266-4E32-ABFB-AE38AAE1CDE8}" name="W/L" dataDxfId="175" totalsRowDxfId="174"/>
    <tableColumn id="30" xr3:uid="{0748E712-41F8-49DC-B119-C65C0843CCB3}" name="Notes" dataDxfId="173"/>
    <tableColumn id="58" xr3:uid="{AFA9B569-41B3-4A93-B14A-CCEDC023E1CF}" name="Prior day close" dataDxfId="172" totalsRowDxfId="171" dataCellStyle="Currency"/>
    <tableColumn id="60" xr3:uid="{445263C7-FF1A-4C8D-AC3C-3E62501C7E08}" name="PM Open Price" dataDxfId="170" totalsRowDxfId="169" dataCellStyle="Comma"/>
    <tableColumn id="51" xr3:uid="{238711FE-8363-4409-8413-D872C7F06D5B}" name="PM Hi" dataDxfId="168" totalsRowDxfId="167" dataCellStyle="Currency"/>
    <tableColumn id="63" xr3:uid="{E328A25A-8C39-4FCB-8B69-AA8F107E2719}" name="PM LO" dataDxfId="166" totalsRowDxfId="165" dataCellStyle="Currency"/>
    <tableColumn id="62" xr3:uid="{2AA597BD-4E0F-46FE-B8C9-C8F788B776F0}" name="PM Lo After PM Hi" dataDxfId="164" totalsRowDxfId="163" dataCellStyle="Currency"/>
    <tableColumn id="43" xr3:uid="{1CEA9C82-A699-422A-843D-B53B66F0C52D}" name="MKT Open Price" dataDxfId="162" totalsRowDxfId="161" dataCellStyle="Currency"/>
    <tableColumn id="61" xr3:uid="{1BCFED48-F6CD-444B-8F89-176E8764230F}" name="Hi of Spike after open before drop" dataDxfId="160" totalsRowDxfId="159" dataCellStyle="Currency"/>
    <tableColumn id="59" xr3:uid="{2A00813F-3B62-4C60-954A-8AFF28A00C2B}" name="Lowest lo from open to squeeze" dataDxfId="158" totalsRowDxfId="157" dataCellStyle="Currency"/>
    <tableColumn id="49" xr3:uid="{46C4E807-5E76-4533-8D91-09D006A2D055}" name="HOD AFTER PM HI" dataDxfId="156" totalsRowDxfId="155" dataCellStyle="Currency"/>
    <tableColumn id="57" xr3:uid="{A3CEE461-4ED7-4681-88AD-193C58487842}" name="Price at hi of squeeze" dataDxfId="154" totalsRowDxfId="153" dataCellStyle="Currency"/>
    <tableColumn id="8" xr3:uid="{2D1C939D-5C38-438F-A1FF-F382DAC1668B}" name="Volume" dataDxfId="152" totalsRowDxfId="151" dataCellStyle="Comma"/>
    <tableColumn id="44" xr3:uid="{5B023AFD-84B2-4B35-9858-71C1EB599319}" name="Volume ($M)" dataDxfId="150" totalsRowDxfId="149" dataCellStyle="Currency"/>
    <tableColumn id="10" xr3:uid="{D3BC6390-CACA-45B1-B75F-C8DD42CFDA2D}" name="MKT CAP(M)" dataDxfId="148" totalsRowDxfId="147" dataCellStyle="Comma"/>
    <tableColumn id="11" xr3:uid="{ABAD4A15-B37D-4FA9-9D93-C3B47A18B8D3}" name="FLOAT(M)" dataDxfId="146" totalsRowDxfId="145" dataCellStyle="Normal"/>
    <tableColumn id="70" xr3:uid="{3ECB61D9-5DBD-44B1-9265-48864472283C}" name="PM Trend" dataDxfId="144" totalsRowDxfId="143" dataCellStyle="Comma"/>
    <tableColumn id="12" xr3:uid="{FA3F3221-A5AE-49BA-BA19-0FAD01E1076C}" name="PM VOL" dataDxfId="142" totalsRowDxfId="141" dataCellStyle="Comma"/>
    <tableColumn id="53" xr3:uid="{DEBABC56-05AB-4FDC-9743-8BFB8491CA48}" name="Overhead supply above 20m (Y/N)" dataDxfId="140" totalsRowDxfId="139" dataCellStyle="Comma"/>
    <tableColumn id="13" xr3:uid="{25ADFB2D-F665-489D-A55A-9898BB251125}" name="Day 1 (Y/N)" dataDxfId="138" dataCellStyle="Comma"/>
    <tableColumn id="14" xr3:uid="{42437748-E7B9-42D1-A49F-3890C49DC019}" name="Time until lowest lo (mins) from open" dataDxfId="137" dataCellStyle="Percent"/>
    <tableColumn id="26" xr3:uid="{6EE59FAA-D6BA-4B25-8475-CA1CE2310778}" name="Time until ideal entry point (mins) from open" dataDxfId="136" dataCellStyle="Normal"/>
    <tableColumn id="56" xr3:uid="{9B658552-5DE4-4A4F-A298-0B91AAD8C0F4}" name="Entry Price" dataDxfId="135"/>
    <tableColumn id="15" xr3:uid="{1843C8C3-3A02-4471-992D-BED8BF1A1EBA}" name="Duration of frontside (mins)" dataDxfId="134" dataCellStyle="Normal"/>
    <tableColumn id="45" xr3:uid="{B7D3D46D-345C-4AB6-B5B7-B0F2AD3FB845}" name="Time of Entry" dataDxfId="133" totalsRowDxfId="132">
      <calculatedColumnFormula>Table13[[#This Row],[Time until ideal entry + 390 (6:30)]]/(1440)</calculatedColumnFormula>
    </tableColumn>
    <tableColumn id="35" xr3:uid="{3DD978FE-846A-4608-98A8-BB63075B90AB}" name="Prior Close to PM Hi %" dataDxfId="131" totalsRowDxfId="130" dataCellStyle="Percent"/>
    <tableColumn id="46" xr3:uid="{66539700-7914-4F64-8633-DF998658F252}" name="Full day % Change" dataDxfId="129" totalsRowDxfId="128" dataCellStyle="Percent">
      <calculatedColumnFormula>IF(Table13[[#This Row],[HOD AFTER PM HI]]&gt;=Table13[[#This Row],[PM Hi]],((Table13[[#This Row],[HOD AFTER PM HI]]-Table13[[#This Row],[Prior day close]])/Table13[[#This Row],[Prior day close]]),Table13[[#This Row],[Prior Close to PM Hi %]])</calculatedColumnFormula>
    </tableColumn>
    <tableColumn id="17" xr3:uid="{5AC57773-6EC5-41F6-BDE4-7D2EC3DEA975}" name="Squeeze % from open" dataDxfId="127" totalsRowDxfId="126" dataCellStyle="Currency">
      <calculatedColumnFormula>(Table13[[#This Row],[Price at hi of squeeze]]-Table13[[#This Row],[MKT Open Price]])/Table13[[#This Row],[MKT Open Price]]</calculatedColumnFormula>
    </tableColumn>
    <tableColumn id="19" xr3:uid="{CE91ECF9-1159-4953-8543-2B59EA273C36}" name="Squeeze % above PM HI" dataDxfId="125" totalsRowDxfId="124" dataCellStyle="Percent">
      <calculatedColumnFormula>(Table13[[#This Row],[Price at hi of squeeze]]-Table13[[#This Row],[PM Hi]])/Table13[[#This Row],[PM Hi]]</calculatedColumnFormula>
    </tableColumn>
    <tableColumn id="7" xr3:uid="{017A684D-B5FD-42E3-AEBF-CCB5DF0F9B27}" name="Squeeze %" totalsRowDxfId="123" dataCellStyle="Percent"/>
    <tableColumn id="40" xr3:uid="{920C3CDB-ACE9-4012-90C1-F6D7065C6FB4}" name="PM Float Rotations" dataDxfId="122" totalsRowDxfId="121" dataCellStyle="Comma">
      <calculatedColumnFormula>Table13[[#This Row],[PM VOL]]/1000000/Table13[[#This Row],[FLOAT(M)]]</calculatedColumnFormula>
    </tableColumn>
    <tableColumn id="32" xr3:uid="{1DE03C2F-DAB1-47E2-8730-5E2BEB0AC307}" name="Float Rotations per day" dataDxfId="120" totalsRowDxfId="119" dataCellStyle="Comma">
      <calculatedColumnFormula>(Table13[[#This Row],[Volume]]/1000000)/Table13[[#This Row],[FLOAT(M)]]</calculatedColumnFormula>
    </tableColumn>
    <tableColumn id="39" xr3:uid="{C28146F0-E277-4AB5-9990-647E265CEA1B}" name="Spike % on open before drop" dataDxfId="118" totalsRowDxfId="117" dataCellStyle="Percent"/>
    <tableColumn id="67" xr3:uid="{1292C69B-C300-4743-87AE-C48C18BE4FE5}" name="Opening Price % Retracement of Prior Move" totalsRowDxfId="116" dataCellStyle="Percent">
      <calculatedColumnFormula>(Table13[[#This Row],[PM Hi]]-Table13[[#This Row],[MKT Open Price]])/(Table13[[#This Row],[PM Hi]])</calculatedColumnFormula>
    </tableColumn>
    <tableColumn id="47" xr3:uid="{285F1A6E-A1D9-460D-BA73-55C2C52B13D5}" name="Opening Price % Retracement of Prior Move (relative to day)" totalsRowDxfId="115" dataCellStyle="Percent">
      <calculatedColumnFormula>IF(Table13[[#This Row],[PM LO]]&gt;Table13[[#This Row],[Prior day close]],(Table13[[#This Row],[PM Hi]]-Table13[[#This Row],[MKT Open Price]])/(Table13[[#This Row],[PM Hi]]-Table13[[#This Row],[Prior day close]]),(Table13[[#This Row],[PM Hi]]-Table13[[#This Row],[MKT Open Price]])/(Table13[[#This Row],[PM Hi]]-Table13[[#This Row],[PM LO]]))</calculatedColumnFormula>
    </tableColumn>
    <tableColumn id="5" xr3:uid="{40AACEF9-AAFD-4F17-A8DA-B0E0E3BD55A8}" name="Pullback % from open (relative to day) " dataDxfId="114" totalsRowDxfId="113" dataCellStyle="Percent">
      <calculatedColumnFormula>IF(Table13[[#This Row],[Prior day close]]&lt;Table13[[#This Row],[PM LO]],(J2-L2)/(J2-Table13[[#This Row],[Prior day close]]),(J2-L2)/(J2-Table13[[#This Row],[PM LO]]))</calculatedColumnFormula>
    </tableColumn>
    <tableColumn id="18" xr3:uid="{6D38557C-0138-4D0B-983E-054698D52406}" name="Pullback from spike " dataDxfId="112" totalsRowDxfId="111" dataCellStyle="Percent">
      <calculatedColumnFormula>Table13[[#This Row],[Spike % on open before drop]]+AN2</calculatedColumnFormula>
    </tableColumn>
    <tableColumn id="41" xr3:uid="{ACC0DBBC-F3F0-4425-B880-8C3EE4CCFC82}" name="Pullback % from open" totalsRowDxfId="110" dataCellStyle="Percent"/>
    <tableColumn id="68" xr3:uid="{0A328BBD-CE9A-48D9-A570-A293D0D5B34E}" name="Retracement of Prior Move % until lowerst low (Not relative)" dataDxfId="109" totalsRowDxfId="108" dataCellStyle="Percent"/>
    <tableColumn id="69" xr3:uid="{6D1BD90B-8FDA-4ADE-92A9-6FBE8E121DF5}" name="Retracement of prior move w/ if pm lo &lt; prior day close" dataDxfId="107" totalsRowDxfId="106" dataCellStyle="Percent">
      <calculatedColumnFormula>IF(Table13[[#This Row],[Prior day close]]&lt;=Table13[[#This Row],[PM LO]],IF($K2&gt;=$G2,($K2-$L2)/($K2-Table13[[#This Row],[Prior day close]]),(IF($I2&lt;=$L2,($G2-$I2)/($G2-Table13[[#This Row],[Prior day close]]),(Table13[[#This Row],[PM Hi]]-Table13[[#This Row],[Lowest lo from open to squeeze]])/(Table13[[#This Row],[PM Hi]]-Table13[[#This Row],[Prior day close]])))),IF($K2&gt;=$G2,($K2-$L2)/($K2-Table13[[#This Row],[PM LO]]),(IF($I2&lt;=$L2,($G2-$I2)/($G2-Table13[[#This Row],[PM LO]]),(Table13[[#This Row],[PM Hi]]-Table13[[#This Row],[Lowest lo from open to squeeze]])/(Table13[[#This Row],[PM Hi]]-Table13[[#This Row],[PM LO]])))))</calculatedColumnFormula>
    </tableColumn>
    <tableColumn id="28" xr3:uid="{13BE3623-4938-48BE-9C76-67E2A24F1E41}" name="Retracement of prior move % until lowest lo (relative to day)" totalsRowDxfId="105" dataCellStyle="Percent"/>
    <tableColumn id="48" xr3:uid="{4B36CC45-57FE-40D3-9784-8898198EF82D}" name="Time until ideal entry + 390 (6:30)" dataDxfId="104" dataCellStyle="Percent">
      <calculatedColumnFormula>390+Table13[[#This Row],[Time until ideal entry point (mins) from open]]</calculatedColumnFormula>
    </tableColumn>
    <tableColumn id="50" xr3:uid="{C755B590-62F8-4D92-834B-091917D65C5F}" name="Time until top" dataDxfId="103" dataCellStyle="Percent">
      <calculatedColumnFormula>Table13[[#This Row],[Time until ideal entry + 390 (6:30)]]+Table13[[#This Row],[Duration of frontside (mins)]]</calculatedColumnFormula>
    </tableColumn>
  </tableColumns>
  <tableStyleInfo name="TableStyleLight20"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496930-F583-4F3C-B9B2-FE1E5F5648E0}" name="Table133" displayName="Table133" ref="A1:AQ174" headerRowDxfId="102" headerRowBorderDxfId="100" tableBorderDxfId="101" headerRowCellStyle="Normal" dataCellStyle="Normal" totalsRowCellStyle="Normal">
  <autoFilter ref="A1:AQ174" xr:uid="{E89DD4C8-D0B0-4C5A-BBE7-34541F73D590}"/>
  <sortState xmlns:xlrd2="http://schemas.microsoft.com/office/spreadsheetml/2017/richdata2" ref="A2:AQ174">
    <sortCondition ref="D1:D174"/>
  </sortState>
  <tableColumns count="43">
    <tableColumn id="1" xr3:uid="{DC6958EA-5A08-4BBB-9101-9C370241E403}" name="Ticker" dataDxfId="98" totalsRowDxfId="99" dataCellStyle="Normal"/>
    <tableColumn id="2" xr3:uid="{DE430E85-8B1D-4AC6-A4DB-064CFB9977EC}" name="Date" dataDxfId="96" totalsRowDxfId="97" dataCellStyle="Normal"/>
    <tableColumn id="22" xr3:uid="{164FCFDD-F1B2-43D4-B283-6A561379C9AA}" name="W/L" dataDxfId="94" totalsRowDxfId="95"/>
    <tableColumn id="58" xr3:uid="{20C0C83C-DFB4-4958-96F4-918B30F3B667}" name="Prior day close" dataDxfId="92" totalsRowDxfId="93" dataCellStyle="Currency"/>
    <tableColumn id="60" xr3:uid="{33EF3697-A19E-4A57-B310-9D82464D88DA}" name="PM Open Price" dataDxfId="90" totalsRowDxfId="91" dataCellStyle="Comma"/>
    <tableColumn id="51" xr3:uid="{A3B18FEA-5536-423A-8E68-1A96B507E37A}" name="PM Hi" dataDxfId="88" totalsRowDxfId="89" dataCellStyle="Currency"/>
    <tableColumn id="63" xr3:uid="{0DB39AA1-1920-4F7C-8DAE-2A04795FB469}" name="PM LO" dataDxfId="86" totalsRowDxfId="87" dataCellStyle="Currency"/>
    <tableColumn id="62" xr3:uid="{D94693E9-5218-4389-8C94-F030AE8A0BDB}" name="PM Lo After PM Hi" dataDxfId="84" totalsRowDxfId="85" dataCellStyle="Currency"/>
    <tableColumn id="43" xr3:uid="{0F410919-14A3-48C6-8282-741D4E5948B3}" name="MKT Open Price" dataDxfId="82" totalsRowDxfId="83" dataCellStyle="Currency"/>
    <tableColumn id="61" xr3:uid="{2244EF32-AA0A-4BB1-B80A-7BFEE8C2B9EC}" name="Hi of Spike after open before drop" dataDxfId="80" totalsRowDxfId="81" dataCellStyle="Currency"/>
    <tableColumn id="59" xr3:uid="{B91140C5-B759-4957-B77A-B5685AC8DAFF}" name="Lowest lo from open to squeeze" dataDxfId="78" totalsRowDxfId="79" dataCellStyle="Currency"/>
    <tableColumn id="49" xr3:uid="{94175895-3E40-4D06-9DB8-FC471DBD0A2B}" name="HOD AFTER PM HI" dataDxfId="76" totalsRowDxfId="77" dataCellStyle="Currency"/>
    <tableColumn id="57" xr3:uid="{72CAF487-65AE-4901-9328-4E66AFD6B396}" name="Price at hi of squeeze" dataDxfId="74" totalsRowDxfId="75" dataCellStyle="Currency"/>
    <tableColumn id="8" xr3:uid="{35809BFD-6674-405B-8F9F-0C4F14416441}" name="Volume" dataDxfId="72" totalsRowDxfId="73" dataCellStyle="Comma"/>
    <tableColumn id="44" xr3:uid="{CD5A5521-BAC5-44D2-B63D-57B1A71F7176}" name="Volume ($M)" dataDxfId="70" totalsRowDxfId="71" dataCellStyle="Currency"/>
    <tableColumn id="10" xr3:uid="{BFE0F21A-9495-4AB2-B6C1-FA1F30500E36}" name="MKT CAP(M)" dataDxfId="68" totalsRowDxfId="69" dataCellStyle="Comma"/>
    <tableColumn id="11" xr3:uid="{6CCE291E-CD97-4AE1-9A3D-721D50B4D8C7}" name="FLOAT(M)" dataDxfId="66" totalsRowDxfId="67" dataCellStyle="Normal"/>
    <tableColumn id="12" xr3:uid="{832E7E88-6EB5-4D8C-B1FD-4E5BC3BB0FD4}" name="PM VOL" dataDxfId="64" totalsRowDxfId="65" dataCellStyle="Comma"/>
    <tableColumn id="53" xr3:uid="{11E9CE6D-6BC5-4891-9238-BCC52F28E5C2}" name="Overhead supply above 20m (Y/N)" dataDxfId="62" totalsRowDxfId="63" dataCellStyle="Comma"/>
    <tableColumn id="13" xr3:uid="{0EEB2C1B-C947-45F1-8333-EC4DD1F4ECF3}" name="Day 1 (Y/N)" dataDxfId="61" dataCellStyle="Comma"/>
    <tableColumn id="14" xr3:uid="{8272D7A4-14E9-441D-AC25-A417FAD52B09}" name="Time until lowest lo (mins) from open" dataDxfId="60" dataCellStyle="Percent"/>
    <tableColumn id="26" xr3:uid="{8640A8DC-0829-4EDB-AFD1-13BF76855BB0}" name="Time until ideal entry point (mins) from open" dataDxfId="59" dataCellStyle="Normal"/>
    <tableColumn id="56" xr3:uid="{0F3F2B45-6562-4E96-90ED-E229C2353A71}" name="Entry Price" dataDxfId="58"/>
    <tableColumn id="15" xr3:uid="{574DFA09-E52E-4E99-866A-8CB82BF49380}" name="Duration of frontside (mins)" dataDxfId="57" dataCellStyle="Normal"/>
    <tableColumn id="45" xr3:uid="{E77C58CF-DB22-4B17-B36A-B91B63B60192}" name="Time of Entry" dataDxfId="55" totalsRowDxfId="56">
      <calculatedColumnFormula>Table133[[#This Row],[Time until ideal entry + 390 (6:30)]]/(1440)</calculatedColumnFormula>
    </tableColumn>
    <tableColumn id="35" xr3:uid="{86009A95-A706-4910-9ACD-A1776DFF5A51}" name="Prior Close to PM Hi %" dataDxfId="53" totalsRowDxfId="54" dataCellStyle="Percent"/>
    <tableColumn id="46" xr3:uid="{9570B4D4-E57C-428A-9D60-BD8AE157AD0C}" name="Full day % Change" dataDxfId="51" totalsRowDxfId="52" dataCellStyle="Percent">
      <calculatedColumnFormula>IF(Table133[[#This Row],[HOD AFTER PM HI]]&gt;=Table133[[#This Row],[PM Hi]],((Table133[[#This Row],[HOD AFTER PM HI]]-Table133[[#This Row],[Prior day close]])/Table133[[#This Row],[Prior day close]]),Table133[[#This Row],[Prior Close to PM Hi %]])</calculatedColumnFormula>
    </tableColumn>
    <tableColumn id="17" xr3:uid="{F17AC7F3-732E-4A41-B96E-CD0ED6B20295}" name="Squeeze % from open" dataDxfId="49" totalsRowDxfId="50" dataCellStyle="Currency">
      <calculatedColumnFormula>(Table133[[#This Row],[Price at hi of squeeze]]-Table133[[#This Row],[MKT Open Price]])/Table133[[#This Row],[MKT Open Price]]</calculatedColumnFormula>
    </tableColumn>
    <tableColumn id="19" xr3:uid="{676F96CA-10A1-47D7-A3B3-23B565DE7AFE}" name="Squeeze % above PM HI" dataDxfId="47" totalsRowDxfId="48" dataCellStyle="Percent">
      <calculatedColumnFormula>(Table133[[#This Row],[Price at hi of squeeze]]-Table133[[#This Row],[PM Hi]])/Table133[[#This Row],[PM Hi]]</calculatedColumnFormula>
    </tableColumn>
    <tableColumn id="7" xr3:uid="{01E3C95E-0B2C-4F14-8FFA-6C62518BF0BD}" name="Squeeze %" totalsRowDxfId="46" dataCellStyle="Percent"/>
    <tableColumn id="40" xr3:uid="{ECCE9B12-1140-4F04-8CA9-24331A5D1E1A}" name="PM Float Rotations" dataDxfId="44" totalsRowDxfId="45" dataCellStyle="Comma">
      <calculatedColumnFormula>Table133[[#This Row],[PM VOL]]/1000000/Table133[[#This Row],[FLOAT(M)]]</calculatedColumnFormula>
    </tableColumn>
    <tableColumn id="32" xr3:uid="{2568CCBA-46BF-42D9-9D73-29E58231791E}" name="Float Rotations per day" dataDxfId="42" totalsRowDxfId="43" dataCellStyle="Comma">
      <calculatedColumnFormula>(Table133[[#This Row],[Volume]]/1000000)/Table133[[#This Row],[FLOAT(M)]]</calculatedColumnFormula>
    </tableColumn>
    <tableColumn id="39" xr3:uid="{4EE1D1CA-EA27-4819-9A8A-C4DD509F94BC}" name="Spike % on open before drop" dataDxfId="40" totalsRowDxfId="41" dataCellStyle="Percent"/>
    <tableColumn id="67" xr3:uid="{39535E52-6B98-4486-B649-03FCE5CAAE8E}" name="Opening Price % Retracement of Prior Move" totalsRowDxfId="39" dataCellStyle="Percent">
      <calculatedColumnFormula>(Table133[[#This Row],[PM Hi]]-Table133[[#This Row],[MKT Open Price]])/(Table133[[#This Row],[PM Hi]])</calculatedColumnFormula>
    </tableColumn>
    <tableColumn id="47" xr3:uid="{2EA1CBB2-DBB3-4E55-B6F8-7AE5EADE9D92}" name="Opening Price % Retracement of Prior Move (relative to day)" totalsRowDxfId="38" dataCellStyle="Percent">
      <calculatedColumnFormula>IF(Table133[[#This Row],[PM LO]]&gt;Table133[[#This Row],[Prior day close]],(Table133[[#This Row],[PM Hi]]-Table133[[#This Row],[MKT Open Price]])/(Table133[[#This Row],[PM Hi]]-Table133[[#This Row],[Prior day close]]),(Table133[[#This Row],[PM Hi]]-Table133[[#This Row],[MKT Open Price]])/(Table133[[#This Row],[PM Hi]]-Table133[[#This Row],[PM LO]]))</calculatedColumnFormula>
    </tableColumn>
    <tableColumn id="5" xr3:uid="{7A131CE8-DA3D-4EBE-9CBC-10D50C424EE7}" name="Pullback % from open (relative to day) " dataDxfId="36" totalsRowDxfId="37" dataCellStyle="Percent">
      <calculatedColumnFormula>IF(Table133[[#This Row],[Prior day close]]&lt;Table133[[#This Row],[PM LO]],(I2-K2)/(I2-Table133[[#This Row],[Prior day close]]),(I2-K2)/(I2-Table133[[#This Row],[PM LO]]))</calculatedColumnFormula>
    </tableColumn>
    <tableColumn id="18" xr3:uid="{88420B3D-F324-4FA9-B09A-ABFCE26F3E60}" name="Pullback from spike " dataDxfId="34" totalsRowDxfId="35" dataCellStyle="Percent">
      <calculatedColumnFormula>Table133[[#This Row],[Spike % on open before drop]]+AL2</calculatedColumnFormula>
    </tableColumn>
    <tableColumn id="41" xr3:uid="{6C552A7C-AAD1-4E16-87F2-26A233C97CC5}" name="Pullback % from open" totalsRowDxfId="33" dataCellStyle="Percent"/>
    <tableColumn id="68" xr3:uid="{1D925348-4115-40C3-96AE-6D8CB6071B5B}" name="Retracement of Prior Move % until lowerst low (Not relative)" dataDxfId="31" totalsRowDxfId="32" dataCellStyle="Percent"/>
    <tableColumn id="69" xr3:uid="{70061059-6092-4B9B-B161-983F73320CCB}" name="Retracement of prior move w/ if pm lo &lt; prior day close" dataDxfId="29" totalsRowDxfId="30" dataCellStyle="Percent">
      <calculatedColumnFormula>IF(Table133[[#This Row],[Prior day close]]&lt;=Table133[[#This Row],[PM LO]],IF($J2&gt;=$F2,($J2-$K2)/($J2-Table133[[#This Row],[Prior day close]]),(IF($H2&lt;=$K2,($F2-$H2)/($F2-Table133[[#This Row],[Prior day close]]),(Table133[[#This Row],[PM Hi]]-Table133[[#This Row],[Lowest lo from open to squeeze]])/(Table133[[#This Row],[PM Hi]]-Table133[[#This Row],[Prior day close]])))),IF($J2&gt;=$F2,($J2-$K2)/($J2-Table133[[#This Row],[PM LO]]),(IF($H2&lt;=$K2,($F2-$H2)/($F2-Table133[[#This Row],[PM LO]]),(Table133[[#This Row],[PM Hi]]-Table133[[#This Row],[Lowest lo from open to squeeze]])/(Table133[[#This Row],[PM Hi]]-Table133[[#This Row],[PM LO]])))))</calculatedColumnFormula>
    </tableColumn>
    <tableColumn id="28" xr3:uid="{1CB374B2-65FF-43D0-A877-979E96DFA3A3}" name="Retracement of prior move % until lowest lo (relative to day)" totalsRowDxfId="28" dataCellStyle="Percent"/>
    <tableColumn id="48" xr3:uid="{57C0A5EE-DC35-494C-82B6-6B7E17453E34}" name="Time until ideal entry + 390 (6:30)" dataDxfId="27" dataCellStyle="Percent">
      <calculatedColumnFormula>390+Table133[[#This Row],[Time until ideal entry point (mins) from open]]</calculatedColumnFormula>
    </tableColumn>
    <tableColumn id="50" xr3:uid="{6696F6B1-E18C-4486-A386-2F5036E875D8}" name="Time until top" dataDxfId="26" dataCellStyle="Percent">
      <calculatedColumnFormula>Table133[[#This Row],[Time until ideal entry + 390 (6:30)]]+Table133[[#This Row],[Duration of frontside (mins)]]</calculatedColumnFormula>
    </tableColumn>
  </tableColumns>
  <tableStyleInfo name="TableStyleLight20"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0-09-13T19:48:30.35" personId="{79675405-5FBD-4F7E-B612-8AF7BC845AAD}" id="{365BEAC5-3471-4322-8C3A-15C01C6D14BF}">
    <text>Highest point after premarket</text>
  </threadedComment>
  <threadedComment ref="M1" dT="2020-09-13T19:51:13.36" personId="{79675405-5FBD-4F7E-B612-8AF7BC845AAD}" id="{5F3A74CE-F9B9-4969-B092-ECCEE4802B55}" parentId="{365BEAC5-3471-4322-8C3A-15C01C6D14BF}">
    <text>High should not be before squeeze and after premarket. Hi in this case should only be created after squeeze.</text>
  </threadedComment>
  <threadedComment ref="U1" dT="2020-09-12T06:57:02.26" personId="{79675405-5FBD-4F7E-B612-8AF7BC845AAD}" id="{099EA61F-5CA2-4FE0-B266-65E03C2B088F}">
    <text>Shares traded at prior running day</text>
  </threadedComment>
  <threadedComment ref="U1" dT="2020-09-12T19:38:15.95" personId="{79675405-5FBD-4F7E-B612-8AF7BC845AAD}" id="{CD5EC258-968E-47F6-B147-011EF0669AA2}" parentId="{099EA61F-5CA2-4FE0-B266-65E03C2B088F}">
    <text>Is there overhead supply above the market open price from a prior day?</text>
  </threadedComment>
  <threadedComment ref="W1" dT="2020-08-09T17:19:56.20" personId="{79675405-5FBD-4F7E-B612-8AF7BC845AAD}" id="{6C23FFD6-32EF-4970-A237-69FA28490A1E}">
    <text>Morning Drop: Time from open until bottom 
Level hold: Time from open until bottom
Midday Squeeze: From Hi of move to the lowest low is created</text>
  </threadedComment>
  <threadedComment ref="W1" dT="2020-09-12T20:18:08.51" personId="{79675405-5FBD-4F7E-B612-8AF7BC845AAD}" id="{0A8F5A14-F94E-447D-9BFC-9197127D29AE}" parentId="{6C23FFD6-32EF-4970-A237-69FA28490A1E}">
    <text>If there are two matching lows before squeeze, take the time of the one nearest to the squeeze.</text>
  </threadedComment>
  <threadedComment ref="X1" dT="2020-09-12T06:02:49.33" personId="{79675405-5FBD-4F7E-B612-8AF7BC845AAD}" id="{593819FF-931A-4AF8-8682-868F133110E5}">
    <text>1 minute past the nearest local minimum (found on 3 minute line chart) to squeeze</text>
  </threadedComment>
  <threadedComment ref="Z1" dT="2020-08-09T17:39:52.27" personId="{79675405-5FBD-4F7E-B612-8AF7BC845AAD}" id="{095375AE-8324-4E7E-8B28-BEA642259C1B}">
    <text>This is from the ideal entry point to the top of the move.</text>
  </threadedComment>
  <threadedComment ref="AF1" dT="2020-08-11T00:46:13.96" personId="{79675405-5FBD-4F7E-B612-8AF7BC845AAD}" id="{F34480D3-8B9E-4945-B661-B3677F7C3BB0}">
    <text>Bottom to top</text>
  </threadedComment>
  <threadedComment ref="AF1" dT="2020-09-11T20:04:29.22" personId="{79675405-5FBD-4F7E-B612-8AF7BC845AAD}" id="{FF826E4A-D2F6-41BE-9F22-D58B8E52237B}" parentId="{F34480D3-8B9E-4945-B661-B3677F7C3BB0}">
    <text>Lowest point from after open local minimum</text>
  </threadedComment>
  <threadedComment ref="AF1" dT="2020-09-12T19:00:19.79" personId="{79675405-5FBD-4F7E-B612-8AF7BC845AAD}" id="{3F00E7BD-099D-4EAC-9E73-E14548BC50D2}" parentId="{F34480D3-8B9E-4945-B661-B3677F7C3BB0}">
    <text>The point at which the top is formed is when there is a lower lo on a 5 minute line chart.</text>
  </threadedComment>
  <threadedComment ref="AK1" dT="2020-09-12T21:03:11.44" personId="{79675405-5FBD-4F7E-B612-8AF7BC845AAD}" id="{4EAB0F34-2C9F-431D-B587-6B0E7F8CAB0A}">
    <text>Take the dollar amount from the close to hi of premarket then take the dollar amount from the pm hi to the open price. Divide hi to open by close to hi.</text>
  </threadedComment>
  <threadedComment ref="AN1" dT="2020-09-11T21:35:33.64" personId="{79675405-5FBD-4F7E-B612-8AF7BC845AAD}" id="{A925F336-C120-4657-BBC2-68E377F68630}">
    <text>*Use trendline, DO NOT DIVIDE PULLBACK FROM PRIOR MOVE. Use basic trendline to measure relative pullback. 
Start from opening price to the low of the absolute extremum (relative to this move, and after market open). 
Go to bottom of wick.</text>
  </threadedComment>
  <threadedComment ref="AQ1" dT="2020-09-11T21:32:09.00" personId="{79675405-5FBD-4F7E-B612-8AF7BC845AAD}" id="{7C5B32D1-4A8E-4082-B166-CDE220C905CF}">
    <text>Take the dollar amount of close of prior day to the high of premarket. Then take the high of day to the absolute minimum to the right of the high prior to the morning squeeze.</text>
  </threadedComment>
  <threadedComment ref="AQ1" dT="2020-09-12T18:34:26.38" personId="{79675405-5FBD-4F7E-B612-8AF7BC845AAD}" id="{A8C24EE4-B6AB-40A2-8144-5DFA5B09A83A}" parentId="{7C5B32D1-4A8E-4082-B166-CDE220C905CF}">
    <text>Take the highest dollar amount the stock reaches before the drop, can be after open.</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0-09-13T19:48:30.35" personId="{79675405-5FBD-4F7E-B612-8AF7BC845AAD}" id="{8F2D3DF7-1B86-44BA-854C-2918B13F9A9F}">
    <text>Highest point after premarket</text>
  </threadedComment>
  <threadedComment ref="L1" dT="2020-09-13T19:51:13.36" personId="{79675405-5FBD-4F7E-B612-8AF7BC845AAD}" id="{755ED740-F183-41F6-B2DA-A778CE15F4C0}" parentId="{8F2D3DF7-1B86-44BA-854C-2918B13F9A9F}">
    <text>High should not be before squeeze and after premarket. Hi in this case should only be created after squeeze.</text>
  </threadedComment>
  <threadedComment ref="S1" dT="2020-09-12T06:57:02.26" personId="{79675405-5FBD-4F7E-B612-8AF7BC845AAD}" id="{13917B21-BBBE-40B0-8DB8-96B9B1B3B7F3}">
    <text>Shares traded at prior running day</text>
  </threadedComment>
  <threadedComment ref="S1" dT="2020-09-12T19:38:15.95" personId="{79675405-5FBD-4F7E-B612-8AF7BC845AAD}" id="{9A64B8FA-7382-448A-A562-1912E30F5946}" parentId="{13917B21-BBBE-40B0-8DB8-96B9B1B3B7F3}">
    <text>Is there overhead supply above the market open price from a prior day?</text>
  </threadedComment>
  <threadedComment ref="U1" dT="2020-08-09T17:19:56.20" personId="{79675405-5FBD-4F7E-B612-8AF7BC845AAD}" id="{55922BB1-5A1E-41C6-A79A-273E8A971865}">
    <text>Morning Drop: Time from open until bottom 
Level hold: Time from open until bottom
Midday Squeeze: From Hi of move to the lowest low is created</text>
  </threadedComment>
  <threadedComment ref="U1" dT="2020-09-12T20:18:08.51" personId="{79675405-5FBD-4F7E-B612-8AF7BC845AAD}" id="{9B604852-E605-4966-91E6-F918D47E2B7E}" parentId="{55922BB1-5A1E-41C6-A79A-273E8A971865}">
    <text>If there are two matching lows before squeeze, take the time of the one nearest to the squeeze.</text>
  </threadedComment>
  <threadedComment ref="V1" dT="2020-09-12T06:02:49.33" personId="{79675405-5FBD-4F7E-B612-8AF7BC845AAD}" id="{677A6B2E-2308-4D42-A944-19133C0ADA0E}">
    <text>1 minute past the nearest local minimum (found on 3 minute line chart) to squeeze</text>
  </threadedComment>
  <threadedComment ref="X1" dT="2020-08-09T17:39:52.27" personId="{79675405-5FBD-4F7E-B612-8AF7BC845AAD}" id="{638D87D4-231B-4597-8ACF-8A09421F3618}">
    <text>This is from the ideal entry point to the top of the move.</text>
  </threadedComment>
  <threadedComment ref="AD1" dT="2020-08-11T00:46:13.96" personId="{79675405-5FBD-4F7E-B612-8AF7BC845AAD}" id="{CB89E82A-6602-4C2C-BF2A-5EC05C26EB1A}">
    <text>Bottom to top</text>
  </threadedComment>
  <threadedComment ref="AD1" dT="2020-09-11T20:04:29.22" personId="{79675405-5FBD-4F7E-B612-8AF7BC845AAD}" id="{729DB6C3-179B-4966-99CC-69C99C967DD1}" parentId="{CB89E82A-6602-4C2C-BF2A-5EC05C26EB1A}">
    <text>Lowest point from after open local minimum</text>
  </threadedComment>
  <threadedComment ref="AD1" dT="2020-09-12T19:00:19.79" personId="{79675405-5FBD-4F7E-B612-8AF7BC845AAD}" id="{BE398D48-6221-406C-84BD-CCFC852DD23D}" parentId="{CB89E82A-6602-4C2C-BF2A-5EC05C26EB1A}">
    <text>The point at which the top is formed is when there is a lower lo on a 5 minute line chart.</text>
  </threadedComment>
  <threadedComment ref="AI1" dT="2020-09-12T21:03:11.44" personId="{79675405-5FBD-4F7E-B612-8AF7BC845AAD}" id="{447F82C6-6F01-4CA6-B4D0-E1BA08F322C2}">
    <text>Take the dollar amount from the close to hi of premarket then take the dollar amount from the pm hi to the open price. Divide hi to open by close to hi.</text>
  </threadedComment>
  <threadedComment ref="AL1" dT="2020-09-11T21:35:33.64" personId="{79675405-5FBD-4F7E-B612-8AF7BC845AAD}" id="{06E02266-EE04-4210-8117-FD2F26959147}">
    <text>*Use trendline, DO NOT DIVIDE PULLBACK FROM PRIOR MOVE. Use basic trendline to measure relative pullback. 
Start from opening price to the low of the absolute extremum (relative to this move, and after market open). 
Go to bottom of wick.</text>
  </threadedComment>
  <threadedComment ref="AO1" dT="2020-09-11T21:32:09.00" personId="{79675405-5FBD-4F7E-B612-8AF7BC845AAD}" id="{477E6204-F2D9-4AF6-BDD5-097BB590938A}">
    <text>Take the dollar amount of close of prior day to the high of premarket. Then take the high of day to the absolute minimum to the right of the high prior to the morning squeeze.</text>
  </threadedComment>
  <threadedComment ref="AO1" dT="2020-09-12T18:34:26.38" personId="{79675405-5FBD-4F7E-B612-8AF7BC845AAD}" id="{E100EE07-12FA-4B87-AD0B-35703CC3A0A1}" parentId="{477E6204-F2D9-4AF6-BDD5-097BB590938A}">
    <text>Take the highest dollar amount the stock reaches before the drop, can be after open.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tos.mx/XbOKIXJ" TargetMode="External"/><Relationship Id="rId21" Type="http://schemas.openxmlformats.org/officeDocument/2006/relationships/hyperlink" Target="http://tos.mx/ghZP9Aw" TargetMode="External"/><Relationship Id="rId63" Type="http://schemas.openxmlformats.org/officeDocument/2006/relationships/hyperlink" Target="http://tos.mx/tEx3xJB" TargetMode="External"/><Relationship Id="rId159" Type="http://schemas.openxmlformats.org/officeDocument/2006/relationships/hyperlink" Target="http://tos.mx/idvMro1" TargetMode="External"/><Relationship Id="rId170" Type="http://schemas.openxmlformats.org/officeDocument/2006/relationships/hyperlink" Target="http://tos.mx/yVWFeyH" TargetMode="External"/><Relationship Id="rId226" Type="http://schemas.openxmlformats.org/officeDocument/2006/relationships/hyperlink" Target="http://tos.mx/RDpeVVb" TargetMode="External"/><Relationship Id="rId268" Type="http://schemas.openxmlformats.org/officeDocument/2006/relationships/hyperlink" Target="http://tos.mx/dB12VVe" TargetMode="External"/><Relationship Id="rId32" Type="http://schemas.openxmlformats.org/officeDocument/2006/relationships/hyperlink" Target="http://tos.mx/rP2gQcz" TargetMode="External"/><Relationship Id="rId74" Type="http://schemas.openxmlformats.org/officeDocument/2006/relationships/hyperlink" Target="http://tos.mx/9YEwUT9" TargetMode="External"/><Relationship Id="rId128" Type="http://schemas.openxmlformats.org/officeDocument/2006/relationships/hyperlink" Target="http://tos.mx/X3cIjl2" TargetMode="External"/><Relationship Id="rId5" Type="http://schemas.openxmlformats.org/officeDocument/2006/relationships/hyperlink" Target="http://tos.mx/HIQs0Tw" TargetMode="External"/><Relationship Id="rId181" Type="http://schemas.openxmlformats.org/officeDocument/2006/relationships/hyperlink" Target="http://tos.mx/uh9muWA" TargetMode="External"/><Relationship Id="rId237" Type="http://schemas.openxmlformats.org/officeDocument/2006/relationships/hyperlink" Target="http://tos.mx/Ct3Y568" TargetMode="External"/><Relationship Id="rId258" Type="http://schemas.openxmlformats.org/officeDocument/2006/relationships/hyperlink" Target="http://tos.mx/T1FMPeq" TargetMode="External"/><Relationship Id="rId22" Type="http://schemas.openxmlformats.org/officeDocument/2006/relationships/hyperlink" Target="http://tos.mx/zYmuNJ8" TargetMode="External"/><Relationship Id="rId43" Type="http://schemas.openxmlformats.org/officeDocument/2006/relationships/hyperlink" Target="http://tos.mx/JNwBZMb" TargetMode="External"/><Relationship Id="rId64" Type="http://schemas.openxmlformats.org/officeDocument/2006/relationships/hyperlink" Target="http://tos.mx/osm4T7v" TargetMode="External"/><Relationship Id="rId118" Type="http://schemas.openxmlformats.org/officeDocument/2006/relationships/hyperlink" Target="http://tos.mx/8GOms4c" TargetMode="External"/><Relationship Id="rId139" Type="http://schemas.openxmlformats.org/officeDocument/2006/relationships/hyperlink" Target="http://tos.mx/LhRiFVl" TargetMode="External"/><Relationship Id="rId85" Type="http://schemas.openxmlformats.org/officeDocument/2006/relationships/hyperlink" Target="http://tos.mx/sXth9TD" TargetMode="External"/><Relationship Id="rId150" Type="http://schemas.openxmlformats.org/officeDocument/2006/relationships/hyperlink" Target="http://tos.mx/J7v1ar2" TargetMode="External"/><Relationship Id="rId171" Type="http://schemas.openxmlformats.org/officeDocument/2006/relationships/hyperlink" Target="http://tos.mx/6qt2xrS" TargetMode="External"/><Relationship Id="rId192" Type="http://schemas.openxmlformats.org/officeDocument/2006/relationships/hyperlink" Target="http://tos.mx/L5zoo2j" TargetMode="External"/><Relationship Id="rId206" Type="http://schemas.openxmlformats.org/officeDocument/2006/relationships/hyperlink" Target="http://tos.mx/BYMzEYv" TargetMode="External"/><Relationship Id="rId227" Type="http://schemas.openxmlformats.org/officeDocument/2006/relationships/hyperlink" Target="http://tos.mx/9OD6I1Y" TargetMode="External"/><Relationship Id="rId248" Type="http://schemas.openxmlformats.org/officeDocument/2006/relationships/hyperlink" Target="http://tos.mx/lukXdiB" TargetMode="External"/><Relationship Id="rId269" Type="http://schemas.openxmlformats.org/officeDocument/2006/relationships/hyperlink" Target="http://tos.mx/gRIFHK7" TargetMode="External"/><Relationship Id="rId12" Type="http://schemas.openxmlformats.org/officeDocument/2006/relationships/hyperlink" Target="http://tos.mx/etFqvar" TargetMode="External"/><Relationship Id="rId33" Type="http://schemas.openxmlformats.org/officeDocument/2006/relationships/hyperlink" Target="http://tos.mx/uwAPqJV" TargetMode="External"/><Relationship Id="rId108" Type="http://schemas.openxmlformats.org/officeDocument/2006/relationships/hyperlink" Target="../AppData/Broken%20Down%20Trading%20Charts/LXRX_12_8_2020_MARKEDUP.png" TargetMode="External"/><Relationship Id="rId129" Type="http://schemas.openxmlformats.org/officeDocument/2006/relationships/hyperlink" Target="http://tos.mx/zPkodjb" TargetMode="External"/><Relationship Id="rId54" Type="http://schemas.openxmlformats.org/officeDocument/2006/relationships/hyperlink" Target="http://tos.mx/dbvJSJQ" TargetMode="External"/><Relationship Id="rId75" Type="http://schemas.openxmlformats.org/officeDocument/2006/relationships/hyperlink" Target="http://tos.mx/dp7oJYX" TargetMode="External"/><Relationship Id="rId96" Type="http://schemas.openxmlformats.org/officeDocument/2006/relationships/hyperlink" Target="http://tos.mx/ZnjFQEi" TargetMode="External"/><Relationship Id="rId140" Type="http://schemas.openxmlformats.org/officeDocument/2006/relationships/hyperlink" Target="http://tos.mx/WqgumJZ" TargetMode="External"/><Relationship Id="rId161" Type="http://schemas.openxmlformats.org/officeDocument/2006/relationships/hyperlink" Target="http://tos.mx/bKRzGsd" TargetMode="External"/><Relationship Id="rId182" Type="http://schemas.openxmlformats.org/officeDocument/2006/relationships/hyperlink" Target="http://tos.mx/BLqhfUM" TargetMode="External"/><Relationship Id="rId217" Type="http://schemas.openxmlformats.org/officeDocument/2006/relationships/hyperlink" Target="http://tos.mx/Kukt6oy" TargetMode="External"/><Relationship Id="rId6" Type="http://schemas.openxmlformats.org/officeDocument/2006/relationships/hyperlink" Target="http://tos.mx/bv0cERL" TargetMode="External"/><Relationship Id="rId238" Type="http://schemas.openxmlformats.org/officeDocument/2006/relationships/hyperlink" Target="http://tos.mx/srSqFeG" TargetMode="External"/><Relationship Id="rId259" Type="http://schemas.openxmlformats.org/officeDocument/2006/relationships/hyperlink" Target="http://tos.mx/oPvGYis" TargetMode="External"/><Relationship Id="rId23" Type="http://schemas.openxmlformats.org/officeDocument/2006/relationships/hyperlink" Target="http://tos.mx/ZJMnzkC" TargetMode="External"/><Relationship Id="rId119" Type="http://schemas.openxmlformats.org/officeDocument/2006/relationships/hyperlink" Target="http://tos.mx/a1b5mC8" TargetMode="External"/><Relationship Id="rId270" Type="http://schemas.openxmlformats.org/officeDocument/2006/relationships/hyperlink" Target="http://tos.mx/yD6fn1K" TargetMode="External"/><Relationship Id="rId44" Type="http://schemas.openxmlformats.org/officeDocument/2006/relationships/hyperlink" Target="http://tos.mx/vg2uJGH" TargetMode="External"/><Relationship Id="rId65" Type="http://schemas.openxmlformats.org/officeDocument/2006/relationships/hyperlink" Target="http://tos.mx/zS8LYVl" TargetMode="External"/><Relationship Id="rId86" Type="http://schemas.openxmlformats.org/officeDocument/2006/relationships/hyperlink" Target="http://tos.mx/EsvbXll" TargetMode="External"/><Relationship Id="rId130" Type="http://schemas.openxmlformats.org/officeDocument/2006/relationships/hyperlink" Target="http://tos.mx/GAfpshe" TargetMode="External"/><Relationship Id="rId151" Type="http://schemas.openxmlformats.org/officeDocument/2006/relationships/hyperlink" Target="http://tos.mx/6pIeEhA" TargetMode="External"/><Relationship Id="rId172" Type="http://schemas.openxmlformats.org/officeDocument/2006/relationships/hyperlink" Target="http://tos.mx/wiS3COE" TargetMode="External"/><Relationship Id="rId193" Type="http://schemas.openxmlformats.org/officeDocument/2006/relationships/hyperlink" Target="http://tos.mx/Ghvo66x" TargetMode="External"/><Relationship Id="rId207" Type="http://schemas.openxmlformats.org/officeDocument/2006/relationships/hyperlink" Target="http://tos.mx/6q5qocJ" TargetMode="External"/><Relationship Id="rId228" Type="http://schemas.openxmlformats.org/officeDocument/2006/relationships/hyperlink" Target="http://tos.mx/CORNe3o" TargetMode="External"/><Relationship Id="rId249" Type="http://schemas.openxmlformats.org/officeDocument/2006/relationships/hyperlink" Target="http://tos.mx/IhOVKvh" TargetMode="External"/><Relationship Id="rId13" Type="http://schemas.openxmlformats.org/officeDocument/2006/relationships/hyperlink" Target="http://tos.mx/Jbcnz0H" TargetMode="External"/><Relationship Id="rId109" Type="http://schemas.openxmlformats.org/officeDocument/2006/relationships/hyperlink" Target="../AppData/Broken%20Down%20Trading%20Charts/XBIO_12_9_2020_MARKEDUP.png" TargetMode="External"/><Relationship Id="rId260" Type="http://schemas.openxmlformats.org/officeDocument/2006/relationships/hyperlink" Target="http://tos.mx/LW5qo4q" TargetMode="External"/><Relationship Id="rId34" Type="http://schemas.openxmlformats.org/officeDocument/2006/relationships/hyperlink" Target="http://tos.mx/Wgf9v4y" TargetMode="External"/><Relationship Id="rId55" Type="http://schemas.openxmlformats.org/officeDocument/2006/relationships/hyperlink" Target="http://tos.mx/O9XAaUM" TargetMode="External"/><Relationship Id="rId76" Type="http://schemas.openxmlformats.org/officeDocument/2006/relationships/hyperlink" Target="http://tos.mx/GwXbomC" TargetMode="External"/><Relationship Id="rId97" Type="http://schemas.openxmlformats.org/officeDocument/2006/relationships/hyperlink" Target="http://tos.mx/hTeQD3K" TargetMode="External"/><Relationship Id="rId120" Type="http://schemas.openxmlformats.org/officeDocument/2006/relationships/hyperlink" Target="http://tos.mx/g8dkqOk" TargetMode="External"/><Relationship Id="rId141" Type="http://schemas.openxmlformats.org/officeDocument/2006/relationships/hyperlink" Target="http://tos.mx/n1uV1ak" TargetMode="External"/><Relationship Id="rId7" Type="http://schemas.openxmlformats.org/officeDocument/2006/relationships/hyperlink" Target="http://tos.mx/G8qZd50" TargetMode="External"/><Relationship Id="rId162" Type="http://schemas.openxmlformats.org/officeDocument/2006/relationships/hyperlink" Target="http://tos.mx/TmVGnhI" TargetMode="External"/><Relationship Id="rId183" Type="http://schemas.openxmlformats.org/officeDocument/2006/relationships/hyperlink" Target="http://tos.mx/KZn45n1" TargetMode="External"/><Relationship Id="rId218" Type="http://schemas.openxmlformats.org/officeDocument/2006/relationships/hyperlink" Target="http://tos.mx/vASMmKF" TargetMode="External"/><Relationship Id="rId239" Type="http://schemas.openxmlformats.org/officeDocument/2006/relationships/hyperlink" Target="http://tos.mx/vPx5L0j" TargetMode="External"/><Relationship Id="rId250" Type="http://schemas.openxmlformats.org/officeDocument/2006/relationships/hyperlink" Target="http://tos.mx/nqhtWN7" TargetMode="External"/><Relationship Id="rId271" Type="http://schemas.openxmlformats.org/officeDocument/2006/relationships/hyperlink" Target="http://tos.mx/IIEEKFR" TargetMode="External"/><Relationship Id="rId24" Type="http://schemas.openxmlformats.org/officeDocument/2006/relationships/hyperlink" Target="http://tos.mx/0maNlQT" TargetMode="External"/><Relationship Id="rId45" Type="http://schemas.openxmlformats.org/officeDocument/2006/relationships/hyperlink" Target="http://tos.mx/OQf8J0B" TargetMode="External"/><Relationship Id="rId66" Type="http://schemas.openxmlformats.org/officeDocument/2006/relationships/hyperlink" Target="http://tos.mx/La9CxYF" TargetMode="External"/><Relationship Id="rId87" Type="http://schemas.openxmlformats.org/officeDocument/2006/relationships/hyperlink" Target="http://tos.mx/wx9IXTE" TargetMode="External"/><Relationship Id="rId110" Type="http://schemas.openxmlformats.org/officeDocument/2006/relationships/hyperlink" Target="http://tos.mx/dLHTwOS" TargetMode="External"/><Relationship Id="rId131" Type="http://schemas.openxmlformats.org/officeDocument/2006/relationships/hyperlink" Target="http://tos.mx/NQp4zDV" TargetMode="External"/><Relationship Id="rId152" Type="http://schemas.openxmlformats.org/officeDocument/2006/relationships/hyperlink" Target="http://tos.mx/UfDopNj" TargetMode="External"/><Relationship Id="rId173" Type="http://schemas.openxmlformats.org/officeDocument/2006/relationships/hyperlink" Target="http://tos.mx/tuoGNZw" TargetMode="External"/><Relationship Id="rId194" Type="http://schemas.openxmlformats.org/officeDocument/2006/relationships/hyperlink" Target="http://tos.mx/zn6o04j" TargetMode="External"/><Relationship Id="rId208" Type="http://schemas.openxmlformats.org/officeDocument/2006/relationships/hyperlink" Target="http://tos.mx/erz090Y" TargetMode="External"/><Relationship Id="rId229" Type="http://schemas.openxmlformats.org/officeDocument/2006/relationships/hyperlink" Target="http://tos.mx/kIKNzkF" TargetMode="External"/><Relationship Id="rId240" Type="http://schemas.openxmlformats.org/officeDocument/2006/relationships/hyperlink" Target="http://tos.mx/hAiGM30" TargetMode="External"/><Relationship Id="rId261" Type="http://schemas.openxmlformats.org/officeDocument/2006/relationships/hyperlink" Target="http://tos.mx/BoQmxA7" TargetMode="External"/><Relationship Id="rId14" Type="http://schemas.openxmlformats.org/officeDocument/2006/relationships/hyperlink" Target="http://tos.mx/RokI0MV" TargetMode="External"/><Relationship Id="rId35" Type="http://schemas.openxmlformats.org/officeDocument/2006/relationships/hyperlink" Target="http://tos.mx/8BsDSD0" TargetMode="External"/><Relationship Id="rId56" Type="http://schemas.openxmlformats.org/officeDocument/2006/relationships/hyperlink" Target="https://tos.mx/125Py5a" TargetMode="External"/><Relationship Id="rId77" Type="http://schemas.openxmlformats.org/officeDocument/2006/relationships/hyperlink" Target="http://tos.mx/04WTSGZ" TargetMode="External"/><Relationship Id="rId100" Type="http://schemas.openxmlformats.org/officeDocument/2006/relationships/hyperlink" Target="../AppData/Broken%20Down%20Trading%20Charts/PPSI_12_4_2020_MARKEDUP.png" TargetMode="External"/><Relationship Id="rId8" Type="http://schemas.openxmlformats.org/officeDocument/2006/relationships/hyperlink" Target="http://tos.mx/WYAsZSL" TargetMode="External"/><Relationship Id="rId98" Type="http://schemas.openxmlformats.org/officeDocument/2006/relationships/hyperlink" Target="http://tos.mx/TJxiJVx" TargetMode="External"/><Relationship Id="rId121" Type="http://schemas.openxmlformats.org/officeDocument/2006/relationships/hyperlink" Target="http://tos.mx/rIu7HW9" TargetMode="External"/><Relationship Id="rId142" Type="http://schemas.openxmlformats.org/officeDocument/2006/relationships/hyperlink" Target="http://tos.mx/WJMgwu2" TargetMode="External"/><Relationship Id="rId163" Type="http://schemas.openxmlformats.org/officeDocument/2006/relationships/hyperlink" Target="http://tos.mx/PBwbvIY" TargetMode="External"/><Relationship Id="rId184" Type="http://schemas.openxmlformats.org/officeDocument/2006/relationships/hyperlink" Target="http://tos.mx/N0Q5Ifd" TargetMode="External"/><Relationship Id="rId219" Type="http://schemas.openxmlformats.org/officeDocument/2006/relationships/hyperlink" Target="http://tos.mx/YCpAaiK" TargetMode="External"/><Relationship Id="rId230" Type="http://schemas.openxmlformats.org/officeDocument/2006/relationships/hyperlink" Target="http://tos.mx/Do33gG9" TargetMode="External"/><Relationship Id="rId251" Type="http://schemas.openxmlformats.org/officeDocument/2006/relationships/hyperlink" Target="http://tos.mx/QyLBrsh" TargetMode="External"/><Relationship Id="rId25" Type="http://schemas.openxmlformats.org/officeDocument/2006/relationships/hyperlink" Target="http://tos.mx/e1HTesa" TargetMode="External"/><Relationship Id="rId46" Type="http://schemas.openxmlformats.org/officeDocument/2006/relationships/hyperlink" Target="http://tos.mx/Gw3I1S1" TargetMode="External"/><Relationship Id="rId67" Type="http://schemas.openxmlformats.org/officeDocument/2006/relationships/hyperlink" Target="http://tos.mx/3F551mk" TargetMode="External"/><Relationship Id="rId272" Type="http://schemas.openxmlformats.org/officeDocument/2006/relationships/hyperlink" Target="http://tos.mx/F3aobHQ" TargetMode="External"/><Relationship Id="rId88" Type="http://schemas.openxmlformats.org/officeDocument/2006/relationships/hyperlink" Target="http://tos.mx/DwGKQz0" TargetMode="External"/><Relationship Id="rId111" Type="http://schemas.openxmlformats.org/officeDocument/2006/relationships/hyperlink" Target="http://tos.mx/OZsDomH" TargetMode="External"/><Relationship Id="rId132" Type="http://schemas.openxmlformats.org/officeDocument/2006/relationships/hyperlink" Target="http://tos.mx/3XK6T1U" TargetMode="External"/><Relationship Id="rId153" Type="http://schemas.openxmlformats.org/officeDocument/2006/relationships/hyperlink" Target="http://tos.mx/SN88TwL" TargetMode="External"/><Relationship Id="rId174" Type="http://schemas.openxmlformats.org/officeDocument/2006/relationships/hyperlink" Target="http://tos.mx/XIacE4h" TargetMode="External"/><Relationship Id="rId195" Type="http://schemas.openxmlformats.org/officeDocument/2006/relationships/hyperlink" Target="http://tos.mx/Iw7F8j1" TargetMode="External"/><Relationship Id="rId209" Type="http://schemas.openxmlformats.org/officeDocument/2006/relationships/hyperlink" Target="http://tos.mx/GzXjVCw" TargetMode="External"/><Relationship Id="rId220" Type="http://schemas.openxmlformats.org/officeDocument/2006/relationships/hyperlink" Target="http://tos.mx/QPzaHRF" TargetMode="External"/><Relationship Id="rId241" Type="http://schemas.openxmlformats.org/officeDocument/2006/relationships/hyperlink" Target="http://tos.mx/BCNtNJX" TargetMode="External"/><Relationship Id="rId15" Type="http://schemas.openxmlformats.org/officeDocument/2006/relationships/hyperlink" Target="http://tos.mx/ogtJI6E" TargetMode="External"/><Relationship Id="rId36" Type="http://schemas.openxmlformats.org/officeDocument/2006/relationships/hyperlink" Target="http://tos.mx/9gawbp0" TargetMode="External"/><Relationship Id="rId57" Type="http://schemas.openxmlformats.org/officeDocument/2006/relationships/hyperlink" Target="http://tos.mx/AIgvQ0U" TargetMode="External"/><Relationship Id="rId262" Type="http://schemas.openxmlformats.org/officeDocument/2006/relationships/hyperlink" Target="http://tos.mx/wQntF2x" TargetMode="External"/><Relationship Id="rId78" Type="http://schemas.openxmlformats.org/officeDocument/2006/relationships/hyperlink" Target="http://tos.mx/bPf3LIq" TargetMode="External"/><Relationship Id="rId99" Type="http://schemas.openxmlformats.org/officeDocument/2006/relationships/hyperlink" Target="http://tos.mx/5RV1ma4" TargetMode="External"/><Relationship Id="rId101" Type="http://schemas.openxmlformats.org/officeDocument/2006/relationships/hyperlink" Target="..\AppData\Broken%20Down%20Trading%20Charts\LIZI_12_3_2020_MarkedUp.png" TargetMode="External"/><Relationship Id="rId122" Type="http://schemas.openxmlformats.org/officeDocument/2006/relationships/hyperlink" Target="http://tos.mx/0exM37l" TargetMode="External"/><Relationship Id="rId143" Type="http://schemas.openxmlformats.org/officeDocument/2006/relationships/hyperlink" Target="http://tos.mx/W7Kq4tQ" TargetMode="External"/><Relationship Id="rId164" Type="http://schemas.openxmlformats.org/officeDocument/2006/relationships/hyperlink" Target="http://tos.mx/2uatZ5B" TargetMode="External"/><Relationship Id="rId185" Type="http://schemas.openxmlformats.org/officeDocument/2006/relationships/hyperlink" Target="http://tos.mx/AFfTS3C" TargetMode="External"/><Relationship Id="rId9" Type="http://schemas.openxmlformats.org/officeDocument/2006/relationships/hyperlink" Target="http://tos.mx/zDQIPae" TargetMode="External"/><Relationship Id="rId210" Type="http://schemas.openxmlformats.org/officeDocument/2006/relationships/hyperlink" Target="http://tos.mx/88Odmpx" TargetMode="External"/><Relationship Id="rId26" Type="http://schemas.openxmlformats.org/officeDocument/2006/relationships/hyperlink" Target="http://tos.mx/blwRHVC" TargetMode="External"/><Relationship Id="rId231" Type="http://schemas.openxmlformats.org/officeDocument/2006/relationships/hyperlink" Target="http://tos.mx/xahEnEe" TargetMode="External"/><Relationship Id="rId252" Type="http://schemas.openxmlformats.org/officeDocument/2006/relationships/hyperlink" Target="http://tos.mx/vRIcCh7" TargetMode="External"/><Relationship Id="rId273" Type="http://schemas.openxmlformats.org/officeDocument/2006/relationships/printerSettings" Target="../printerSettings/printerSettings1.bin"/><Relationship Id="rId47" Type="http://schemas.openxmlformats.org/officeDocument/2006/relationships/hyperlink" Target="http://tos.mx/OPKTsi0" TargetMode="External"/><Relationship Id="rId68" Type="http://schemas.openxmlformats.org/officeDocument/2006/relationships/hyperlink" Target="http://tos.mx/gtgBO1o" TargetMode="External"/><Relationship Id="rId89" Type="http://schemas.openxmlformats.org/officeDocument/2006/relationships/hyperlink" Target="http://tos.mx/wF6EMXp" TargetMode="External"/><Relationship Id="rId112" Type="http://schemas.openxmlformats.org/officeDocument/2006/relationships/hyperlink" Target="http://tos.mx/K00KVNF" TargetMode="External"/><Relationship Id="rId133" Type="http://schemas.openxmlformats.org/officeDocument/2006/relationships/hyperlink" Target="http://tos.mx/maV3y1r" TargetMode="External"/><Relationship Id="rId154" Type="http://schemas.openxmlformats.org/officeDocument/2006/relationships/hyperlink" Target="http://tos.mx/JvyLUsO" TargetMode="External"/><Relationship Id="rId175" Type="http://schemas.openxmlformats.org/officeDocument/2006/relationships/hyperlink" Target="http://tos.mx/YEwked9" TargetMode="External"/><Relationship Id="rId196" Type="http://schemas.openxmlformats.org/officeDocument/2006/relationships/hyperlink" Target="http://tos.mx/VHxPBoN" TargetMode="External"/><Relationship Id="rId200" Type="http://schemas.openxmlformats.org/officeDocument/2006/relationships/hyperlink" Target="http://tos.mx/o4QsBJf" TargetMode="External"/><Relationship Id="rId16" Type="http://schemas.openxmlformats.org/officeDocument/2006/relationships/hyperlink" Target="http://tos.mx/l9HSl1e" TargetMode="External"/><Relationship Id="rId221" Type="http://schemas.openxmlformats.org/officeDocument/2006/relationships/hyperlink" Target="http://tos.mx/kLCW3jI" TargetMode="External"/><Relationship Id="rId242" Type="http://schemas.openxmlformats.org/officeDocument/2006/relationships/hyperlink" Target="http://tos.mx/aLVR4xh" TargetMode="External"/><Relationship Id="rId263" Type="http://schemas.openxmlformats.org/officeDocument/2006/relationships/hyperlink" Target="http://tos.mx/hKiZhiU" TargetMode="External"/><Relationship Id="rId37" Type="http://schemas.openxmlformats.org/officeDocument/2006/relationships/hyperlink" Target="http://tos.mx/FXCznb7" TargetMode="External"/><Relationship Id="rId58" Type="http://schemas.openxmlformats.org/officeDocument/2006/relationships/hyperlink" Target="http://tos.mx/ALGx9Y4" TargetMode="External"/><Relationship Id="rId79" Type="http://schemas.openxmlformats.org/officeDocument/2006/relationships/hyperlink" Target="http://tos.mx/ijs9Rh8" TargetMode="External"/><Relationship Id="rId102" Type="http://schemas.openxmlformats.org/officeDocument/2006/relationships/hyperlink" Target="http://tos.mx/63aZHfz" TargetMode="External"/><Relationship Id="rId123" Type="http://schemas.openxmlformats.org/officeDocument/2006/relationships/hyperlink" Target="http://tos.mx/f2xqvr0" TargetMode="External"/><Relationship Id="rId144" Type="http://schemas.openxmlformats.org/officeDocument/2006/relationships/hyperlink" Target="http://tos.mx/qLJcHG6" TargetMode="External"/><Relationship Id="rId90" Type="http://schemas.openxmlformats.org/officeDocument/2006/relationships/hyperlink" Target="http://tos.mx/0Shgtix" TargetMode="External"/><Relationship Id="rId165" Type="http://schemas.openxmlformats.org/officeDocument/2006/relationships/hyperlink" Target="http://tos.mx/FbYgWT3" TargetMode="External"/><Relationship Id="rId186" Type="http://schemas.openxmlformats.org/officeDocument/2006/relationships/hyperlink" Target="http://tos.mx/UmUaqJr" TargetMode="External"/><Relationship Id="rId211" Type="http://schemas.openxmlformats.org/officeDocument/2006/relationships/hyperlink" Target="http://tos.mx/8FpLsk6" TargetMode="External"/><Relationship Id="rId232" Type="http://schemas.openxmlformats.org/officeDocument/2006/relationships/hyperlink" Target="http://tos.mx/7h93TQQ" TargetMode="External"/><Relationship Id="rId253" Type="http://schemas.openxmlformats.org/officeDocument/2006/relationships/hyperlink" Target="http://tos.mx/qTMHSxl" TargetMode="External"/><Relationship Id="rId274" Type="http://schemas.openxmlformats.org/officeDocument/2006/relationships/vmlDrawing" Target="../drawings/vmlDrawing1.vml"/><Relationship Id="rId27" Type="http://schemas.openxmlformats.org/officeDocument/2006/relationships/hyperlink" Target="http://tos.mx/t02IWEk" TargetMode="External"/><Relationship Id="rId48" Type="http://schemas.openxmlformats.org/officeDocument/2006/relationships/hyperlink" Target="http://tos.mx/s8JeHEs" TargetMode="External"/><Relationship Id="rId69" Type="http://schemas.openxmlformats.org/officeDocument/2006/relationships/hyperlink" Target="http://tos.mx/5zGutQc" TargetMode="External"/><Relationship Id="rId113" Type="http://schemas.openxmlformats.org/officeDocument/2006/relationships/hyperlink" Target="http://tos.mx/A4kpBGm" TargetMode="External"/><Relationship Id="rId134" Type="http://schemas.openxmlformats.org/officeDocument/2006/relationships/hyperlink" Target="http://tos.mx/lhK9YC0" TargetMode="External"/><Relationship Id="rId80" Type="http://schemas.openxmlformats.org/officeDocument/2006/relationships/hyperlink" Target="http://tos.mx/n8Q6paz" TargetMode="External"/><Relationship Id="rId155" Type="http://schemas.openxmlformats.org/officeDocument/2006/relationships/hyperlink" Target="http://tos.mx/YaM6SVt" TargetMode="External"/><Relationship Id="rId176" Type="http://schemas.openxmlformats.org/officeDocument/2006/relationships/hyperlink" Target="http://tos.mx/7ZZABni" TargetMode="External"/><Relationship Id="rId197" Type="http://schemas.openxmlformats.org/officeDocument/2006/relationships/hyperlink" Target="http://tos.mx/rmpVJbt" TargetMode="External"/><Relationship Id="rId201" Type="http://schemas.openxmlformats.org/officeDocument/2006/relationships/hyperlink" Target="http://tos.mx/q0VMbNr" TargetMode="External"/><Relationship Id="rId222" Type="http://schemas.openxmlformats.org/officeDocument/2006/relationships/hyperlink" Target="http://tos.mx/PlZsqd0" TargetMode="External"/><Relationship Id="rId243" Type="http://schemas.openxmlformats.org/officeDocument/2006/relationships/hyperlink" Target="http://tos.mx/7nMf7uz" TargetMode="External"/><Relationship Id="rId264" Type="http://schemas.openxmlformats.org/officeDocument/2006/relationships/hyperlink" Target="http://tos.mx/u3cnWYE" TargetMode="External"/><Relationship Id="rId17" Type="http://schemas.openxmlformats.org/officeDocument/2006/relationships/hyperlink" Target="http://tos.mx/wgeMQjX" TargetMode="External"/><Relationship Id="rId38" Type="http://schemas.openxmlformats.org/officeDocument/2006/relationships/hyperlink" Target="http://tos.mx/2xJkQ1r" TargetMode="External"/><Relationship Id="rId59" Type="http://schemas.openxmlformats.org/officeDocument/2006/relationships/hyperlink" Target="http://tos.mx/r65xX7P" TargetMode="External"/><Relationship Id="rId103" Type="http://schemas.openxmlformats.org/officeDocument/2006/relationships/hyperlink" Target="http://tos.mx/d3OJhOd" TargetMode="External"/><Relationship Id="rId124" Type="http://schemas.openxmlformats.org/officeDocument/2006/relationships/hyperlink" Target="http://tos.mx/pM4ni6d" TargetMode="External"/><Relationship Id="rId70" Type="http://schemas.openxmlformats.org/officeDocument/2006/relationships/hyperlink" Target="http://tos.mx/l0eNXAA" TargetMode="External"/><Relationship Id="rId91" Type="http://schemas.openxmlformats.org/officeDocument/2006/relationships/hyperlink" Target="http://tos.mx/PwBTl7k" TargetMode="External"/><Relationship Id="rId145" Type="http://schemas.openxmlformats.org/officeDocument/2006/relationships/hyperlink" Target="http://tos.mx/VMP5u8q" TargetMode="External"/><Relationship Id="rId166" Type="http://schemas.openxmlformats.org/officeDocument/2006/relationships/hyperlink" Target="http://tos.mx/8W7KxeZ" TargetMode="External"/><Relationship Id="rId187" Type="http://schemas.openxmlformats.org/officeDocument/2006/relationships/hyperlink" Target="http://tos.mx/RQxb83l" TargetMode="External"/><Relationship Id="rId1" Type="http://schemas.openxmlformats.org/officeDocument/2006/relationships/hyperlink" Target="http://tos.mx/2OiVQ9r" TargetMode="External"/><Relationship Id="rId212" Type="http://schemas.openxmlformats.org/officeDocument/2006/relationships/hyperlink" Target="http://tos.mx/Ke5xYDt" TargetMode="External"/><Relationship Id="rId233" Type="http://schemas.openxmlformats.org/officeDocument/2006/relationships/hyperlink" Target="http://tos.mx/9rrne2J" TargetMode="External"/><Relationship Id="rId254" Type="http://schemas.openxmlformats.org/officeDocument/2006/relationships/hyperlink" Target="http://tos.mx/VBRqEFz" TargetMode="External"/><Relationship Id="rId28" Type="http://schemas.openxmlformats.org/officeDocument/2006/relationships/hyperlink" Target="http://tos.mx/uBewgND" TargetMode="External"/><Relationship Id="rId49" Type="http://schemas.openxmlformats.org/officeDocument/2006/relationships/hyperlink" Target="http://tos.mx/zZzgiBp" TargetMode="External"/><Relationship Id="rId114" Type="http://schemas.openxmlformats.org/officeDocument/2006/relationships/hyperlink" Target="http://tos.mx/jspUOBY" TargetMode="External"/><Relationship Id="rId275" Type="http://schemas.openxmlformats.org/officeDocument/2006/relationships/table" Target="../tables/table1.xml"/><Relationship Id="rId60" Type="http://schemas.openxmlformats.org/officeDocument/2006/relationships/hyperlink" Target="http://tos.mx/hmiXZ5e" TargetMode="External"/><Relationship Id="rId81" Type="http://schemas.openxmlformats.org/officeDocument/2006/relationships/hyperlink" Target="http://tos.mx/OKbVL6A" TargetMode="External"/><Relationship Id="rId135" Type="http://schemas.openxmlformats.org/officeDocument/2006/relationships/hyperlink" Target="http://tos.mx/iroNQR3" TargetMode="External"/><Relationship Id="rId156" Type="http://schemas.openxmlformats.org/officeDocument/2006/relationships/hyperlink" Target="http://tos.mx/Tno8hxt" TargetMode="External"/><Relationship Id="rId177" Type="http://schemas.openxmlformats.org/officeDocument/2006/relationships/hyperlink" Target="http://tos.mx/Dnat0ET" TargetMode="External"/><Relationship Id="rId198" Type="http://schemas.openxmlformats.org/officeDocument/2006/relationships/hyperlink" Target="http://tos.mx/MO7ZoJI" TargetMode="External"/><Relationship Id="rId202" Type="http://schemas.openxmlformats.org/officeDocument/2006/relationships/hyperlink" Target="http://tos.mx/Wr4dUq5" TargetMode="External"/><Relationship Id="rId223" Type="http://schemas.openxmlformats.org/officeDocument/2006/relationships/hyperlink" Target="http://tos.mx/JcZmD3f" TargetMode="External"/><Relationship Id="rId244" Type="http://schemas.openxmlformats.org/officeDocument/2006/relationships/hyperlink" Target="http://tos.mx/M151FbC" TargetMode="External"/><Relationship Id="rId18" Type="http://schemas.openxmlformats.org/officeDocument/2006/relationships/hyperlink" Target="http://tos.mx/IyFxlBL" TargetMode="External"/><Relationship Id="rId39" Type="http://schemas.openxmlformats.org/officeDocument/2006/relationships/hyperlink" Target="http://tos.mx/QXnUOvR" TargetMode="External"/><Relationship Id="rId265" Type="http://schemas.openxmlformats.org/officeDocument/2006/relationships/hyperlink" Target="http://tos.mx/4eqhMHP" TargetMode="External"/><Relationship Id="rId50" Type="http://schemas.openxmlformats.org/officeDocument/2006/relationships/hyperlink" Target="http://tos.mx/hlf2Jcw" TargetMode="External"/><Relationship Id="rId104" Type="http://schemas.openxmlformats.org/officeDocument/2006/relationships/hyperlink" Target="http://tos.mx/lHeGHuG" TargetMode="External"/><Relationship Id="rId125" Type="http://schemas.openxmlformats.org/officeDocument/2006/relationships/hyperlink" Target="http://tos.mx/YNgoHxg" TargetMode="External"/><Relationship Id="rId146" Type="http://schemas.openxmlformats.org/officeDocument/2006/relationships/hyperlink" Target="http://tos.mx/y17PqUZ" TargetMode="External"/><Relationship Id="rId167" Type="http://schemas.openxmlformats.org/officeDocument/2006/relationships/hyperlink" Target="http://tos.mx/NzT9lQP" TargetMode="External"/><Relationship Id="rId188" Type="http://schemas.openxmlformats.org/officeDocument/2006/relationships/hyperlink" Target="http://tos.mx/skdd3ze" TargetMode="External"/><Relationship Id="rId71" Type="http://schemas.openxmlformats.org/officeDocument/2006/relationships/hyperlink" Target="http://tos.mx/R6pFtAS" TargetMode="External"/><Relationship Id="rId92" Type="http://schemas.openxmlformats.org/officeDocument/2006/relationships/hyperlink" Target="http://tos.mx/mtrqH0i" TargetMode="External"/><Relationship Id="rId213" Type="http://schemas.openxmlformats.org/officeDocument/2006/relationships/hyperlink" Target="http://tos.mx/HCKdbci" TargetMode="External"/><Relationship Id="rId234" Type="http://schemas.openxmlformats.org/officeDocument/2006/relationships/hyperlink" Target="http://tos.mx/yqxm32u" TargetMode="External"/><Relationship Id="rId2" Type="http://schemas.openxmlformats.org/officeDocument/2006/relationships/hyperlink" Target="http://tos.mx/4A2pWbH" TargetMode="External"/><Relationship Id="rId29" Type="http://schemas.openxmlformats.org/officeDocument/2006/relationships/hyperlink" Target="http://tos.mx/UuIkzhe" TargetMode="External"/><Relationship Id="rId255" Type="http://schemas.openxmlformats.org/officeDocument/2006/relationships/hyperlink" Target="http://tos.mx/lpFdSxT" TargetMode="External"/><Relationship Id="rId276" Type="http://schemas.openxmlformats.org/officeDocument/2006/relationships/comments" Target="../comments1.xml"/><Relationship Id="rId40" Type="http://schemas.openxmlformats.org/officeDocument/2006/relationships/hyperlink" Target="http://tos.mx/C9NZ6Sg" TargetMode="External"/><Relationship Id="rId115" Type="http://schemas.openxmlformats.org/officeDocument/2006/relationships/hyperlink" Target="http://tos.mx/0c0uhlf" TargetMode="External"/><Relationship Id="rId136" Type="http://schemas.openxmlformats.org/officeDocument/2006/relationships/hyperlink" Target="http://tos.mx/ZhouUSA" TargetMode="External"/><Relationship Id="rId157" Type="http://schemas.openxmlformats.org/officeDocument/2006/relationships/hyperlink" Target="http://tos.mx/E29TbYR" TargetMode="External"/><Relationship Id="rId178" Type="http://schemas.openxmlformats.org/officeDocument/2006/relationships/hyperlink" Target="http://tos.mx/GwajoTK" TargetMode="External"/><Relationship Id="rId61" Type="http://schemas.openxmlformats.org/officeDocument/2006/relationships/hyperlink" Target="http://tos.mx/kdyXH11" TargetMode="External"/><Relationship Id="rId82" Type="http://schemas.openxmlformats.org/officeDocument/2006/relationships/hyperlink" Target="http://tos.mx/iavHBDT" TargetMode="External"/><Relationship Id="rId199" Type="http://schemas.openxmlformats.org/officeDocument/2006/relationships/hyperlink" Target="http://tos.mx/iHZS2sy" TargetMode="External"/><Relationship Id="rId203" Type="http://schemas.openxmlformats.org/officeDocument/2006/relationships/hyperlink" Target="http://tos.mx/TtAl35h" TargetMode="External"/><Relationship Id="rId19" Type="http://schemas.openxmlformats.org/officeDocument/2006/relationships/hyperlink" Target="http://tos.mx/cu8M3kQ" TargetMode="External"/><Relationship Id="rId224" Type="http://schemas.openxmlformats.org/officeDocument/2006/relationships/hyperlink" Target="http://tos.mx/SacMByU" TargetMode="External"/><Relationship Id="rId245" Type="http://schemas.openxmlformats.org/officeDocument/2006/relationships/hyperlink" Target="http://tos.mx/rl0VcKO" TargetMode="External"/><Relationship Id="rId266" Type="http://schemas.openxmlformats.org/officeDocument/2006/relationships/hyperlink" Target="http://tos.mx/WPzMHUY" TargetMode="External"/><Relationship Id="rId30" Type="http://schemas.openxmlformats.org/officeDocument/2006/relationships/hyperlink" Target="http://tos.mx/NMQNpqY" TargetMode="External"/><Relationship Id="rId105" Type="http://schemas.openxmlformats.org/officeDocument/2006/relationships/hyperlink" Target="http://tos.mx/0GjDvu4" TargetMode="External"/><Relationship Id="rId126" Type="http://schemas.openxmlformats.org/officeDocument/2006/relationships/hyperlink" Target="http://tos.mx/DotIwag" TargetMode="External"/><Relationship Id="rId147" Type="http://schemas.openxmlformats.org/officeDocument/2006/relationships/hyperlink" Target="http://tos.mx/qUgkWmb" TargetMode="External"/><Relationship Id="rId168" Type="http://schemas.openxmlformats.org/officeDocument/2006/relationships/hyperlink" Target="http://tos.mx/lStbq10" TargetMode="External"/><Relationship Id="rId51" Type="http://schemas.openxmlformats.org/officeDocument/2006/relationships/hyperlink" Target="http://tos.mx/xGFeBXj" TargetMode="External"/><Relationship Id="rId72" Type="http://schemas.openxmlformats.org/officeDocument/2006/relationships/hyperlink" Target="http://tos.mx/1pFVXB5" TargetMode="External"/><Relationship Id="rId93" Type="http://schemas.openxmlformats.org/officeDocument/2006/relationships/hyperlink" Target="http://tos.mx/EixnGPZ" TargetMode="External"/><Relationship Id="rId189" Type="http://schemas.openxmlformats.org/officeDocument/2006/relationships/hyperlink" Target="http://tos.mx/tiXbIaN" TargetMode="External"/><Relationship Id="rId3" Type="http://schemas.openxmlformats.org/officeDocument/2006/relationships/hyperlink" Target="http://tos.mx/rVAOnfH" TargetMode="External"/><Relationship Id="rId214" Type="http://schemas.openxmlformats.org/officeDocument/2006/relationships/hyperlink" Target="http://tos.mx/gdLuUqh" TargetMode="External"/><Relationship Id="rId235" Type="http://schemas.openxmlformats.org/officeDocument/2006/relationships/hyperlink" Target="http://tos.mx/7jIXeOR" TargetMode="External"/><Relationship Id="rId256" Type="http://schemas.openxmlformats.org/officeDocument/2006/relationships/hyperlink" Target="http://tos.mx/q9xqhBH" TargetMode="External"/><Relationship Id="rId277" Type="http://schemas.microsoft.com/office/2017/10/relationships/threadedComment" Target="../threadedComments/threadedComment1.xml"/><Relationship Id="rId116" Type="http://schemas.openxmlformats.org/officeDocument/2006/relationships/hyperlink" Target="http://tos.mx/w92fEjd" TargetMode="External"/><Relationship Id="rId137" Type="http://schemas.openxmlformats.org/officeDocument/2006/relationships/hyperlink" Target="http://tos.mx/Q6IH8cJ" TargetMode="External"/><Relationship Id="rId158" Type="http://schemas.openxmlformats.org/officeDocument/2006/relationships/hyperlink" Target="http://tos.mx/sGtr7OW" TargetMode="External"/><Relationship Id="rId20" Type="http://schemas.openxmlformats.org/officeDocument/2006/relationships/hyperlink" Target="http://tos.mx/OD8Xjou" TargetMode="External"/><Relationship Id="rId41" Type="http://schemas.openxmlformats.org/officeDocument/2006/relationships/hyperlink" Target="http://tos.mx/5IgzJKG" TargetMode="External"/><Relationship Id="rId62" Type="http://schemas.openxmlformats.org/officeDocument/2006/relationships/hyperlink" Target="http://tos.mx/zCZR4L1" TargetMode="External"/><Relationship Id="rId83" Type="http://schemas.openxmlformats.org/officeDocument/2006/relationships/hyperlink" Target="http://tos.mx/s2MVN5C" TargetMode="External"/><Relationship Id="rId179" Type="http://schemas.openxmlformats.org/officeDocument/2006/relationships/hyperlink" Target="http://tos.mx/iaIuUcv" TargetMode="External"/><Relationship Id="rId190" Type="http://schemas.openxmlformats.org/officeDocument/2006/relationships/hyperlink" Target="http://tos.mx/i2pFAZK" TargetMode="External"/><Relationship Id="rId204" Type="http://schemas.openxmlformats.org/officeDocument/2006/relationships/hyperlink" Target="http://tos.mx/vLEyqQe" TargetMode="External"/><Relationship Id="rId225" Type="http://schemas.openxmlformats.org/officeDocument/2006/relationships/hyperlink" Target="http://tos.mx/cJpSPPF" TargetMode="External"/><Relationship Id="rId246" Type="http://schemas.openxmlformats.org/officeDocument/2006/relationships/hyperlink" Target="http://tos.mx/jrmsg3u" TargetMode="External"/><Relationship Id="rId267" Type="http://schemas.openxmlformats.org/officeDocument/2006/relationships/hyperlink" Target="http://tos.mx/RIqDgKj" TargetMode="External"/><Relationship Id="rId106" Type="http://schemas.openxmlformats.org/officeDocument/2006/relationships/hyperlink" Target="../AppData/Broken%20Down%20Trading%20Charts/GTEC_12_7_20_MARKEDUP.png" TargetMode="External"/><Relationship Id="rId127" Type="http://schemas.openxmlformats.org/officeDocument/2006/relationships/hyperlink" Target="http://tos.mx/QDKpY71" TargetMode="External"/><Relationship Id="rId10" Type="http://schemas.openxmlformats.org/officeDocument/2006/relationships/hyperlink" Target="http://tos.mx/PLEmOpP" TargetMode="External"/><Relationship Id="rId31" Type="http://schemas.openxmlformats.org/officeDocument/2006/relationships/hyperlink" Target="http://tos.mx/0sVltX7" TargetMode="External"/><Relationship Id="rId52" Type="http://schemas.openxmlformats.org/officeDocument/2006/relationships/hyperlink" Target="http://tos.mx/ClK7LIx" TargetMode="External"/><Relationship Id="rId73" Type="http://schemas.openxmlformats.org/officeDocument/2006/relationships/hyperlink" Target="http://tos.mx/Rk4hcIH" TargetMode="External"/><Relationship Id="rId94" Type="http://schemas.openxmlformats.org/officeDocument/2006/relationships/hyperlink" Target="http://tos.mx/y2kpKYp" TargetMode="External"/><Relationship Id="rId148" Type="http://schemas.openxmlformats.org/officeDocument/2006/relationships/hyperlink" Target="http://tos.mx/45rsFqs" TargetMode="External"/><Relationship Id="rId169" Type="http://schemas.openxmlformats.org/officeDocument/2006/relationships/hyperlink" Target="http://tos.mx/BF2Vfli" TargetMode="External"/><Relationship Id="rId4" Type="http://schemas.openxmlformats.org/officeDocument/2006/relationships/hyperlink" Target="http://tos.mx/6nvSLTW" TargetMode="External"/><Relationship Id="rId180" Type="http://schemas.openxmlformats.org/officeDocument/2006/relationships/hyperlink" Target="http://tos.mx/XdcXg5z" TargetMode="External"/><Relationship Id="rId215" Type="http://schemas.openxmlformats.org/officeDocument/2006/relationships/hyperlink" Target="http://tos.mx/abcm06k" TargetMode="External"/><Relationship Id="rId236" Type="http://schemas.openxmlformats.org/officeDocument/2006/relationships/hyperlink" Target="http://tos.mx/bAYWuzo" TargetMode="External"/><Relationship Id="rId257" Type="http://schemas.openxmlformats.org/officeDocument/2006/relationships/hyperlink" Target="http://tos.mx/HLDKTYy" TargetMode="External"/><Relationship Id="rId42" Type="http://schemas.openxmlformats.org/officeDocument/2006/relationships/hyperlink" Target="http://tos.mx/gX2fSSD" TargetMode="External"/><Relationship Id="rId84" Type="http://schemas.openxmlformats.org/officeDocument/2006/relationships/hyperlink" Target="http://tos.mx/naNqtpm" TargetMode="External"/><Relationship Id="rId138" Type="http://schemas.openxmlformats.org/officeDocument/2006/relationships/hyperlink" Target="http://tos.mx/TY5NEMh" TargetMode="External"/><Relationship Id="rId191" Type="http://schemas.openxmlformats.org/officeDocument/2006/relationships/hyperlink" Target="http://tos.mx/euZbAiq" TargetMode="External"/><Relationship Id="rId205" Type="http://schemas.openxmlformats.org/officeDocument/2006/relationships/hyperlink" Target="http://tos.mx/N85EDLo" TargetMode="External"/><Relationship Id="rId247" Type="http://schemas.openxmlformats.org/officeDocument/2006/relationships/hyperlink" Target="http://tos.mx/tapsSmm" TargetMode="External"/><Relationship Id="rId107" Type="http://schemas.openxmlformats.org/officeDocument/2006/relationships/hyperlink" Target="../AppData/Broken%20Down%20Trading%20Charts/CRIS_12_8_2020_MARKEDUP.png" TargetMode="External"/><Relationship Id="rId11" Type="http://schemas.openxmlformats.org/officeDocument/2006/relationships/hyperlink" Target="http://tos.mx/kKTI1pL" TargetMode="External"/><Relationship Id="rId53" Type="http://schemas.openxmlformats.org/officeDocument/2006/relationships/hyperlink" Target="http://tos.mx/sNTvQpz" TargetMode="External"/><Relationship Id="rId149" Type="http://schemas.openxmlformats.org/officeDocument/2006/relationships/hyperlink" Target="http://tos.mx/ECbDLdV" TargetMode="External"/><Relationship Id="rId95" Type="http://schemas.openxmlformats.org/officeDocument/2006/relationships/hyperlink" Target="http://tos.mx/Qjf7lR7" TargetMode="External"/><Relationship Id="rId160" Type="http://schemas.openxmlformats.org/officeDocument/2006/relationships/hyperlink" Target="http://tos.mx/ZV6dCeD" TargetMode="External"/><Relationship Id="rId216" Type="http://schemas.openxmlformats.org/officeDocument/2006/relationships/hyperlink" Target="http://tos.mx/KSUc4W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tos.mx/iaIuUcv" TargetMode="External"/><Relationship Id="rId21" Type="http://schemas.openxmlformats.org/officeDocument/2006/relationships/hyperlink" Target="http://tos.mx/0sVltX7" TargetMode="External"/><Relationship Id="rId42" Type="http://schemas.openxmlformats.org/officeDocument/2006/relationships/hyperlink" Target="http://tos.mx/hmiXZ5e" TargetMode="External"/><Relationship Id="rId63" Type="http://schemas.openxmlformats.org/officeDocument/2006/relationships/hyperlink" Target="http://tos.mx/hTeQD3K" TargetMode="External"/><Relationship Id="rId84" Type="http://schemas.openxmlformats.org/officeDocument/2006/relationships/hyperlink" Target="http://tos.mx/3XK6T1U" TargetMode="External"/><Relationship Id="rId138" Type="http://schemas.openxmlformats.org/officeDocument/2006/relationships/hyperlink" Target="http://tos.mx/Ke5xYDt" TargetMode="External"/><Relationship Id="rId159" Type="http://schemas.openxmlformats.org/officeDocument/2006/relationships/hyperlink" Target="http://tos.mx/srSqFeG" TargetMode="External"/><Relationship Id="rId170" Type="http://schemas.openxmlformats.org/officeDocument/2006/relationships/hyperlink" Target="http://tos.mx/qTMHSxl" TargetMode="External"/><Relationship Id="rId107" Type="http://schemas.openxmlformats.org/officeDocument/2006/relationships/hyperlink" Target="http://tos.mx/8W7KxeZ" TargetMode="External"/><Relationship Id="rId11" Type="http://schemas.openxmlformats.org/officeDocument/2006/relationships/hyperlink" Target="http://tos.mx/l9HSl1e" TargetMode="External"/><Relationship Id="rId32" Type="http://schemas.openxmlformats.org/officeDocument/2006/relationships/hyperlink" Target="http://tos.mx/OPKTsi0" TargetMode="External"/><Relationship Id="rId53" Type="http://schemas.openxmlformats.org/officeDocument/2006/relationships/hyperlink" Target="http://tos.mx/bPf3LIq" TargetMode="External"/><Relationship Id="rId74" Type="http://schemas.openxmlformats.org/officeDocument/2006/relationships/hyperlink" Target="http://tos.mx/0c0uhlf" TargetMode="External"/><Relationship Id="rId128" Type="http://schemas.openxmlformats.org/officeDocument/2006/relationships/hyperlink" Target="http://tos.mx/zn6o04j" TargetMode="External"/><Relationship Id="rId149" Type="http://schemas.openxmlformats.org/officeDocument/2006/relationships/hyperlink" Target="http://tos.mx/9OD6I1Y" TargetMode="External"/><Relationship Id="rId5" Type="http://schemas.openxmlformats.org/officeDocument/2006/relationships/hyperlink" Target="http://tos.mx/WYAsZSL" TargetMode="External"/><Relationship Id="rId95" Type="http://schemas.openxmlformats.org/officeDocument/2006/relationships/hyperlink" Target="http://tos.mx/UfDopNj" TargetMode="External"/><Relationship Id="rId160" Type="http://schemas.openxmlformats.org/officeDocument/2006/relationships/hyperlink" Target="http://tos.mx/vPx5L0j" TargetMode="External"/><Relationship Id="rId181" Type="http://schemas.openxmlformats.org/officeDocument/2006/relationships/hyperlink" Target="http://tos.mx/JNwBZMb" TargetMode="External"/><Relationship Id="rId22" Type="http://schemas.openxmlformats.org/officeDocument/2006/relationships/hyperlink" Target="http://tos.mx/rP2gQcz" TargetMode="External"/><Relationship Id="rId43" Type="http://schemas.openxmlformats.org/officeDocument/2006/relationships/hyperlink" Target="http://tos.mx/tEx3xJB" TargetMode="External"/><Relationship Id="rId64" Type="http://schemas.openxmlformats.org/officeDocument/2006/relationships/hyperlink" Target="http://tos.mx/TJxiJVx" TargetMode="External"/><Relationship Id="rId118" Type="http://schemas.openxmlformats.org/officeDocument/2006/relationships/hyperlink" Target="http://tos.mx/XdcXg5z" TargetMode="External"/><Relationship Id="rId139" Type="http://schemas.openxmlformats.org/officeDocument/2006/relationships/hyperlink" Target="http://tos.mx/HCKdbci" TargetMode="External"/><Relationship Id="rId85" Type="http://schemas.openxmlformats.org/officeDocument/2006/relationships/hyperlink" Target="http://tos.mx/ZhouUSA" TargetMode="External"/><Relationship Id="rId150" Type="http://schemas.openxmlformats.org/officeDocument/2006/relationships/hyperlink" Target="http://tos.mx/CORNe3o" TargetMode="External"/><Relationship Id="rId171" Type="http://schemas.openxmlformats.org/officeDocument/2006/relationships/hyperlink" Target="http://tos.mx/VBRqEFz" TargetMode="External"/><Relationship Id="rId12" Type="http://schemas.openxmlformats.org/officeDocument/2006/relationships/hyperlink" Target="http://tos.mx/IyFxlBL" TargetMode="External"/><Relationship Id="rId33" Type="http://schemas.openxmlformats.org/officeDocument/2006/relationships/hyperlink" Target="http://tos.mx/s8JeHEs" TargetMode="External"/><Relationship Id="rId108" Type="http://schemas.openxmlformats.org/officeDocument/2006/relationships/hyperlink" Target="http://tos.mx/NzT9lQP" TargetMode="External"/><Relationship Id="rId129" Type="http://schemas.openxmlformats.org/officeDocument/2006/relationships/hyperlink" Target="http://tos.mx/Iw7F8j1" TargetMode="External"/><Relationship Id="rId54" Type="http://schemas.openxmlformats.org/officeDocument/2006/relationships/hyperlink" Target="http://tos.mx/ijs9Rh8" TargetMode="External"/><Relationship Id="rId75" Type="http://schemas.openxmlformats.org/officeDocument/2006/relationships/hyperlink" Target="http://tos.mx/w92fEjd" TargetMode="External"/><Relationship Id="rId96" Type="http://schemas.openxmlformats.org/officeDocument/2006/relationships/hyperlink" Target="http://tos.mx/SN88TwL" TargetMode="External"/><Relationship Id="rId140" Type="http://schemas.openxmlformats.org/officeDocument/2006/relationships/hyperlink" Target="http://tos.mx/gdLuUqh" TargetMode="External"/><Relationship Id="rId161" Type="http://schemas.openxmlformats.org/officeDocument/2006/relationships/hyperlink" Target="http://tos.mx/hAiGM30" TargetMode="External"/><Relationship Id="rId182" Type="http://schemas.openxmlformats.org/officeDocument/2006/relationships/hyperlink" Target="http://tos.mx/Wr4dUq5" TargetMode="External"/><Relationship Id="rId6" Type="http://schemas.openxmlformats.org/officeDocument/2006/relationships/hyperlink" Target="http://tos.mx/zDQIPae" TargetMode="External"/><Relationship Id="rId23" Type="http://schemas.openxmlformats.org/officeDocument/2006/relationships/hyperlink" Target="http://tos.mx/uwAPqJV" TargetMode="External"/><Relationship Id="rId119" Type="http://schemas.openxmlformats.org/officeDocument/2006/relationships/hyperlink" Target="http://tos.mx/uh9muWA" TargetMode="External"/><Relationship Id="rId44" Type="http://schemas.openxmlformats.org/officeDocument/2006/relationships/hyperlink" Target="http://tos.mx/osm4T7v" TargetMode="External"/><Relationship Id="rId65" Type="http://schemas.openxmlformats.org/officeDocument/2006/relationships/hyperlink" Target="http://tos.mx/5RV1ma4" TargetMode="External"/><Relationship Id="rId86" Type="http://schemas.openxmlformats.org/officeDocument/2006/relationships/hyperlink" Target="http://tos.mx/Q6IH8cJ" TargetMode="External"/><Relationship Id="rId130" Type="http://schemas.openxmlformats.org/officeDocument/2006/relationships/hyperlink" Target="http://tos.mx/MO7ZoJI" TargetMode="External"/><Relationship Id="rId151" Type="http://schemas.openxmlformats.org/officeDocument/2006/relationships/hyperlink" Target="http://tos.mx/kIKNzkF" TargetMode="External"/><Relationship Id="rId172" Type="http://schemas.openxmlformats.org/officeDocument/2006/relationships/hyperlink" Target="http://tos.mx/lpFdSxT" TargetMode="External"/><Relationship Id="rId13" Type="http://schemas.openxmlformats.org/officeDocument/2006/relationships/hyperlink" Target="http://tos.mx/cu8M3kQ" TargetMode="External"/><Relationship Id="rId18" Type="http://schemas.openxmlformats.org/officeDocument/2006/relationships/hyperlink" Target="http://tos.mx/uBewgND" TargetMode="External"/><Relationship Id="rId39" Type="http://schemas.openxmlformats.org/officeDocument/2006/relationships/hyperlink" Target="http://tos.mx/dbvJSJQ" TargetMode="External"/><Relationship Id="rId109" Type="http://schemas.openxmlformats.org/officeDocument/2006/relationships/hyperlink" Target="http://tos.mx/BF2Vfli" TargetMode="External"/><Relationship Id="rId34" Type="http://schemas.openxmlformats.org/officeDocument/2006/relationships/hyperlink" Target="http://tos.mx/zZzgiBp" TargetMode="External"/><Relationship Id="rId50" Type="http://schemas.openxmlformats.org/officeDocument/2006/relationships/hyperlink" Target="http://tos.mx/Rk4hcIH" TargetMode="External"/><Relationship Id="rId55" Type="http://schemas.openxmlformats.org/officeDocument/2006/relationships/hyperlink" Target="http://tos.mx/sXth9TD" TargetMode="External"/><Relationship Id="rId76" Type="http://schemas.openxmlformats.org/officeDocument/2006/relationships/hyperlink" Target="http://tos.mx/XbOKIXJ" TargetMode="External"/><Relationship Id="rId97" Type="http://schemas.openxmlformats.org/officeDocument/2006/relationships/hyperlink" Target="http://tos.mx/JvyLUsO" TargetMode="External"/><Relationship Id="rId104" Type="http://schemas.openxmlformats.org/officeDocument/2006/relationships/hyperlink" Target="http://tos.mx/bKRzGsd" TargetMode="External"/><Relationship Id="rId120" Type="http://schemas.openxmlformats.org/officeDocument/2006/relationships/hyperlink" Target="http://tos.mx/BLqhfUM" TargetMode="External"/><Relationship Id="rId125" Type="http://schemas.openxmlformats.org/officeDocument/2006/relationships/hyperlink" Target="http://tos.mx/skdd3ze" TargetMode="External"/><Relationship Id="rId141" Type="http://schemas.openxmlformats.org/officeDocument/2006/relationships/hyperlink" Target="http://tos.mx/KSUc4We" TargetMode="External"/><Relationship Id="rId146" Type="http://schemas.openxmlformats.org/officeDocument/2006/relationships/hyperlink" Target="http://tos.mx/JcZmD3f" TargetMode="External"/><Relationship Id="rId167" Type="http://schemas.openxmlformats.org/officeDocument/2006/relationships/hyperlink" Target="http://tos.mx/lukXdiB" TargetMode="External"/><Relationship Id="rId7" Type="http://schemas.openxmlformats.org/officeDocument/2006/relationships/hyperlink" Target="http://tos.mx/PLEmOpP" TargetMode="External"/><Relationship Id="rId71" Type="http://schemas.openxmlformats.org/officeDocument/2006/relationships/hyperlink" Target="http://tos.mx/K00KVNF" TargetMode="External"/><Relationship Id="rId92" Type="http://schemas.openxmlformats.org/officeDocument/2006/relationships/hyperlink" Target="http://tos.mx/VMP5u8q" TargetMode="External"/><Relationship Id="rId162" Type="http://schemas.openxmlformats.org/officeDocument/2006/relationships/hyperlink" Target="http://tos.mx/BCNtNJX" TargetMode="External"/><Relationship Id="rId183" Type="http://schemas.openxmlformats.org/officeDocument/2006/relationships/printerSettings" Target="../printerSettings/printerSettings2.bin"/><Relationship Id="rId2" Type="http://schemas.openxmlformats.org/officeDocument/2006/relationships/hyperlink" Target="http://tos.mx/HIQs0Tw" TargetMode="External"/><Relationship Id="rId29" Type="http://schemas.openxmlformats.org/officeDocument/2006/relationships/hyperlink" Target="http://tos.mx/5IgzJKG" TargetMode="External"/><Relationship Id="rId24" Type="http://schemas.openxmlformats.org/officeDocument/2006/relationships/hyperlink" Target="http://tos.mx/Wgf9v4y" TargetMode="External"/><Relationship Id="rId40" Type="http://schemas.openxmlformats.org/officeDocument/2006/relationships/hyperlink" Target="https://tos.mx/125Py5a" TargetMode="External"/><Relationship Id="rId45" Type="http://schemas.openxmlformats.org/officeDocument/2006/relationships/hyperlink" Target="http://tos.mx/La9CxYF" TargetMode="External"/><Relationship Id="rId66" Type="http://schemas.openxmlformats.org/officeDocument/2006/relationships/hyperlink" Target="../AppData/Broken%20Down%20Trading%20Charts/PPSI_12_4_2020_MARKEDUP.png" TargetMode="External"/><Relationship Id="rId87" Type="http://schemas.openxmlformats.org/officeDocument/2006/relationships/hyperlink" Target="http://tos.mx/TY5NEMh" TargetMode="External"/><Relationship Id="rId110" Type="http://schemas.openxmlformats.org/officeDocument/2006/relationships/hyperlink" Target="http://tos.mx/yVWFeyH" TargetMode="External"/><Relationship Id="rId115" Type="http://schemas.openxmlformats.org/officeDocument/2006/relationships/hyperlink" Target="http://tos.mx/7ZZABni" TargetMode="External"/><Relationship Id="rId131" Type="http://schemas.openxmlformats.org/officeDocument/2006/relationships/hyperlink" Target="http://tos.mx/iHZS2sy" TargetMode="External"/><Relationship Id="rId136" Type="http://schemas.openxmlformats.org/officeDocument/2006/relationships/hyperlink" Target="http://tos.mx/GzXjVCw" TargetMode="External"/><Relationship Id="rId157" Type="http://schemas.openxmlformats.org/officeDocument/2006/relationships/hyperlink" Target="http://tos.mx/bAYWuzo" TargetMode="External"/><Relationship Id="rId178" Type="http://schemas.openxmlformats.org/officeDocument/2006/relationships/hyperlink" Target="http://tos.mx/4eqhMHP" TargetMode="External"/><Relationship Id="rId61" Type="http://schemas.openxmlformats.org/officeDocument/2006/relationships/hyperlink" Target="http://tos.mx/EixnGPZ" TargetMode="External"/><Relationship Id="rId82" Type="http://schemas.openxmlformats.org/officeDocument/2006/relationships/hyperlink" Target="http://tos.mx/QDKpY71" TargetMode="External"/><Relationship Id="rId152" Type="http://schemas.openxmlformats.org/officeDocument/2006/relationships/hyperlink" Target="http://tos.mx/Do33gG9" TargetMode="External"/><Relationship Id="rId173" Type="http://schemas.openxmlformats.org/officeDocument/2006/relationships/hyperlink" Target="http://tos.mx/q9xqhBH" TargetMode="External"/><Relationship Id="rId19" Type="http://schemas.openxmlformats.org/officeDocument/2006/relationships/hyperlink" Target="http://tos.mx/UuIkzhe" TargetMode="External"/><Relationship Id="rId14" Type="http://schemas.openxmlformats.org/officeDocument/2006/relationships/hyperlink" Target="http://tos.mx/OD8Xjou" TargetMode="External"/><Relationship Id="rId30" Type="http://schemas.openxmlformats.org/officeDocument/2006/relationships/hyperlink" Target="http://tos.mx/gX2fSSD" TargetMode="External"/><Relationship Id="rId35" Type="http://schemas.openxmlformats.org/officeDocument/2006/relationships/hyperlink" Target="http://tos.mx/hlf2Jcw" TargetMode="External"/><Relationship Id="rId56" Type="http://schemas.openxmlformats.org/officeDocument/2006/relationships/hyperlink" Target="http://tos.mx/EsvbXll" TargetMode="External"/><Relationship Id="rId77" Type="http://schemas.openxmlformats.org/officeDocument/2006/relationships/hyperlink" Target="http://tos.mx/g8dkqOk" TargetMode="External"/><Relationship Id="rId100" Type="http://schemas.openxmlformats.org/officeDocument/2006/relationships/hyperlink" Target="http://tos.mx/E29TbYR" TargetMode="External"/><Relationship Id="rId105" Type="http://schemas.openxmlformats.org/officeDocument/2006/relationships/hyperlink" Target="http://tos.mx/TmVGnhI" TargetMode="External"/><Relationship Id="rId126" Type="http://schemas.openxmlformats.org/officeDocument/2006/relationships/hyperlink" Target="http://tos.mx/euZbAiq" TargetMode="External"/><Relationship Id="rId147" Type="http://schemas.openxmlformats.org/officeDocument/2006/relationships/hyperlink" Target="http://tos.mx/SacMByU" TargetMode="External"/><Relationship Id="rId168" Type="http://schemas.openxmlformats.org/officeDocument/2006/relationships/hyperlink" Target="http://tos.mx/nqhtWN7" TargetMode="External"/><Relationship Id="rId8" Type="http://schemas.openxmlformats.org/officeDocument/2006/relationships/hyperlink" Target="http://tos.mx/kKTI1pL" TargetMode="External"/><Relationship Id="rId51" Type="http://schemas.openxmlformats.org/officeDocument/2006/relationships/hyperlink" Target="http://tos.mx/9YEwUT9" TargetMode="External"/><Relationship Id="rId72" Type="http://schemas.openxmlformats.org/officeDocument/2006/relationships/hyperlink" Target="http://tos.mx/A4kpBGm" TargetMode="External"/><Relationship Id="rId93" Type="http://schemas.openxmlformats.org/officeDocument/2006/relationships/hyperlink" Target="http://tos.mx/qUgkWmb" TargetMode="External"/><Relationship Id="rId98" Type="http://schemas.openxmlformats.org/officeDocument/2006/relationships/hyperlink" Target="http://tos.mx/YaM6SVt" TargetMode="External"/><Relationship Id="rId121" Type="http://schemas.openxmlformats.org/officeDocument/2006/relationships/hyperlink" Target="http://tos.mx/KZn45n1" TargetMode="External"/><Relationship Id="rId142" Type="http://schemas.openxmlformats.org/officeDocument/2006/relationships/hyperlink" Target="http://tos.mx/Kukt6oy" TargetMode="External"/><Relationship Id="rId163" Type="http://schemas.openxmlformats.org/officeDocument/2006/relationships/hyperlink" Target="http://tos.mx/7nMf7uz" TargetMode="External"/><Relationship Id="rId184" Type="http://schemas.openxmlformats.org/officeDocument/2006/relationships/vmlDrawing" Target="../drawings/vmlDrawing2.vml"/><Relationship Id="rId3" Type="http://schemas.openxmlformats.org/officeDocument/2006/relationships/hyperlink" Target="http://tos.mx/bv0cERL" TargetMode="External"/><Relationship Id="rId25" Type="http://schemas.openxmlformats.org/officeDocument/2006/relationships/hyperlink" Target="http://tos.mx/8BsDSD0" TargetMode="External"/><Relationship Id="rId46" Type="http://schemas.openxmlformats.org/officeDocument/2006/relationships/hyperlink" Target="http://tos.mx/3F551mk" TargetMode="External"/><Relationship Id="rId67" Type="http://schemas.openxmlformats.org/officeDocument/2006/relationships/hyperlink" Target="..\AppData\Broken%20Down%20Trading%20Charts\LIZI_12_3_2020_MarkedUp.png" TargetMode="External"/><Relationship Id="rId116" Type="http://schemas.openxmlformats.org/officeDocument/2006/relationships/hyperlink" Target="http://tos.mx/Dnat0ET" TargetMode="External"/><Relationship Id="rId137" Type="http://schemas.openxmlformats.org/officeDocument/2006/relationships/hyperlink" Target="http://tos.mx/88Odmpx" TargetMode="External"/><Relationship Id="rId158" Type="http://schemas.openxmlformats.org/officeDocument/2006/relationships/hyperlink" Target="http://tos.mx/Ct3Y568" TargetMode="External"/><Relationship Id="rId20" Type="http://schemas.openxmlformats.org/officeDocument/2006/relationships/hyperlink" Target="http://tos.mx/NMQNpqY" TargetMode="External"/><Relationship Id="rId41" Type="http://schemas.openxmlformats.org/officeDocument/2006/relationships/hyperlink" Target="http://tos.mx/r65xX7P" TargetMode="External"/><Relationship Id="rId62" Type="http://schemas.openxmlformats.org/officeDocument/2006/relationships/hyperlink" Target="http://tos.mx/Qjf7lR7" TargetMode="External"/><Relationship Id="rId83" Type="http://schemas.openxmlformats.org/officeDocument/2006/relationships/hyperlink" Target="http://tos.mx/NQp4zDV" TargetMode="External"/><Relationship Id="rId88" Type="http://schemas.openxmlformats.org/officeDocument/2006/relationships/hyperlink" Target="http://tos.mx/LhRiFVl" TargetMode="External"/><Relationship Id="rId111" Type="http://schemas.openxmlformats.org/officeDocument/2006/relationships/hyperlink" Target="http://tos.mx/6qt2xrS" TargetMode="External"/><Relationship Id="rId132" Type="http://schemas.openxmlformats.org/officeDocument/2006/relationships/hyperlink" Target="http://tos.mx/q0VMbNr" TargetMode="External"/><Relationship Id="rId153" Type="http://schemas.openxmlformats.org/officeDocument/2006/relationships/hyperlink" Target="http://tos.mx/xahEnEe" TargetMode="External"/><Relationship Id="rId174" Type="http://schemas.openxmlformats.org/officeDocument/2006/relationships/hyperlink" Target="http://tos.mx/T1FMPeq" TargetMode="External"/><Relationship Id="rId179" Type="http://schemas.openxmlformats.org/officeDocument/2006/relationships/hyperlink" Target="http://tos.mx/RIqDgKj" TargetMode="External"/><Relationship Id="rId15" Type="http://schemas.openxmlformats.org/officeDocument/2006/relationships/hyperlink" Target="http://tos.mx/ZJMnzkC" TargetMode="External"/><Relationship Id="rId36" Type="http://schemas.openxmlformats.org/officeDocument/2006/relationships/hyperlink" Target="http://tos.mx/xGFeBXj" TargetMode="External"/><Relationship Id="rId57" Type="http://schemas.openxmlformats.org/officeDocument/2006/relationships/hyperlink" Target="http://tos.mx/DwGKQz0" TargetMode="External"/><Relationship Id="rId106" Type="http://schemas.openxmlformats.org/officeDocument/2006/relationships/hyperlink" Target="http://tos.mx/PBwbvIY" TargetMode="External"/><Relationship Id="rId127" Type="http://schemas.openxmlformats.org/officeDocument/2006/relationships/hyperlink" Target="http://tos.mx/Ghvo66x" TargetMode="External"/><Relationship Id="rId10" Type="http://schemas.openxmlformats.org/officeDocument/2006/relationships/hyperlink" Target="http://tos.mx/ogtJI6E" TargetMode="External"/><Relationship Id="rId31" Type="http://schemas.openxmlformats.org/officeDocument/2006/relationships/hyperlink" Target="http://tos.mx/Gw3I1S1" TargetMode="External"/><Relationship Id="rId52" Type="http://schemas.openxmlformats.org/officeDocument/2006/relationships/hyperlink" Target="http://tos.mx/dp7oJYX" TargetMode="External"/><Relationship Id="rId73" Type="http://schemas.openxmlformats.org/officeDocument/2006/relationships/hyperlink" Target="http://tos.mx/jspUOBY" TargetMode="External"/><Relationship Id="rId78" Type="http://schemas.openxmlformats.org/officeDocument/2006/relationships/hyperlink" Target="http://tos.mx/rIu7HW9" TargetMode="External"/><Relationship Id="rId94" Type="http://schemas.openxmlformats.org/officeDocument/2006/relationships/hyperlink" Target="http://tos.mx/ECbDLdV" TargetMode="External"/><Relationship Id="rId99" Type="http://schemas.openxmlformats.org/officeDocument/2006/relationships/hyperlink" Target="http://tos.mx/Tno8hxt" TargetMode="External"/><Relationship Id="rId101" Type="http://schemas.openxmlformats.org/officeDocument/2006/relationships/hyperlink" Target="http://tos.mx/sGtr7OW" TargetMode="External"/><Relationship Id="rId122" Type="http://schemas.openxmlformats.org/officeDocument/2006/relationships/hyperlink" Target="http://tos.mx/N0Q5Ifd" TargetMode="External"/><Relationship Id="rId143" Type="http://schemas.openxmlformats.org/officeDocument/2006/relationships/hyperlink" Target="http://tos.mx/vASMmKF" TargetMode="External"/><Relationship Id="rId148" Type="http://schemas.openxmlformats.org/officeDocument/2006/relationships/hyperlink" Target="http://tos.mx/RDpeVVb" TargetMode="External"/><Relationship Id="rId164" Type="http://schemas.openxmlformats.org/officeDocument/2006/relationships/hyperlink" Target="http://tos.mx/M151FbC" TargetMode="External"/><Relationship Id="rId169" Type="http://schemas.openxmlformats.org/officeDocument/2006/relationships/hyperlink" Target="http://tos.mx/QyLBrsh" TargetMode="External"/><Relationship Id="rId185" Type="http://schemas.openxmlformats.org/officeDocument/2006/relationships/table" Target="../tables/table2.xml"/><Relationship Id="rId4" Type="http://schemas.openxmlformats.org/officeDocument/2006/relationships/hyperlink" Target="http://tos.mx/G8qZd50" TargetMode="External"/><Relationship Id="rId9" Type="http://schemas.openxmlformats.org/officeDocument/2006/relationships/hyperlink" Target="http://tos.mx/Jbcnz0H" TargetMode="External"/><Relationship Id="rId180" Type="http://schemas.openxmlformats.org/officeDocument/2006/relationships/hyperlink" Target="http://tos.mx/yD6fn1K" TargetMode="External"/><Relationship Id="rId26" Type="http://schemas.openxmlformats.org/officeDocument/2006/relationships/hyperlink" Target="http://tos.mx/FXCznb7" TargetMode="External"/><Relationship Id="rId47" Type="http://schemas.openxmlformats.org/officeDocument/2006/relationships/hyperlink" Target="http://tos.mx/gtgBO1o" TargetMode="External"/><Relationship Id="rId68" Type="http://schemas.openxmlformats.org/officeDocument/2006/relationships/hyperlink" Target="http://tos.mx/63aZHfz" TargetMode="External"/><Relationship Id="rId89" Type="http://schemas.openxmlformats.org/officeDocument/2006/relationships/hyperlink" Target="http://tos.mx/n1uV1ak" TargetMode="External"/><Relationship Id="rId112" Type="http://schemas.openxmlformats.org/officeDocument/2006/relationships/hyperlink" Target="http://tos.mx/tuoGNZw" TargetMode="External"/><Relationship Id="rId133" Type="http://schemas.openxmlformats.org/officeDocument/2006/relationships/hyperlink" Target="http://tos.mx/vLEyqQe" TargetMode="External"/><Relationship Id="rId154" Type="http://schemas.openxmlformats.org/officeDocument/2006/relationships/hyperlink" Target="http://tos.mx/7h93TQQ" TargetMode="External"/><Relationship Id="rId175" Type="http://schemas.openxmlformats.org/officeDocument/2006/relationships/hyperlink" Target="http://tos.mx/LW5qo4q" TargetMode="External"/><Relationship Id="rId16" Type="http://schemas.openxmlformats.org/officeDocument/2006/relationships/hyperlink" Target="http://tos.mx/blwRHVC" TargetMode="External"/><Relationship Id="rId37" Type="http://schemas.openxmlformats.org/officeDocument/2006/relationships/hyperlink" Target="http://tos.mx/ClK7LIx" TargetMode="External"/><Relationship Id="rId58" Type="http://schemas.openxmlformats.org/officeDocument/2006/relationships/hyperlink" Target="http://tos.mx/wF6EMXp" TargetMode="External"/><Relationship Id="rId79" Type="http://schemas.openxmlformats.org/officeDocument/2006/relationships/hyperlink" Target="http://tos.mx/f2xqvr0" TargetMode="External"/><Relationship Id="rId102" Type="http://schemas.openxmlformats.org/officeDocument/2006/relationships/hyperlink" Target="http://tos.mx/idvMro1" TargetMode="External"/><Relationship Id="rId123" Type="http://schemas.openxmlformats.org/officeDocument/2006/relationships/hyperlink" Target="http://tos.mx/UmUaqJr" TargetMode="External"/><Relationship Id="rId144" Type="http://schemas.openxmlformats.org/officeDocument/2006/relationships/hyperlink" Target="http://tos.mx/YCpAaiK" TargetMode="External"/><Relationship Id="rId90" Type="http://schemas.openxmlformats.org/officeDocument/2006/relationships/hyperlink" Target="http://tos.mx/WJMgwu2" TargetMode="External"/><Relationship Id="rId165" Type="http://schemas.openxmlformats.org/officeDocument/2006/relationships/hyperlink" Target="http://tos.mx/rl0VcKO" TargetMode="External"/><Relationship Id="rId186" Type="http://schemas.openxmlformats.org/officeDocument/2006/relationships/comments" Target="../comments2.xml"/><Relationship Id="rId27" Type="http://schemas.openxmlformats.org/officeDocument/2006/relationships/hyperlink" Target="http://tos.mx/QXnUOvR" TargetMode="External"/><Relationship Id="rId48" Type="http://schemas.openxmlformats.org/officeDocument/2006/relationships/hyperlink" Target="http://tos.mx/5zGutQc" TargetMode="External"/><Relationship Id="rId69" Type="http://schemas.openxmlformats.org/officeDocument/2006/relationships/hyperlink" Target="../AppData/Broken%20Down%20Trading%20Charts/GTEC_12_7_20_MARKEDUP.png" TargetMode="External"/><Relationship Id="rId113" Type="http://schemas.openxmlformats.org/officeDocument/2006/relationships/hyperlink" Target="http://tos.mx/XIacE4h" TargetMode="External"/><Relationship Id="rId134" Type="http://schemas.openxmlformats.org/officeDocument/2006/relationships/hyperlink" Target="http://tos.mx/BYMzEYv" TargetMode="External"/><Relationship Id="rId80" Type="http://schemas.openxmlformats.org/officeDocument/2006/relationships/hyperlink" Target="http://tos.mx/pM4ni6d" TargetMode="External"/><Relationship Id="rId155" Type="http://schemas.openxmlformats.org/officeDocument/2006/relationships/hyperlink" Target="http://tos.mx/9rrne2J" TargetMode="External"/><Relationship Id="rId176" Type="http://schemas.openxmlformats.org/officeDocument/2006/relationships/hyperlink" Target="http://tos.mx/wQntF2x" TargetMode="External"/><Relationship Id="rId17" Type="http://schemas.openxmlformats.org/officeDocument/2006/relationships/hyperlink" Target="http://tos.mx/t02IWEk" TargetMode="External"/><Relationship Id="rId38" Type="http://schemas.openxmlformats.org/officeDocument/2006/relationships/hyperlink" Target="http://tos.mx/sNTvQpz" TargetMode="External"/><Relationship Id="rId59" Type="http://schemas.openxmlformats.org/officeDocument/2006/relationships/hyperlink" Target="http://tos.mx/0Shgtix" TargetMode="External"/><Relationship Id="rId103" Type="http://schemas.openxmlformats.org/officeDocument/2006/relationships/hyperlink" Target="http://tos.mx/ZV6dCeD" TargetMode="External"/><Relationship Id="rId124" Type="http://schemas.openxmlformats.org/officeDocument/2006/relationships/hyperlink" Target="http://tos.mx/RQxb83l" TargetMode="External"/><Relationship Id="rId70" Type="http://schemas.openxmlformats.org/officeDocument/2006/relationships/hyperlink" Target="http://tos.mx/OZsDomH" TargetMode="External"/><Relationship Id="rId91" Type="http://schemas.openxmlformats.org/officeDocument/2006/relationships/hyperlink" Target="http://tos.mx/qLJcHG6" TargetMode="External"/><Relationship Id="rId145" Type="http://schemas.openxmlformats.org/officeDocument/2006/relationships/hyperlink" Target="http://tos.mx/PlZsqd0" TargetMode="External"/><Relationship Id="rId166" Type="http://schemas.openxmlformats.org/officeDocument/2006/relationships/hyperlink" Target="http://tos.mx/jrmsg3u" TargetMode="External"/><Relationship Id="rId187" Type="http://schemas.microsoft.com/office/2017/10/relationships/threadedComment" Target="../threadedComments/threadedComment2.xml"/><Relationship Id="rId1" Type="http://schemas.openxmlformats.org/officeDocument/2006/relationships/hyperlink" Target="http://tos.mx/6nvSLTW" TargetMode="External"/><Relationship Id="rId28" Type="http://schemas.openxmlformats.org/officeDocument/2006/relationships/hyperlink" Target="http://tos.mx/C9NZ6Sg" TargetMode="External"/><Relationship Id="rId49" Type="http://schemas.openxmlformats.org/officeDocument/2006/relationships/hyperlink" Target="http://tos.mx/R6pFtAS" TargetMode="External"/><Relationship Id="rId114" Type="http://schemas.openxmlformats.org/officeDocument/2006/relationships/hyperlink" Target="http://tos.mx/YEwked9" TargetMode="External"/><Relationship Id="rId60" Type="http://schemas.openxmlformats.org/officeDocument/2006/relationships/hyperlink" Target="http://tos.mx/mtrqH0i" TargetMode="External"/><Relationship Id="rId81" Type="http://schemas.openxmlformats.org/officeDocument/2006/relationships/hyperlink" Target="http://tos.mx/DotIwag" TargetMode="External"/><Relationship Id="rId135" Type="http://schemas.openxmlformats.org/officeDocument/2006/relationships/hyperlink" Target="http://tos.mx/erz090Y" TargetMode="External"/><Relationship Id="rId156" Type="http://schemas.openxmlformats.org/officeDocument/2006/relationships/hyperlink" Target="http://tos.mx/yqxm32u" TargetMode="External"/><Relationship Id="rId177" Type="http://schemas.openxmlformats.org/officeDocument/2006/relationships/hyperlink" Target="http://tos.mx/u3cnWY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81CC6-1F4F-40A5-897E-A039694584B6}">
  <sheetPr codeName="Sheet1">
    <tabColor rgb="FF7030A0"/>
  </sheetPr>
  <dimension ref="A1:AS262"/>
  <sheetViews>
    <sheetView topLeftCell="AB1" zoomScale="95" zoomScaleNormal="95" workbookViewId="0">
      <pane ySplit="1" topLeftCell="A2" activePane="bottomLeft" state="frozen"/>
      <selection activeCell="J1" sqref="J1"/>
      <selection pane="bottomLeft" activeCell="AB87" sqref="AB87"/>
    </sheetView>
  </sheetViews>
  <sheetFormatPr defaultRowHeight="15" x14ac:dyDescent="0.25"/>
  <cols>
    <col min="1" max="1" width="11" style="10" customWidth="1"/>
    <col min="2" max="2" width="13.5703125" style="11" bestFit="1" customWidth="1"/>
    <col min="3" max="3" width="10.5703125" style="11" bestFit="1" customWidth="1"/>
    <col min="4" max="4" width="56.5703125" customWidth="1"/>
    <col min="5" max="5" width="23.140625" style="17" customWidth="1"/>
    <col min="6" max="6" width="25" customWidth="1"/>
    <col min="7" max="7" width="8.85546875" style="18" customWidth="1"/>
    <col min="8" max="8" width="10.28515625" bestFit="1" customWidth="1"/>
    <col min="9" max="9" width="21" style="18" bestFit="1" customWidth="1"/>
    <col min="10" max="10" width="23.140625" style="18" customWidth="1"/>
    <col min="11" max="11" width="17.28515625" style="13" customWidth="1"/>
    <col min="12" max="12" width="18.28515625" style="18" customWidth="1"/>
    <col min="13" max="13" width="18.85546875" style="12" customWidth="1"/>
    <col min="14" max="14" width="21.7109375" style="12" customWidth="1"/>
    <col min="15" max="15" width="19.5703125" style="12" customWidth="1"/>
    <col min="16" max="16" width="20.42578125" style="12" customWidth="1"/>
    <col min="17" max="17" width="13.5703125" style="12" bestFit="1" customWidth="1"/>
    <col min="18" max="18" width="23.140625" style="18" customWidth="1"/>
    <col min="19" max="19" width="21" style="12" customWidth="1"/>
    <col min="20" max="21" width="20.85546875" style="18" customWidth="1"/>
    <col min="22" max="22" width="23.140625" style="13" customWidth="1"/>
    <col min="23" max="23" width="30.28515625" style="12" customWidth="1"/>
    <col min="24" max="24" width="24.140625" style="12" customWidth="1"/>
    <col min="25" max="25" width="16.140625" style="13" customWidth="1"/>
    <col min="26" max="26" width="19.140625" style="13" customWidth="1"/>
    <col min="27" max="27" width="30.42578125" style="19" customWidth="1"/>
    <col min="28" max="28" width="16.85546875" style="13" customWidth="1"/>
    <col min="29" max="30" width="25" style="13" customWidth="1"/>
    <col min="31" max="31" width="26.42578125" style="13" customWidth="1"/>
    <col min="32" max="32" width="30.85546875" style="13" customWidth="1"/>
    <col min="33" max="35" width="23.140625" style="18" customWidth="1"/>
    <col min="36" max="36" width="36.28515625" style="18" customWidth="1"/>
    <col min="37" max="38" width="29.7109375" style="17" customWidth="1"/>
    <col min="39" max="39" width="26.140625" style="17" customWidth="1"/>
    <col min="40" max="40" width="17.140625" style="22" customWidth="1"/>
    <col min="41" max="41" width="28.7109375" customWidth="1"/>
    <col min="42" max="42" width="28.42578125" customWidth="1"/>
    <col min="43" max="43" width="19.42578125" customWidth="1"/>
    <col min="44" max="44" width="18.42578125" customWidth="1"/>
    <col min="45" max="45" width="13.7109375" customWidth="1"/>
  </cols>
  <sheetData>
    <row r="1" spans="1:45" s="3" customFormat="1" ht="60" x14ac:dyDescent="0.25">
      <c r="A1" s="1" t="s">
        <v>0</v>
      </c>
      <c r="B1" s="2" t="s">
        <v>1</v>
      </c>
      <c r="C1" s="2" t="s">
        <v>177</v>
      </c>
      <c r="D1" s="3" t="s">
        <v>2</v>
      </c>
      <c r="E1" s="4" t="s">
        <v>3</v>
      </c>
      <c r="F1" s="5" t="s">
        <v>4</v>
      </c>
      <c r="G1" s="6" t="s">
        <v>5</v>
      </c>
      <c r="H1" s="6" t="s">
        <v>6</v>
      </c>
      <c r="I1" s="6" t="s">
        <v>7</v>
      </c>
      <c r="J1" s="6" t="s">
        <v>8</v>
      </c>
      <c r="K1" s="6" t="s">
        <v>9</v>
      </c>
      <c r="L1" s="6" t="s">
        <v>10</v>
      </c>
      <c r="M1" s="6" t="s">
        <v>11</v>
      </c>
      <c r="N1" s="6" t="s">
        <v>12</v>
      </c>
      <c r="O1" s="5" t="s">
        <v>13</v>
      </c>
      <c r="P1" s="6" t="s">
        <v>14</v>
      </c>
      <c r="Q1" s="5" t="s">
        <v>15</v>
      </c>
      <c r="R1" s="5" t="s">
        <v>16</v>
      </c>
      <c r="S1" s="5" t="s">
        <v>17</v>
      </c>
      <c r="T1" s="5" t="s">
        <v>18</v>
      </c>
      <c r="U1" s="5" t="s">
        <v>19</v>
      </c>
      <c r="V1" s="3" t="s">
        <v>20</v>
      </c>
      <c r="W1" s="3" t="s">
        <v>21</v>
      </c>
      <c r="X1" s="3" t="s">
        <v>22</v>
      </c>
      <c r="Y1" s="3" t="s">
        <v>23</v>
      </c>
      <c r="Z1" s="3" t="s">
        <v>24</v>
      </c>
      <c r="AA1" s="7" t="s">
        <v>25</v>
      </c>
      <c r="AB1" s="4" t="s">
        <v>26</v>
      </c>
      <c r="AC1" s="4" t="s">
        <v>27</v>
      </c>
      <c r="AD1" s="6" t="s">
        <v>28</v>
      </c>
      <c r="AE1" s="6" t="s">
        <v>29</v>
      </c>
      <c r="AF1" s="4" t="s">
        <v>30</v>
      </c>
      <c r="AG1" s="9" t="s">
        <v>31</v>
      </c>
      <c r="AH1" s="5" t="s">
        <v>32</v>
      </c>
      <c r="AI1" s="4" t="s">
        <v>33</v>
      </c>
      <c r="AJ1" s="4" t="s">
        <v>200</v>
      </c>
      <c r="AK1" s="4" t="s">
        <v>201</v>
      </c>
      <c r="AL1" s="4" t="s">
        <v>202</v>
      </c>
      <c r="AM1" s="4" t="s">
        <v>34</v>
      </c>
      <c r="AN1" s="4" t="s">
        <v>35</v>
      </c>
      <c r="AO1" s="4" t="s">
        <v>36</v>
      </c>
      <c r="AP1" s="4" t="s">
        <v>37</v>
      </c>
      <c r="AQ1" s="4" t="s">
        <v>38</v>
      </c>
      <c r="AR1" s="8" t="s">
        <v>39</v>
      </c>
      <c r="AS1" s="8" t="s">
        <v>40</v>
      </c>
    </row>
    <row r="2" spans="1:45" x14ac:dyDescent="0.25">
      <c r="A2" s="10" t="s">
        <v>41</v>
      </c>
      <c r="B2" s="11">
        <v>42048</v>
      </c>
      <c r="C2" s="47" t="s">
        <v>78</v>
      </c>
      <c r="E2" s="12">
        <v>23.4</v>
      </c>
      <c r="F2" s="13">
        <v>23.4</v>
      </c>
      <c r="G2" s="12">
        <v>29.2</v>
      </c>
      <c r="H2" s="12">
        <v>23.12</v>
      </c>
      <c r="I2" s="12">
        <v>28.76</v>
      </c>
      <c r="J2" s="12">
        <v>29.12</v>
      </c>
      <c r="K2" s="12">
        <v>29.12</v>
      </c>
      <c r="L2" s="12">
        <v>28.28</v>
      </c>
      <c r="M2" s="12">
        <v>37.97</v>
      </c>
      <c r="N2" s="12">
        <v>37.97</v>
      </c>
      <c r="O2" s="13">
        <v>36341793</v>
      </c>
      <c r="P2" s="12">
        <v>70600000</v>
      </c>
      <c r="Q2" s="13">
        <v>58</v>
      </c>
      <c r="R2" s="13">
        <f>Table13[[#This Row],[MKT CAP(M)]]/Table13[[#This Row],[Prior day close]]</f>
        <v>2.4786324786324787</v>
      </c>
      <c r="S2" s="14"/>
      <c r="T2" s="13">
        <v>190988</v>
      </c>
      <c r="U2" s="13" t="s">
        <v>42</v>
      </c>
      <c r="V2" t="s">
        <v>42</v>
      </c>
      <c r="W2">
        <v>1</v>
      </c>
      <c r="X2">
        <v>2</v>
      </c>
      <c r="Y2">
        <v>29.81</v>
      </c>
      <c r="Z2">
        <v>50</v>
      </c>
      <c r="AA2" s="15">
        <f>Table13[[#This Row],[Time until ideal entry + 390 (6:30)]]/(1440)</f>
        <v>0.2722222222222222</v>
      </c>
      <c r="AB2" s="18">
        <f t="shared" ref="AB2:AB23" si="0">(G2-E2)/E2</f>
        <v>0.2478632478632479</v>
      </c>
      <c r="AC2" s="18">
        <f>IF(Table13[[#This Row],[HOD AFTER PM HI]]&gt;=Table13[[#This Row],[PM Hi]],((Table13[[#This Row],[HOD AFTER PM HI]]-Table13[[#This Row],[Prior day close]])/Table13[[#This Row],[Prior day close]]),Table13[[#This Row],[Prior Close to PM Hi %]])</f>
        <v>0.62264957264957266</v>
      </c>
      <c r="AD2" s="18">
        <f>(Table13[[#This Row],[Price at hi of squeeze]]-Table13[[#This Row],[MKT Open Price]])/Table13[[#This Row],[MKT Open Price]]</f>
        <v>0.30391483516483508</v>
      </c>
      <c r="AE2" s="18">
        <f>(Table13[[#This Row],[Price at hi of squeeze]]-Table13[[#This Row],[PM Hi]])/Table13[[#This Row],[PM Hi]]</f>
        <v>0.30034246575342466</v>
      </c>
      <c r="AF2" s="18">
        <f>(N2-L2)/L2</f>
        <v>0.34264497878359257</v>
      </c>
      <c r="AG2" s="20">
        <f>Table13[[#This Row],[PM VOL]]/1000000/Table13[[#This Row],[FLOAT(M)]]</f>
        <v>7.7053779310344822E-2</v>
      </c>
      <c r="AH2" s="21">
        <f>(Table13[[#This Row],[Volume]]/1000000)/Table13[[#This Row],[FLOAT(M)]]</f>
        <v>14.662033727586207</v>
      </c>
      <c r="AI2" s="18">
        <f>(Table13[[#This Row],[Hi of Spike after open before drop]]-Table13[[#This Row],[MKT Open Price]])/Table13[[#This Row],[MKT Open Price]]</f>
        <v>0</v>
      </c>
      <c r="AJ2" s="18">
        <f>(Table13[[#This Row],[PM Hi]]-Table13[[#This Row],[MKT Open Price]])/(Table13[[#This Row],[PM Hi]])</f>
        <v>2.7397260273972017E-3</v>
      </c>
      <c r="AK2" s="16">
        <f>IF(Table13[[#This Row],[PM LO]]&gt;Table13[[#This Row],[Prior day close]],(Table13[[#This Row],[PM Hi]]-Table13[[#This Row],[MKT Open Price]])/(Table13[[#This Row],[PM Hi]]-Table13[[#This Row],[Prior day close]]),(Table13[[#This Row],[PM Hi]]-Table13[[#This Row],[MKT Open Price]])/(Table13[[#This Row],[PM Hi]]-Table13[[#This Row],[PM LO]]))</f>
        <v>1.3157894736841829E-2</v>
      </c>
      <c r="AL2" s="16">
        <f>IF(Table13[[#This Row],[Prior day close]]&lt;Table13[[#This Row],[PM LO]],(J2-L2)/(J2-Table13[[#This Row],[Prior day close]]),(J2-L2)/(J2-Table13[[#This Row],[PM LO]]))</f>
        <v>0.13999999999999999</v>
      </c>
      <c r="AM2" s="16">
        <f>Table13[[#This Row],[Spike % on open before drop]]+AN2</f>
        <v>2.8846153846153841E-2</v>
      </c>
      <c r="AN2" s="16">
        <f t="shared" ref="AN2:AN11" si="1">(J2-L2)/J2</f>
        <v>2.8846153846153841E-2</v>
      </c>
      <c r="AO2" s="18">
        <f>IF($K2&gt;=$G2,($K2-$L2)/($K2-$E2),(IF($I2&lt;=$L2,($G2-$I2)/($G2-$E2),(Table13[[#This Row],[PM Hi]]-Table13[[#This Row],[Lowest lo from open to squeeze]])/(Table13[[#This Row],[PM Hi]]-Table13[[#This Row],[Prior day close]]))))</f>
        <v>0.15862068965517206</v>
      </c>
      <c r="AP2" s="18">
        <f>IF(Table13[[#This Row],[Prior day close]]&lt;=Table13[[#This Row],[PM LO]],IF($K2&gt;=$G2,($K2-$L2)/($K2-Table13[[#This Row],[Prior day close]]),(IF($I2&lt;=$L2,($G2-$I2)/($G2-Table13[[#This Row],[Prior day close]]),(Table13[[#This Row],[PM Hi]]-Table13[[#This Row],[Lowest lo from open to squeeze]])/(Table13[[#This Row],[PM Hi]]-Table13[[#This Row],[Prior day close]])))),IF($K2&gt;=$G2,($K2-$L2)/($K2-Table13[[#This Row],[PM LO]]),(IF($I2&lt;=$L2,($G2-$I2)/($G2-Table13[[#This Row],[PM LO]]),(Table13[[#This Row],[PM Hi]]-Table13[[#This Row],[Lowest lo from open to squeeze]])/(Table13[[#This Row],[PM Hi]]-Table13[[#This Row],[PM LO]])))))</f>
        <v>0.15131578947368396</v>
      </c>
      <c r="AQ2" s="18">
        <f>1.55/4.71</f>
        <v>0.3290870488322718</v>
      </c>
      <c r="AR2" s="17">
        <f>390+Table13[[#This Row],[Time until ideal entry point (mins) from open]]</f>
        <v>392</v>
      </c>
      <c r="AS2" s="51">
        <f>(Table13[[#This Row],[Time until ideal entry + 390 (6:30)]]+Table13[[#This Row],[Duration of frontside (mins)]])/1440</f>
        <v>0.30694444444444446</v>
      </c>
    </row>
    <row r="3" spans="1:45" x14ac:dyDescent="0.25">
      <c r="A3" s="10" t="s">
        <v>43</v>
      </c>
      <c r="B3" s="11">
        <v>42053</v>
      </c>
      <c r="C3" s="47" t="s">
        <v>78</v>
      </c>
      <c r="E3" s="12">
        <v>4.8600000000000003</v>
      </c>
      <c r="F3" s="13">
        <v>6</v>
      </c>
      <c r="G3" s="12">
        <v>6.88</v>
      </c>
      <c r="H3" s="12">
        <v>5.77</v>
      </c>
      <c r="I3" s="12">
        <v>6.55</v>
      </c>
      <c r="J3" s="12">
        <v>6.6</v>
      </c>
      <c r="K3" s="12">
        <v>6.87</v>
      </c>
      <c r="L3" s="12">
        <v>6.45</v>
      </c>
      <c r="M3" s="12">
        <v>7.8</v>
      </c>
      <c r="N3" s="12">
        <v>7.45</v>
      </c>
      <c r="O3" s="13">
        <v>25872205</v>
      </c>
      <c r="P3" s="12">
        <v>201012225</v>
      </c>
      <c r="Q3" s="13">
        <v>455</v>
      </c>
      <c r="R3" s="13">
        <f>Table13[[#This Row],[MKT CAP(M)]]/Table13[[#This Row],[Prior day close]]</f>
        <v>93.621399176954725</v>
      </c>
      <c r="S3" s="14"/>
      <c r="T3" s="13">
        <v>737291</v>
      </c>
      <c r="U3" s="13" t="s">
        <v>44</v>
      </c>
      <c r="V3" t="s">
        <v>44</v>
      </c>
      <c r="W3">
        <v>2</v>
      </c>
      <c r="X3">
        <v>3</v>
      </c>
      <c r="Y3">
        <v>6.58</v>
      </c>
      <c r="Z3">
        <v>19</v>
      </c>
      <c r="AA3" s="15">
        <f>Table13[[#This Row],[Time until ideal entry + 390 (6:30)]]/(1440)</f>
        <v>0.27291666666666664</v>
      </c>
      <c r="AB3" s="18">
        <f t="shared" si="0"/>
        <v>0.41563786008230441</v>
      </c>
      <c r="AC3" s="18">
        <f>IF(Table13[[#This Row],[HOD AFTER PM HI]]&gt;=Table13[[#This Row],[PM Hi]],((Table13[[#This Row],[HOD AFTER PM HI]]-Table13[[#This Row],[Prior day close]])/Table13[[#This Row],[Prior day close]]),Table13[[#This Row],[Prior Close to PM Hi %]])</f>
        <v>0.60493827160493818</v>
      </c>
      <c r="AD3" s="18">
        <f>(Table13[[#This Row],[Price at hi of squeeze]]-Table13[[#This Row],[MKT Open Price]])/Table13[[#This Row],[MKT Open Price]]</f>
        <v>0.12878787878787887</v>
      </c>
      <c r="AE3" s="18">
        <f>(Table13[[#This Row],[Price at hi of squeeze]]-Table13[[#This Row],[PM Hi]])/Table13[[#This Row],[PM Hi]]</f>
        <v>8.2848837209302362E-2</v>
      </c>
      <c r="AF3" s="18">
        <f>(N3-L3)/L3</f>
        <v>0.15503875968992248</v>
      </c>
      <c r="AG3" s="20">
        <f>Table13[[#This Row],[PM VOL]]/1000000/Table13[[#This Row],[FLOAT(M)]]</f>
        <v>7.8752401318681331E-3</v>
      </c>
      <c r="AH3" s="21">
        <f>(Table13[[#This Row],[Volume]]/1000000)/Table13[[#This Row],[FLOAT(M)]]</f>
        <v>0.27634926659340664</v>
      </c>
      <c r="AI3" s="18">
        <f>(Table13[[#This Row],[Hi of Spike after open before drop]]-Table13[[#This Row],[MKT Open Price]])/Table13[[#This Row],[MKT Open Price]]</f>
        <v>4.0909090909090978E-2</v>
      </c>
      <c r="AJ3" s="18">
        <f>(Table13[[#This Row],[PM Hi]]-Table13[[#This Row],[MKT Open Price]])/(Table13[[#This Row],[PM Hi]])</f>
        <v>4.0697674418604689E-2</v>
      </c>
      <c r="AK3" s="16">
        <f>IF(Table13[[#This Row],[PM LO]]&gt;Table13[[#This Row],[Prior day close]],(Table13[[#This Row],[PM Hi]]-Table13[[#This Row],[MKT Open Price]])/(Table13[[#This Row],[PM Hi]]-Table13[[#This Row],[Prior day close]]),(Table13[[#This Row],[PM Hi]]-Table13[[#This Row],[MKT Open Price]])/(Table13[[#This Row],[PM Hi]]-Table13[[#This Row],[PM LO]]))</f>
        <v>0.13861386138613876</v>
      </c>
      <c r="AL3" s="16">
        <f>IF(Table13[[#This Row],[Prior day close]]&lt;Table13[[#This Row],[PM LO]],(J3-L3)/(J3-Table13[[#This Row],[Prior day close]]),(J3-L3)/(J3-Table13[[#This Row],[PM LO]]))</f>
        <v>8.6206896551723866E-2</v>
      </c>
      <c r="AM3" s="16">
        <f>Table13[[#This Row],[Spike % on open before drop]]+AN3</f>
        <v>6.363636363636363E-2</v>
      </c>
      <c r="AN3" s="16">
        <f t="shared" si="1"/>
        <v>2.2727272727272648E-2</v>
      </c>
      <c r="AO3" s="18">
        <f>IF($K3&gt;=$G3,($K3-$L3)/($K3-$E3),(IF($I3&lt;=$L3,($G3-$I3)/($G3-$E3),(Table13[[#This Row],[PM Hi]]-Table13[[#This Row],[Lowest lo from open to squeeze]])/(Table13[[#This Row],[PM Hi]]-Table13[[#This Row],[Prior day close]]))))</f>
        <v>0.21287128712871278</v>
      </c>
      <c r="AP3" s="18">
        <f>IF(Table13[[#This Row],[Prior day close]]&lt;=Table13[[#This Row],[PM LO]],IF($K3&gt;=$G3,($K3-$L3)/($K3-Table13[[#This Row],[Prior day close]]),(IF($I3&lt;=$L3,($G3-$I3)/($G3-Table13[[#This Row],[Prior day close]]),(Table13[[#This Row],[PM Hi]]-Table13[[#This Row],[Lowest lo from open to squeeze]])/(Table13[[#This Row],[PM Hi]]-Table13[[#This Row],[Prior day close]])))),IF($K3&gt;=$G3,($K3-$L3)/($K3-Table13[[#This Row],[PM LO]]),(IF($I3&lt;=$L3,($G3-$I3)/($G3-Table13[[#This Row],[PM LO]]),(Table13[[#This Row],[PM Hi]]-Table13[[#This Row],[Lowest lo from open to squeeze]])/(Table13[[#This Row],[PM Hi]]-Table13[[#This Row],[PM LO]])))))</f>
        <v>0.21287128712871278</v>
      </c>
      <c r="AQ3" s="18">
        <f>0.44/2.03</f>
        <v>0.21674876847290642</v>
      </c>
      <c r="AR3" s="17">
        <f>390+Table13[[#This Row],[Time until ideal entry point (mins) from open]]</f>
        <v>393</v>
      </c>
      <c r="AS3" s="51">
        <f>(Table13[[#This Row],[Time until ideal entry + 390 (6:30)]]+Table13[[#This Row],[Duration of frontside (mins)]])/1440</f>
        <v>0.28611111111111109</v>
      </c>
    </row>
    <row r="4" spans="1:45" x14ac:dyDescent="0.25">
      <c r="A4" s="10" t="s">
        <v>45</v>
      </c>
      <c r="B4" s="11">
        <v>42639</v>
      </c>
      <c r="C4" s="47" t="s">
        <v>78</v>
      </c>
      <c r="E4" s="12">
        <v>3.63</v>
      </c>
      <c r="F4" s="13">
        <v>4.24</v>
      </c>
      <c r="G4" s="12">
        <v>5</v>
      </c>
      <c r="H4" s="12">
        <v>4.21</v>
      </c>
      <c r="I4" s="12">
        <v>4.21</v>
      </c>
      <c r="J4" s="12">
        <v>4.6500000000000004</v>
      </c>
      <c r="K4" s="12">
        <v>4.74</v>
      </c>
      <c r="L4" s="12">
        <v>4.59</v>
      </c>
      <c r="M4" s="12">
        <v>6.65</v>
      </c>
      <c r="N4" s="12">
        <v>5.88</v>
      </c>
      <c r="O4" s="13">
        <v>100971132</v>
      </c>
      <c r="P4" s="12">
        <v>664034634</v>
      </c>
      <c r="Q4" s="13">
        <v>529</v>
      </c>
      <c r="R4" s="13">
        <f>Table13[[#This Row],[MKT CAP(M)]]/Table13[[#This Row],[Prior day close]]</f>
        <v>145.73002754820936</v>
      </c>
      <c r="S4" s="13"/>
      <c r="T4" s="13">
        <v>2548466</v>
      </c>
      <c r="U4" s="13" t="s">
        <v>44</v>
      </c>
      <c r="V4" t="s">
        <v>44</v>
      </c>
      <c r="W4">
        <v>1</v>
      </c>
      <c r="X4">
        <v>6</v>
      </c>
      <c r="Y4">
        <v>4.7</v>
      </c>
      <c r="Z4">
        <v>70</v>
      </c>
      <c r="AA4" s="15">
        <f>Table13[[#This Row],[Time until ideal entry + 390 (6:30)]]/(1440)</f>
        <v>0.27500000000000002</v>
      </c>
      <c r="AB4" s="18">
        <f t="shared" si="0"/>
        <v>0.37741046831955927</v>
      </c>
      <c r="AC4" s="18">
        <f>IF(Table13[[#This Row],[HOD AFTER PM HI]]&gt;=Table13[[#This Row],[PM Hi]],((Table13[[#This Row],[HOD AFTER PM HI]]-Table13[[#This Row],[Prior day close]])/Table13[[#This Row],[Prior day close]]),Table13[[#This Row],[Prior Close to PM Hi %]])</f>
        <v>0.83195592286501396</v>
      </c>
      <c r="AD4" s="18">
        <f>(Table13[[#This Row],[Price at hi of squeeze]]-Table13[[#This Row],[MKT Open Price]])/Table13[[#This Row],[MKT Open Price]]</f>
        <v>0.26451612903225796</v>
      </c>
      <c r="AE4" s="18">
        <f>(Table13[[#This Row],[Price at hi of squeeze]]-Table13[[#This Row],[PM Hi]])/Table13[[#This Row],[PM Hi]]</f>
        <v>0.17599999999999999</v>
      </c>
      <c r="AF4" s="18">
        <f>(N4-L4)/L4</f>
        <v>0.28104575163398693</v>
      </c>
      <c r="AG4" s="20">
        <f>Table13[[#This Row],[PM VOL]]/1000000/Table13[[#This Row],[FLOAT(M)]]</f>
        <v>1.7487583327032135E-2</v>
      </c>
      <c r="AH4" s="23">
        <f>(Table13[[#This Row],[Volume]]/1000000)/Table13[[#This Row],[FLOAT(M)]]</f>
        <v>0.69286428952741019</v>
      </c>
      <c r="AI4" s="18">
        <f>(Table13[[#This Row],[Hi of Spike after open before drop]]-Table13[[#This Row],[MKT Open Price]])/Table13[[#This Row],[MKT Open Price]]</f>
        <v>1.9354838709677389E-2</v>
      </c>
      <c r="AJ4" s="18">
        <f>(Table13[[#This Row],[PM Hi]]-Table13[[#This Row],[MKT Open Price]])/(Table13[[#This Row],[PM Hi]])</f>
        <v>6.9999999999999923E-2</v>
      </c>
      <c r="AK4" s="16">
        <f>IF(Table13[[#This Row],[PM LO]]&gt;Table13[[#This Row],[Prior day close]],(Table13[[#This Row],[PM Hi]]-Table13[[#This Row],[MKT Open Price]])/(Table13[[#This Row],[PM Hi]]-Table13[[#This Row],[Prior day close]]),(Table13[[#This Row],[PM Hi]]-Table13[[#This Row],[MKT Open Price]])/(Table13[[#This Row],[PM Hi]]-Table13[[#This Row],[PM LO]]))</f>
        <v>0.25547445255474427</v>
      </c>
      <c r="AL4" s="16">
        <f>IF(Table13[[#This Row],[Prior day close]]&lt;Table13[[#This Row],[PM LO]],(J4-L4)/(J4-Table13[[#This Row],[Prior day close]]),(J4-L4)/(J4-Table13[[#This Row],[PM LO]]))</f>
        <v>5.882352941176517E-2</v>
      </c>
      <c r="AM4" s="16">
        <f>Table13[[#This Row],[Spike % on open before drop]]+AN4</f>
        <v>3.2258064516129108E-2</v>
      </c>
      <c r="AN4" s="16">
        <f t="shared" si="1"/>
        <v>1.2903225806451719E-2</v>
      </c>
      <c r="AO4" s="18">
        <f>IF($K4&gt;=$G4,($K4-$L4)/($K4-$E4),(IF($I4&lt;=$L4,($G4-$I4)/($G4-$E4),(Table13[[#This Row],[PM Hi]]-Table13[[#This Row],[Lowest lo from open to squeeze]])/(Table13[[#This Row],[PM Hi]]-Table13[[#This Row],[Prior day close]]))))</f>
        <v>0.57664233576642332</v>
      </c>
      <c r="AP4" s="18">
        <f>IF(Table13[[#This Row],[Prior day close]]&lt;=Table13[[#This Row],[PM LO]],IF($K4&gt;=$G4,($K4-$L4)/($K4-Table13[[#This Row],[Prior day close]]),(IF($I4&lt;=$L4,($G4-$I4)/($G4-Table13[[#This Row],[Prior day close]]),(Table13[[#This Row],[PM Hi]]-Table13[[#This Row],[Lowest lo from open to squeeze]])/(Table13[[#This Row],[PM Hi]]-Table13[[#This Row],[Prior day close]])))),IF($K4&gt;=$G4,($K4-$L4)/($K4-Table13[[#This Row],[PM LO]]),(IF($I4&lt;=$L4,($G4-$I4)/($G4-Table13[[#This Row],[PM LO]]),(Table13[[#This Row],[PM Hi]]-Table13[[#This Row],[Lowest lo from open to squeeze]])/(Table13[[#This Row],[PM Hi]]-Table13[[#This Row],[PM LO]])))))</f>
        <v>0.57664233576642332</v>
      </c>
      <c r="AQ4" s="18">
        <f>0.82/1.37</f>
        <v>0.5985401459854014</v>
      </c>
      <c r="AR4" s="17">
        <f>390+Table13[[#This Row],[Time until ideal entry point (mins) from open]]</f>
        <v>396</v>
      </c>
      <c r="AS4" s="51">
        <f>(Table13[[#This Row],[Time until ideal entry + 390 (6:30)]]+Table13[[#This Row],[Duration of frontside (mins)]])/1440</f>
        <v>0.32361111111111113</v>
      </c>
    </row>
    <row r="5" spans="1:45" x14ac:dyDescent="0.25">
      <c r="A5" s="24" t="s">
        <v>46</v>
      </c>
      <c r="B5" s="11">
        <v>43104</v>
      </c>
      <c r="C5" s="47" t="s">
        <v>78</v>
      </c>
      <c r="E5" s="12">
        <v>1.17</v>
      </c>
      <c r="F5" s="13">
        <v>1.3</v>
      </c>
      <c r="G5" s="12">
        <v>3.64</v>
      </c>
      <c r="H5" s="12">
        <v>1.3</v>
      </c>
      <c r="I5" s="12">
        <v>2.83</v>
      </c>
      <c r="J5" s="12">
        <v>2.84</v>
      </c>
      <c r="K5" s="12">
        <v>3.33</v>
      </c>
      <c r="L5" s="12">
        <v>2.76</v>
      </c>
      <c r="M5" s="12">
        <v>11.9</v>
      </c>
      <c r="N5" s="12">
        <v>11.9</v>
      </c>
      <c r="O5" s="13">
        <v>81662655</v>
      </c>
      <c r="P5" s="12">
        <v>781491436</v>
      </c>
      <c r="Q5" s="13">
        <v>14</v>
      </c>
      <c r="R5" s="13">
        <v>5</v>
      </c>
      <c r="S5" s="14"/>
      <c r="T5" s="13">
        <v>1381195</v>
      </c>
      <c r="U5" s="13" t="s">
        <v>44</v>
      </c>
      <c r="V5" t="s">
        <v>44</v>
      </c>
      <c r="W5">
        <v>4</v>
      </c>
      <c r="X5">
        <v>5</v>
      </c>
      <c r="Y5">
        <v>2.86</v>
      </c>
      <c r="Z5">
        <v>337</v>
      </c>
      <c r="AA5" s="15">
        <f>Table13[[#This Row],[Time until ideal entry + 390 (6:30)]]/(1440)</f>
        <v>0.27430555555555558</v>
      </c>
      <c r="AB5" s="18">
        <f t="shared" si="0"/>
        <v>2.1111111111111116</v>
      </c>
      <c r="AC5" s="18">
        <f>IF(Table13[[#This Row],[HOD AFTER PM HI]]&gt;=Table13[[#This Row],[PM Hi]],((Table13[[#This Row],[HOD AFTER PM HI]]-Table13[[#This Row],[Prior day close]])/Table13[[#This Row],[Prior day close]]),Table13[[#This Row],[Prior Close to PM Hi %]])</f>
        <v>9.1709401709401721</v>
      </c>
      <c r="AD5" s="18">
        <f>(Table13[[#This Row],[Price at hi of squeeze]]-Table13[[#This Row],[MKT Open Price]])/Table13[[#This Row],[MKT Open Price]]</f>
        <v>3.1901408450704229</v>
      </c>
      <c r="AE5" s="18">
        <f>(Table13[[#This Row],[Price at hi of squeeze]]-Table13[[#This Row],[PM Hi]])/Table13[[#This Row],[PM Hi]]</f>
        <v>2.2692307692307692</v>
      </c>
      <c r="AF5" s="18">
        <f>(N5-L5)/L5</f>
        <v>3.3115942028985512</v>
      </c>
      <c r="AG5" s="20">
        <f>Table13[[#This Row],[PM VOL]]/1000000/Table13[[#This Row],[FLOAT(M)]]</f>
        <v>0.27623900000000001</v>
      </c>
      <c r="AH5" s="21">
        <f>(Table13[[#This Row],[Volume]]/1000000)/Table13[[#This Row],[FLOAT(M)]]</f>
        <v>16.332530999999999</v>
      </c>
      <c r="AI5" s="18">
        <f>(Table13[[#This Row],[Hi of Spike after open before drop]]-Table13[[#This Row],[MKT Open Price]])/Table13[[#This Row],[MKT Open Price]]</f>
        <v>0.17253521126760571</v>
      </c>
      <c r="AJ5" s="18">
        <f>(Table13[[#This Row],[PM Hi]]-Table13[[#This Row],[MKT Open Price]])/(Table13[[#This Row],[PM Hi]])</f>
        <v>0.21978021978021983</v>
      </c>
      <c r="AK5" s="16">
        <f>IF(Table13[[#This Row],[PM LO]]&gt;Table13[[#This Row],[Prior day close]],(Table13[[#This Row],[PM Hi]]-Table13[[#This Row],[MKT Open Price]])/(Table13[[#This Row],[PM Hi]]-Table13[[#This Row],[Prior day close]]),(Table13[[#This Row],[PM Hi]]-Table13[[#This Row],[MKT Open Price]])/(Table13[[#This Row],[PM Hi]]-Table13[[#This Row],[PM LO]]))</f>
        <v>0.32388663967611342</v>
      </c>
      <c r="AL5" s="16">
        <f>IF(Table13[[#This Row],[Prior day close]]&lt;Table13[[#This Row],[PM LO]],(J5-L5)/(J5-Table13[[#This Row],[Prior day close]]),(J5-L5)/(J5-Table13[[#This Row],[PM LO]]))</f>
        <v>4.7904191616766512E-2</v>
      </c>
      <c r="AM5" s="16">
        <f>Table13[[#This Row],[Spike % on open before drop]]+AN5</f>
        <v>0.20070422535211277</v>
      </c>
      <c r="AN5" s="16">
        <f t="shared" si="1"/>
        <v>2.8169014084507067E-2</v>
      </c>
      <c r="AO5" s="18">
        <f>IF($K5&gt;=$G5,($K5-$L5)/($K5-$E5),(IF($I5&lt;=$L5,($G5-$I5)/($G5-$E5),(Table13[[#This Row],[PM Hi]]-Table13[[#This Row],[Lowest lo from open to squeeze]])/(Table13[[#This Row],[PM Hi]]-Table13[[#This Row],[Prior day close]]))))</f>
        <v>0.35627530364372478</v>
      </c>
      <c r="AP5" s="18">
        <f>IF(Table13[[#This Row],[Prior day close]]&lt;=Table13[[#This Row],[PM LO]],IF($K5&gt;=$G5,($K5-$L5)/($K5-Table13[[#This Row],[Prior day close]]),(IF($I5&lt;=$L5,($G5-$I5)/($G5-Table13[[#This Row],[Prior day close]]),(Table13[[#This Row],[PM Hi]]-Table13[[#This Row],[Lowest lo from open to squeeze]])/(Table13[[#This Row],[PM Hi]]-Table13[[#This Row],[Prior day close]])))),IF($K5&gt;=$G5,($K5-$L5)/($K5-Table13[[#This Row],[PM LO]]),(IF($I5&lt;=$L5,($G5-$I5)/($G5-Table13[[#This Row],[PM LO]]),(Table13[[#This Row],[PM Hi]]-Table13[[#This Row],[Lowest lo from open to squeeze]])/(Table13[[#This Row],[PM Hi]]-Table13[[#This Row],[PM LO]])))))</f>
        <v>0.35627530364372478</v>
      </c>
      <c r="AQ5" s="18">
        <f>0.85/2.4</f>
        <v>0.35416666666666669</v>
      </c>
      <c r="AR5" s="17">
        <f>390+Table13[[#This Row],[Time until ideal entry point (mins) from open]]</f>
        <v>395</v>
      </c>
      <c r="AS5" s="51">
        <f>(Table13[[#This Row],[Time until ideal entry + 390 (6:30)]]+Table13[[#This Row],[Duration of frontside (mins)]])/1440</f>
        <v>0.5083333333333333</v>
      </c>
    </row>
    <row r="6" spans="1:45" x14ac:dyDescent="0.25">
      <c r="A6" s="25" t="s">
        <v>47</v>
      </c>
      <c r="B6" s="11">
        <v>43391</v>
      </c>
      <c r="C6" s="47" t="s">
        <v>78</v>
      </c>
      <c r="E6" s="12">
        <v>2.36</v>
      </c>
      <c r="F6" s="13">
        <v>2.4700000000000002</v>
      </c>
      <c r="G6" s="12">
        <v>6.55</v>
      </c>
      <c r="H6" s="12">
        <v>2.4700000000000002</v>
      </c>
      <c r="I6" s="12">
        <v>5.7</v>
      </c>
      <c r="J6" s="12">
        <v>5.97</v>
      </c>
      <c r="K6" s="12">
        <v>6.15</v>
      </c>
      <c r="L6" s="12">
        <v>5.7</v>
      </c>
      <c r="M6" s="12">
        <v>10.38</v>
      </c>
      <c r="N6" s="12">
        <v>8</v>
      </c>
      <c r="O6" s="13">
        <v>92939969</v>
      </c>
      <c r="P6" s="12">
        <v>946613731</v>
      </c>
      <c r="Q6" s="13">
        <v>69</v>
      </c>
      <c r="R6" s="13">
        <f>Table13[[#This Row],[MKT CAP(M)]]/Table13[[#This Row],[Prior day close]]</f>
        <v>29.237288135593221</v>
      </c>
      <c r="S6" s="13"/>
      <c r="T6" s="13">
        <v>9384393</v>
      </c>
      <c r="U6" s="13" t="s">
        <v>44</v>
      </c>
      <c r="V6" t="s">
        <v>44</v>
      </c>
      <c r="W6">
        <v>1</v>
      </c>
      <c r="X6">
        <v>2</v>
      </c>
      <c r="Y6">
        <v>6.07</v>
      </c>
      <c r="Z6">
        <v>17</v>
      </c>
      <c r="AA6" s="15">
        <f>Table13[[#This Row],[Time until ideal entry + 390 (6:30)]]/(1440)</f>
        <v>0.2722222222222222</v>
      </c>
      <c r="AB6" s="18">
        <f t="shared" si="0"/>
        <v>1.7754237288135593</v>
      </c>
      <c r="AC6" s="18">
        <f>IF(Table13[[#This Row],[HOD AFTER PM HI]]&gt;=Table13[[#This Row],[PM Hi]],((Table13[[#This Row],[HOD AFTER PM HI]]-Table13[[#This Row],[Prior day close]])/Table13[[#This Row],[Prior day close]]),Table13[[#This Row],[Prior Close to PM Hi %]])</f>
        <v>3.3983050847457634</v>
      </c>
      <c r="AD6" s="18">
        <f>(Table13[[#This Row],[Price at hi of squeeze]]-Table13[[#This Row],[MKT Open Price]])/Table13[[#This Row],[MKT Open Price]]</f>
        <v>0.34003350083752099</v>
      </c>
      <c r="AE6" s="18">
        <f>(Table13[[#This Row],[Price at hi of squeeze]]-Table13[[#This Row],[PM Hi]])/Table13[[#This Row],[PM Hi]]</f>
        <v>0.22137404580152675</v>
      </c>
      <c r="AF6" s="18">
        <f>(N6-L6)/L6</f>
        <v>0.40350877192982454</v>
      </c>
      <c r="AG6" s="20">
        <f>Table13[[#This Row],[PM VOL]]/1000000/Table13[[#This Row],[FLOAT(M)]]</f>
        <v>0.32097344173913039</v>
      </c>
      <c r="AH6" s="23">
        <f>(Table13[[#This Row],[Volume]]/1000000)/Table13[[#This Row],[FLOAT(M)]]</f>
        <v>3.178816331014493</v>
      </c>
      <c r="AI6" s="18">
        <f>(Table13[[#This Row],[Hi of Spike after open before drop]]-Table13[[#This Row],[MKT Open Price]])/Table13[[#This Row],[MKT Open Price]]</f>
        <v>3.0150753768844324E-2</v>
      </c>
      <c r="AJ6" s="18">
        <f>(Table13[[#This Row],[PM Hi]]-Table13[[#This Row],[MKT Open Price]])/(Table13[[#This Row],[PM Hi]])</f>
        <v>8.8549618320610701E-2</v>
      </c>
      <c r="AK6" s="16">
        <f>IF(Table13[[#This Row],[PM LO]]&gt;Table13[[#This Row],[Prior day close]],(Table13[[#This Row],[PM Hi]]-Table13[[#This Row],[MKT Open Price]])/(Table13[[#This Row],[PM Hi]]-Table13[[#This Row],[Prior day close]]),(Table13[[#This Row],[PM Hi]]-Table13[[#This Row],[MKT Open Price]])/(Table13[[#This Row],[PM Hi]]-Table13[[#This Row],[PM LO]]))</f>
        <v>0.13842482100238668</v>
      </c>
      <c r="AL6" s="16">
        <f>IF(Table13[[#This Row],[Prior day close]]&lt;Table13[[#This Row],[PM LO]],(J6-L6)/(J6-Table13[[#This Row],[Prior day close]]),(J6-L6)/(J6-Table13[[#This Row],[PM LO]]))</f>
        <v>7.4792243767312902E-2</v>
      </c>
      <c r="AM6" s="16">
        <f>Table13[[#This Row],[Spike % on open before drop]]+AN6</f>
        <v>7.5376884422110588E-2</v>
      </c>
      <c r="AN6" s="16">
        <f t="shared" si="1"/>
        <v>4.5226130653266264E-2</v>
      </c>
      <c r="AO6" s="18">
        <f>IF($K6&gt;=$G6,($K6-$L6)/($K6-$E6),(IF($I6&lt;=$L6,($G6-$I6)/($G6-$E6),(Table13[[#This Row],[PM Hi]]-Table13[[#This Row],[Lowest lo from open to squeeze]])/(Table13[[#This Row],[PM Hi]]-Table13[[#This Row],[Prior day close]]))))</f>
        <v>0.20286396181384242</v>
      </c>
      <c r="AP6" s="18">
        <f>IF(Table13[[#This Row],[Prior day close]]&lt;=Table13[[#This Row],[PM LO]],IF($K6&gt;=$G6,($K6-$L6)/($K6-Table13[[#This Row],[Prior day close]]),(IF($I6&lt;=$L6,($G6-$I6)/($G6-Table13[[#This Row],[Prior day close]]),(Table13[[#This Row],[PM Hi]]-Table13[[#This Row],[Lowest lo from open to squeeze]])/(Table13[[#This Row],[PM Hi]]-Table13[[#This Row],[Prior day close]])))),IF($K6&gt;=$G6,($K6-$L6)/($K6-Table13[[#This Row],[PM LO]]),(IF($I6&lt;=$L6,($G6-$I6)/($G6-Table13[[#This Row],[PM LO]]),(Table13[[#This Row],[PM Hi]]-Table13[[#This Row],[Lowest lo from open to squeeze]])/(Table13[[#This Row],[PM Hi]]-Table13[[#This Row],[PM LO]])))))</f>
        <v>0.20286396181384242</v>
      </c>
      <c r="AQ6" s="18">
        <f>0.93/4.27</f>
        <v>0.2177985948477752</v>
      </c>
      <c r="AR6" s="17">
        <f>390+Table13[[#This Row],[Time until ideal entry point (mins) from open]]</f>
        <v>392</v>
      </c>
      <c r="AS6" s="51">
        <f>(Table13[[#This Row],[Time until ideal entry + 390 (6:30)]]+Table13[[#This Row],[Duration of frontside (mins)]])/1440</f>
        <v>0.28402777777777777</v>
      </c>
    </row>
    <row r="7" spans="1:45" s="26" customFormat="1" x14ac:dyDescent="0.25">
      <c r="A7" s="10" t="s">
        <v>48</v>
      </c>
      <c r="B7" s="11">
        <v>43524</v>
      </c>
      <c r="C7" s="47" t="s">
        <v>78</v>
      </c>
      <c r="D7"/>
      <c r="E7" s="12">
        <v>5.4</v>
      </c>
      <c r="F7" s="13">
        <v>5.85</v>
      </c>
      <c r="G7" s="12">
        <v>9.6999999999999993</v>
      </c>
      <c r="H7" s="12">
        <v>5.85</v>
      </c>
      <c r="I7" s="12">
        <v>7.83</v>
      </c>
      <c r="J7" s="12">
        <v>8.11</v>
      </c>
      <c r="K7" s="12">
        <v>8.36</v>
      </c>
      <c r="L7" s="12">
        <v>6.93</v>
      </c>
      <c r="M7" s="12">
        <v>10.4</v>
      </c>
      <c r="N7" s="12">
        <v>9.5</v>
      </c>
      <c r="O7" s="13">
        <v>35844942</v>
      </c>
      <c r="P7" s="12">
        <v>290142801</v>
      </c>
      <c r="Q7" s="13">
        <f>2.92*5</f>
        <v>14.6</v>
      </c>
      <c r="R7" s="13">
        <v>2.92</v>
      </c>
      <c r="S7" s="13"/>
      <c r="T7" s="13">
        <v>1341987</v>
      </c>
      <c r="U7" s="13" t="s">
        <v>44</v>
      </c>
      <c r="V7" t="s">
        <v>44</v>
      </c>
      <c r="W7">
        <v>11</v>
      </c>
      <c r="X7">
        <v>12</v>
      </c>
      <c r="Y7">
        <v>7.08</v>
      </c>
      <c r="Z7">
        <v>77</v>
      </c>
      <c r="AA7" s="15">
        <f>Table13[[#This Row],[Time until ideal entry + 390 (6:30)]]/(1440)</f>
        <v>0.27916666666666667</v>
      </c>
      <c r="AB7" s="18">
        <f t="shared" si="0"/>
        <v>0.79629629629629606</v>
      </c>
      <c r="AC7" s="18">
        <f>IF(Table13[[#This Row],[HOD AFTER PM HI]]&gt;=Table13[[#This Row],[PM Hi]],((Table13[[#This Row],[HOD AFTER PM HI]]-Table13[[#This Row],[Prior day close]])/Table13[[#This Row],[Prior day close]]),Table13[[#This Row],[Prior Close to PM Hi %]])</f>
        <v>0.92592592592592582</v>
      </c>
      <c r="AD7" s="18">
        <f>(Table13[[#This Row],[Price at hi of squeeze]]-Table13[[#This Row],[MKT Open Price]])/Table13[[#This Row],[MKT Open Price]]</f>
        <v>0.17139334155363756</v>
      </c>
      <c r="AE7" s="18">
        <f>(Table13[[#This Row],[Price at hi of squeeze]]-Table13[[#This Row],[PM Hi]])/Table13[[#This Row],[PM Hi]]</f>
        <v>-2.0618556701030855E-2</v>
      </c>
      <c r="AF7" s="18">
        <v>0.38</v>
      </c>
      <c r="AG7" s="20">
        <f>Table13[[#This Row],[PM VOL]]/1000000/Table13[[#This Row],[FLOAT(M)]]</f>
        <v>0.45958458904109589</v>
      </c>
      <c r="AH7" s="23">
        <f>(Table13[[#This Row],[Volume]]/1000000)/Table13[[#This Row],[FLOAT(M)]]</f>
        <v>12.275665068493153</v>
      </c>
      <c r="AI7" s="18">
        <f>(Table13[[#This Row],[Hi of Spike after open before drop]]-Table13[[#This Row],[MKT Open Price]])/Table13[[#This Row],[MKT Open Price]]</f>
        <v>3.0826140567200989E-2</v>
      </c>
      <c r="AJ7" s="18">
        <f>(Table13[[#This Row],[PM Hi]]-Table13[[#This Row],[MKT Open Price]])/(Table13[[#This Row],[PM Hi]])</f>
        <v>0.16391752577319588</v>
      </c>
      <c r="AK7" s="16">
        <f>IF(Table13[[#This Row],[PM LO]]&gt;Table13[[#This Row],[Prior day close]],(Table13[[#This Row],[PM Hi]]-Table13[[#This Row],[MKT Open Price]])/(Table13[[#This Row],[PM Hi]]-Table13[[#This Row],[Prior day close]]),(Table13[[#This Row],[PM Hi]]-Table13[[#This Row],[MKT Open Price]])/(Table13[[#This Row],[PM Hi]]-Table13[[#This Row],[PM LO]]))</f>
        <v>0.36976744186046517</v>
      </c>
      <c r="AL7" s="16">
        <f>IF(Table13[[#This Row],[Prior day close]]&lt;Table13[[#This Row],[PM LO]],(J7-L7)/(J7-Table13[[#This Row],[Prior day close]]),(J7-L7)/(J7-Table13[[#This Row],[PM LO]]))</f>
        <v>0.43542435424354248</v>
      </c>
      <c r="AM7" s="16">
        <f>Table13[[#This Row],[Spike % on open before drop]]+AN7</f>
        <v>0.17632552404438961</v>
      </c>
      <c r="AN7" s="16">
        <f t="shared" si="1"/>
        <v>0.14549938347718863</v>
      </c>
      <c r="AO7" s="18">
        <f>IF($K7&gt;=$G7,($K7-$L7)/($K7),(IF($I7&lt;=$L7,($G7-$I7)/($G7),(Table13[[#This Row],[PM Hi]]-Table13[[#This Row],[Lowest lo from open to squeeze]])/(Table13[[#This Row],[PM Hi]]))))</f>
        <v>0.28556701030927834</v>
      </c>
      <c r="AP7" s="18">
        <f>IF(Table13[[#This Row],[Prior day close]]&lt;=Table13[[#This Row],[PM LO]],IF($K7&gt;=$G7,($K7-$L7)/($K7-Table13[[#This Row],[Prior day close]]),(IF($I7&lt;=$L7,($G7-$I7)/($G7-Table13[[#This Row],[Prior day close]]),(Table13[[#This Row],[PM Hi]]-Table13[[#This Row],[Lowest lo from open to squeeze]])/(Table13[[#This Row],[PM Hi]]-Table13[[#This Row],[Prior day close]])))),IF($K7&gt;=$G7,($K7-$L7)/($K7-Table13[[#This Row],[PM LO]]),(IF($I7&lt;=$L7,($G7-$I7)/($G7-Table13[[#This Row],[PM LO]]),(Table13[[#This Row],[PM Hi]]-Table13[[#This Row],[Lowest lo from open to squeeze]])/(Table13[[#This Row],[PM Hi]]-Table13[[#This Row],[PM LO]])))))</f>
        <v>0.64418604651162792</v>
      </c>
      <c r="AQ7" s="18">
        <f>2.74/3.81</f>
        <v>0.71916010498687666</v>
      </c>
      <c r="AR7" s="17">
        <f>390+Table13[[#This Row],[Time until ideal entry point (mins) from open]]</f>
        <v>402</v>
      </c>
      <c r="AS7" s="51">
        <f>(Table13[[#This Row],[Time until ideal entry + 390 (6:30)]]+Table13[[#This Row],[Duration of frontside (mins)]])/1440</f>
        <v>0.33263888888888887</v>
      </c>
    </row>
    <row r="8" spans="1:45" x14ac:dyDescent="0.25">
      <c r="A8" s="25" t="s">
        <v>49</v>
      </c>
      <c r="B8" s="11">
        <v>43530</v>
      </c>
      <c r="C8" s="47" t="s">
        <v>78</v>
      </c>
      <c r="E8" s="12">
        <v>4.72</v>
      </c>
      <c r="F8" s="13">
        <v>4.7300000000000004</v>
      </c>
      <c r="G8" s="12">
        <v>7.48</v>
      </c>
      <c r="H8" s="12">
        <v>4.7300000000000004</v>
      </c>
      <c r="I8" s="12">
        <v>7.22</v>
      </c>
      <c r="J8" s="12">
        <v>7.45</v>
      </c>
      <c r="K8" s="12">
        <v>7.72</v>
      </c>
      <c r="L8" s="12">
        <v>6.91</v>
      </c>
      <c r="M8" s="12">
        <v>14.6</v>
      </c>
      <c r="N8" s="12">
        <v>14.22</v>
      </c>
      <c r="O8" s="13">
        <v>71975174</v>
      </c>
      <c r="P8" s="12">
        <v>858591905</v>
      </c>
      <c r="Q8" s="13">
        <v>8.1999999999999993</v>
      </c>
      <c r="R8" s="13">
        <v>0.31571399999999999</v>
      </c>
      <c r="S8" s="13"/>
      <c r="T8" s="13">
        <v>2470999</v>
      </c>
      <c r="U8" s="13" t="s">
        <v>44</v>
      </c>
      <c r="V8" t="s">
        <v>44</v>
      </c>
      <c r="W8">
        <v>11</v>
      </c>
      <c r="X8">
        <v>12</v>
      </c>
      <c r="Y8">
        <v>7.09</v>
      </c>
      <c r="Z8">
        <v>164</v>
      </c>
      <c r="AA8" s="15">
        <f>Table13[[#This Row],[Time until ideal entry + 390 (6:30)]]/(1440)</f>
        <v>0.27916666666666667</v>
      </c>
      <c r="AB8" s="18">
        <f t="shared" si="0"/>
        <v>0.58474576271186463</v>
      </c>
      <c r="AC8" s="18">
        <f>IF(Table13[[#This Row],[HOD AFTER PM HI]]&gt;=Table13[[#This Row],[PM Hi]],((Table13[[#This Row],[HOD AFTER PM HI]]-Table13[[#This Row],[Prior day close]])/Table13[[#This Row],[Prior day close]]),Table13[[#This Row],[Prior Close to PM Hi %]])</f>
        <v>2.0932203389830506</v>
      </c>
      <c r="AD8" s="18">
        <f>(Table13[[#This Row],[Price at hi of squeeze]]-Table13[[#This Row],[MKT Open Price]])/Table13[[#This Row],[MKT Open Price]]</f>
        <v>0.90872483221476519</v>
      </c>
      <c r="AE8" s="18">
        <f>(Table13[[#This Row],[Price at hi of squeeze]]-Table13[[#This Row],[PM Hi]])/Table13[[#This Row],[PM Hi]]</f>
        <v>0.90106951871657748</v>
      </c>
      <c r="AF8" s="18">
        <f t="shared" ref="AF8:AF39" si="2">(N8-L8)/L8</f>
        <v>1.0578871201157742</v>
      </c>
      <c r="AG8" s="20">
        <f>Table13[[#This Row],[PM VOL]]/1000000/Table13[[#This Row],[FLOAT(M)]]</f>
        <v>7.8267007481454733</v>
      </c>
      <c r="AH8" s="23">
        <f>(Table13[[#This Row],[Volume]]/1000000)/Table13[[#This Row],[FLOAT(M)]]</f>
        <v>227.9758705663987</v>
      </c>
      <c r="AI8" s="18">
        <f>(Table13[[#This Row],[Hi of Spike after open before drop]]-Table13[[#This Row],[MKT Open Price]])/Table13[[#This Row],[MKT Open Price]]</f>
        <v>3.6241610738254978E-2</v>
      </c>
      <c r="AJ8" s="18">
        <f>(Table13[[#This Row],[PM Hi]]-Table13[[#This Row],[MKT Open Price]])/(Table13[[#This Row],[PM Hi]])</f>
        <v>4.0106951871658088E-3</v>
      </c>
      <c r="AK8" s="16">
        <f>IF(Table13[[#This Row],[PM LO]]&gt;Table13[[#This Row],[Prior day close]],(Table13[[#This Row],[PM Hi]]-Table13[[#This Row],[MKT Open Price]])/(Table13[[#This Row],[PM Hi]]-Table13[[#This Row],[Prior day close]]),(Table13[[#This Row],[PM Hi]]-Table13[[#This Row],[MKT Open Price]])/(Table13[[#This Row],[PM Hi]]-Table13[[#This Row],[PM LO]]))</f>
        <v>1.0869565217391393E-2</v>
      </c>
      <c r="AL8" s="16">
        <f>IF(Table13[[#This Row],[Prior day close]]&lt;Table13[[#This Row],[PM LO]],(J8-L8)/(J8-Table13[[#This Row],[Prior day close]]),(J8-L8)/(J8-Table13[[#This Row],[PM LO]]))</f>
        <v>0.19780219780219779</v>
      </c>
      <c r="AM8" s="16">
        <f>Table13[[#This Row],[Spike % on open before drop]]+AN8</f>
        <v>0.10872483221476505</v>
      </c>
      <c r="AN8" s="16">
        <f t="shared" si="1"/>
        <v>7.2483221476510068E-2</v>
      </c>
      <c r="AO8" s="18">
        <f>IF($K8&gt;=$G8,($K8-$L8)/($K8-$E8),(IF($I8&lt;=$L8,($G8-$I8)/($G8-$E8),(Table13[[#This Row],[PM Hi]]-Table13[[#This Row],[Lowest lo from open to squeeze]])/(Table13[[#This Row],[PM Hi]]-Table13[[#This Row],[Prior day close]]))))</f>
        <v>0.26999999999999985</v>
      </c>
      <c r="AP8" s="18">
        <f>IF(Table13[[#This Row],[Prior day close]]&lt;=Table13[[#This Row],[PM LO]],IF($K8&gt;=$G8,($K8-$L8)/($K8-Table13[[#This Row],[Prior day close]]),(IF($I8&lt;=$L8,($G8-$I8)/($G8-Table13[[#This Row],[Prior day close]]),(Table13[[#This Row],[PM Hi]]-Table13[[#This Row],[Lowest lo from open to squeeze]])/(Table13[[#This Row],[PM Hi]]-Table13[[#This Row],[Prior day close]])))),IF($K8&gt;=$G8,($K8-$L8)/($K8-Table13[[#This Row],[PM LO]]),(IF($I8&lt;=$L8,($G8-$I8)/($G8-Table13[[#This Row],[PM LO]]),(Table13[[#This Row],[PM Hi]]-Table13[[#This Row],[Lowest lo from open to squeeze]])/(Table13[[#This Row],[PM Hi]]-Table13[[#This Row],[PM LO]])))))</f>
        <v>0.26999999999999985</v>
      </c>
      <c r="AQ8" s="18">
        <f>1/3.22</f>
        <v>0.3105590062111801</v>
      </c>
      <c r="AR8" s="17">
        <f>390+Table13[[#This Row],[Time until ideal entry point (mins) from open]]</f>
        <v>402</v>
      </c>
      <c r="AS8" s="51">
        <f>(Table13[[#This Row],[Time until ideal entry + 390 (6:30)]]+Table13[[#This Row],[Duration of frontside (mins)]])/1440</f>
        <v>0.39305555555555555</v>
      </c>
    </row>
    <row r="9" spans="1:45" x14ac:dyDescent="0.25">
      <c r="A9" s="26" t="s">
        <v>50</v>
      </c>
      <c r="B9" s="27">
        <v>43531</v>
      </c>
      <c r="C9" s="47" t="s">
        <v>78</v>
      </c>
      <c r="D9" s="26"/>
      <c r="E9" s="28">
        <v>3.02</v>
      </c>
      <c r="F9" s="29">
        <v>3.02</v>
      </c>
      <c r="G9" s="28">
        <v>4.58</v>
      </c>
      <c r="H9" s="28">
        <v>3.02</v>
      </c>
      <c r="I9" s="28">
        <v>3.76</v>
      </c>
      <c r="J9" s="28">
        <v>3.79</v>
      </c>
      <c r="K9" s="28">
        <v>3.95</v>
      </c>
      <c r="L9" s="28">
        <v>3.37</v>
      </c>
      <c r="M9" s="28">
        <v>5.94</v>
      </c>
      <c r="N9" s="28">
        <v>5.94</v>
      </c>
      <c r="O9" s="29">
        <v>31185756</v>
      </c>
      <c r="P9" s="28">
        <v>140351967</v>
      </c>
      <c r="Q9" s="13">
        <f>26</f>
        <v>26</v>
      </c>
      <c r="R9" s="13">
        <v>8.34</v>
      </c>
      <c r="S9" s="29"/>
      <c r="T9" s="13">
        <v>1288362</v>
      </c>
      <c r="U9" s="29" t="s">
        <v>44</v>
      </c>
      <c r="V9" s="26" t="s">
        <v>42</v>
      </c>
      <c r="W9" s="26">
        <v>26</v>
      </c>
      <c r="X9" s="26">
        <v>27</v>
      </c>
      <c r="Y9" s="26">
        <v>3.41</v>
      </c>
      <c r="Z9" s="26">
        <v>135</v>
      </c>
      <c r="AA9" s="30">
        <f>Table13[[#This Row],[Time until ideal entry + 390 (6:30)]]/(1440)</f>
        <v>0.28958333333333336</v>
      </c>
      <c r="AB9" s="31">
        <f t="shared" si="0"/>
        <v>0.51655629139072845</v>
      </c>
      <c r="AC9" s="31">
        <f>IF(Table13[[#This Row],[HOD AFTER PM HI]]&gt;=Table13[[#This Row],[PM Hi]],((Table13[[#This Row],[HOD AFTER PM HI]]-Table13[[#This Row],[Prior day close]])/Table13[[#This Row],[Prior day close]]),Table13[[#This Row],[Prior Close to PM Hi %]])</f>
        <v>0.96688741721854321</v>
      </c>
      <c r="AD9" s="31">
        <f>(Table13[[#This Row],[Price at hi of squeeze]]-Table13[[#This Row],[MKT Open Price]])/Table13[[#This Row],[MKT Open Price]]</f>
        <v>0.56728232189973626</v>
      </c>
      <c r="AE9" s="33">
        <f>(Table13[[#This Row],[Price at hi of squeeze]]-Table13[[#This Row],[PM Hi]])/Table13[[#This Row],[PM Hi]]</f>
        <v>0.29694323144104812</v>
      </c>
      <c r="AF9" s="31">
        <f t="shared" si="2"/>
        <v>0.76261127596439171</v>
      </c>
      <c r="AG9" s="35">
        <f>Table13[[#This Row],[PM VOL]]/1000000/Table13[[#This Row],[FLOAT(M)]]</f>
        <v>0.15447985611510792</v>
      </c>
      <c r="AH9" s="34">
        <f>(Table13[[#This Row],[Volume]]/1000000)/Table13[[#This Row],[FLOAT(M)]]</f>
        <v>3.7392992805755396</v>
      </c>
      <c r="AI9" s="31">
        <f>(Table13[[#This Row],[Hi of Spike after open before drop]]-Table13[[#This Row],[MKT Open Price]])/Table13[[#This Row],[MKT Open Price]]</f>
        <v>4.2216358839050172E-2</v>
      </c>
      <c r="AJ9" s="31">
        <f>(Table13[[#This Row],[PM Hi]]-Table13[[#This Row],[MKT Open Price]])/(Table13[[#This Row],[PM Hi]])</f>
        <v>0.17248908296943233</v>
      </c>
      <c r="AK9" s="16">
        <f>IF(Table13[[#This Row],[PM LO]]&gt;Table13[[#This Row],[Prior day close]],(Table13[[#This Row],[PM Hi]]-Table13[[#This Row],[MKT Open Price]])/(Table13[[#This Row],[PM Hi]]-Table13[[#This Row],[Prior day close]]),(Table13[[#This Row],[PM Hi]]-Table13[[#This Row],[MKT Open Price]])/(Table13[[#This Row],[PM Hi]]-Table13[[#This Row],[PM LO]]))</f>
        <v>0.50641025641025639</v>
      </c>
      <c r="AL9" s="31">
        <f>IF(Table13[[#This Row],[Prior day close]]&lt;Table13[[#This Row],[PM LO]],(J9-L9)/(J9-Table13[[#This Row],[Prior day close]]),(J9-L9)/(J9-Table13[[#This Row],[PM LO]]))</f>
        <v>0.5454545454545453</v>
      </c>
      <c r="AM9" s="31">
        <f>Table13[[#This Row],[Spike % on open before drop]]+AN9</f>
        <v>0.15303430079155675</v>
      </c>
      <c r="AN9" s="31">
        <f t="shared" si="1"/>
        <v>0.11081794195250658</v>
      </c>
      <c r="AO9" s="31">
        <f>IF($K9&gt;=$G9,($K9-$L9)/($K9-$E9),(IF($I9&lt;=$L9,($G9-$I9)/($G9-$E9),(Table13[[#This Row],[PM Hi]]-Table13[[#This Row],[Lowest lo from open to squeeze]])/(Table13[[#This Row],[PM Hi]]-Table13[[#This Row],[Prior day close]]))))</f>
        <v>0.77564102564102555</v>
      </c>
      <c r="AP9" s="31">
        <f>IF(Table13[[#This Row],[Prior day close]]&lt;=Table13[[#This Row],[PM LO]],IF($K9&gt;=$G9,($K9-$L9)/($K9-Table13[[#This Row],[Prior day close]]),(IF($I9&lt;=$L9,($G9-$I9)/($G9-Table13[[#This Row],[Prior day close]]),(Table13[[#This Row],[PM Hi]]-Table13[[#This Row],[Lowest lo from open to squeeze]])/(Table13[[#This Row],[PM Hi]]-Table13[[#This Row],[Prior day close]])))),IF($K9&gt;=$G9,($K9-$L9)/($K9-Table13[[#This Row],[PM LO]]),(IF($I9&lt;=$L9,($G9-$I9)/($G9-Table13[[#This Row],[PM LO]]),(Table13[[#This Row],[PM Hi]]-Table13[[#This Row],[Lowest lo from open to squeeze]])/(Table13[[#This Row],[PM Hi]]-Table13[[#This Row],[PM LO]])))))</f>
        <v>0.77564102564102555</v>
      </c>
      <c r="AQ9" s="31">
        <f>0.86/1.19-1</f>
        <v>-0.27731092436974791</v>
      </c>
      <c r="AR9" s="32">
        <f>390+Table13[[#This Row],[Time until ideal entry point (mins) from open]]</f>
        <v>417</v>
      </c>
      <c r="AS9" s="51">
        <f>(Table13[[#This Row],[Time until ideal entry + 390 (6:30)]]+Table13[[#This Row],[Duration of frontside (mins)]])/1440</f>
        <v>0.38333333333333336</v>
      </c>
    </row>
    <row r="10" spans="1:45" s="36" customFormat="1" x14ac:dyDescent="0.25">
      <c r="A10" s="25" t="s">
        <v>51</v>
      </c>
      <c r="B10" s="11">
        <v>43532</v>
      </c>
      <c r="C10" s="47" t="s">
        <v>78</v>
      </c>
      <c r="D10" t="s">
        <v>52</v>
      </c>
      <c r="E10" s="12">
        <v>4.67</v>
      </c>
      <c r="F10" s="13">
        <v>4.79</v>
      </c>
      <c r="G10" s="12">
        <v>9.6999999999999993</v>
      </c>
      <c r="H10" s="12">
        <v>4.24</v>
      </c>
      <c r="I10" s="12">
        <v>8.6</v>
      </c>
      <c r="J10" s="12">
        <v>8.9</v>
      </c>
      <c r="K10" s="12">
        <v>8.9600000000000009</v>
      </c>
      <c r="L10" s="12">
        <v>6.53</v>
      </c>
      <c r="M10" s="12">
        <v>9.65</v>
      </c>
      <c r="N10" s="12">
        <v>9.65</v>
      </c>
      <c r="O10" s="13">
        <v>28558128</v>
      </c>
      <c r="P10" s="12">
        <v>122533509</v>
      </c>
      <c r="Q10" s="13">
        <f>1.97*4.7</f>
        <v>9.2590000000000003</v>
      </c>
      <c r="R10" s="13">
        <v>1.97</v>
      </c>
      <c r="S10" s="13"/>
      <c r="T10" s="13">
        <v>2814049</v>
      </c>
      <c r="U10" s="13" t="s">
        <v>44</v>
      </c>
      <c r="V10" t="s">
        <v>44</v>
      </c>
      <c r="W10">
        <v>10</v>
      </c>
      <c r="X10">
        <v>62</v>
      </c>
      <c r="Y10">
        <v>6.97</v>
      </c>
      <c r="Z10">
        <v>51</v>
      </c>
      <c r="AA10" s="15">
        <f>Table13[[#This Row],[Time until ideal entry + 390 (6:30)]]/(1440)</f>
        <v>0.31388888888888888</v>
      </c>
      <c r="AB10" s="18">
        <f t="shared" si="0"/>
        <v>1.0770877944325481</v>
      </c>
      <c r="AC10" s="18">
        <f>IF(Table13[[#This Row],[HOD AFTER PM HI]]&gt;=Table13[[#This Row],[PM Hi]],((Table13[[#This Row],[HOD AFTER PM HI]]-Table13[[#This Row],[Prior day close]])/Table13[[#This Row],[Prior day close]]),Table13[[#This Row],[Prior Close to PM Hi %]])</f>
        <v>1.0770877944325481</v>
      </c>
      <c r="AD10" s="18">
        <f>(Table13[[#This Row],[Price at hi of squeeze]]-Table13[[#This Row],[MKT Open Price]])/Table13[[#This Row],[MKT Open Price]]</f>
        <v>8.4269662921348312E-2</v>
      </c>
      <c r="AE10" s="18">
        <f>(Table13[[#This Row],[Price at hi of squeeze]]-Table13[[#This Row],[PM Hi]])/Table13[[#This Row],[PM Hi]]</f>
        <v>-5.1546391752576226E-3</v>
      </c>
      <c r="AF10" s="18">
        <f t="shared" si="2"/>
        <v>0.4777947932618683</v>
      </c>
      <c r="AG10" s="20">
        <f>Table13[[#This Row],[PM VOL]]/1000000/Table13[[#This Row],[FLOAT(M)]]</f>
        <v>1.4284512690355329</v>
      </c>
      <c r="AH10" s="23">
        <f>(Table13[[#This Row],[Volume]]/1000000)/Table13[[#This Row],[FLOAT(M)]]</f>
        <v>14.496511675126904</v>
      </c>
      <c r="AI10" s="18">
        <f>(Table13[[#This Row],[Hi of Spike after open before drop]]-Table13[[#This Row],[MKT Open Price]])/Table13[[#This Row],[MKT Open Price]]</f>
        <v>6.7415730337079208E-3</v>
      </c>
      <c r="AJ10" s="18">
        <f>(Table13[[#This Row],[PM Hi]]-Table13[[#This Row],[MKT Open Price]])/(Table13[[#This Row],[PM Hi]])</f>
        <v>8.2474226804123613E-2</v>
      </c>
      <c r="AK10" s="16">
        <f>IF(Table13[[#This Row],[PM LO]]&gt;Table13[[#This Row],[Prior day close]],(Table13[[#This Row],[PM Hi]]-Table13[[#This Row],[MKT Open Price]])/(Table13[[#This Row],[PM Hi]]-Table13[[#This Row],[Prior day close]]),(Table13[[#This Row],[PM Hi]]-Table13[[#This Row],[MKT Open Price]])/(Table13[[#This Row],[PM Hi]]-Table13[[#This Row],[PM LO]]))</f>
        <v>0.14652014652014636</v>
      </c>
      <c r="AL10" s="16">
        <f>IF(Table13[[#This Row],[Prior day close]]&lt;Table13[[#This Row],[PM LO]],(J10-L10)/(J10-Table13[[#This Row],[Prior day close]]),(J10-L10)/(J10-Table13[[#This Row],[PM LO]]))</f>
        <v>0.50858369098712453</v>
      </c>
      <c r="AM10" s="16">
        <f>Table13[[#This Row],[Spike % on open before drop]]+AN10</f>
        <v>0.27303370786516862</v>
      </c>
      <c r="AN10" s="16">
        <f t="shared" si="1"/>
        <v>0.26629213483146069</v>
      </c>
      <c r="AO10" s="18">
        <f>IF($K10&gt;=$G10,($K10-$L10)/($K10-$E10),(IF($I10&lt;=$L10,($G10-$I10)/($G10-$E10),(Table13[[#This Row],[PM Hi]]-Table13[[#This Row],[Lowest lo from open to squeeze]])/(Table13[[#This Row],[PM Hi]]-Table13[[#This Row],[Prior day close]]))))</f>
        <v>0.63021868787276336</v>
      </c>
      <c r="AP10" s="18">
        <f>IF(Table13[[#This Row],[Prior day close]]&lt;=Table13[[#This Row],[PM LO]],IF($K10&gt;=$G10,($K10-$L10)/($K10-Table13[[#This Row],[Prior day close]]),(IF($I10&lt;=$L10,($G10-$I10)/($G10-Table13[[#This Row],[Prior day close]]),(Table13[[#This Row],[PM Hi]]-Table13[[#This Row],[Lowest lo from open to squeeze]])/(Table13[[#This Row],[PM Hi]]-Table13[[#This Row],[Prior day close]])))),IF($K10&gt;=$G10,($K10-$L10)/($K10-Table13[[#This Row],[PM LO]]),(IF($I10&lt;=$L10,($G10-$I10)/($G10-Table13[[#This Row],[PM LO]]),(Table13[[#This Row],[PM Hi]]-Table13[[#This Row],[Lowest lo from open to squeeze]])/(Table13[[#This Row],[PM Hi]]-Table13[[#This Row],[PM LO]])))))</f>
        <v>0.58058608058608052</v>
      </c>
      <c r="AQ10" s="18">
        <f>3.14/5.02</f>
        <v>0.6254980079681276</v>
      </c>
      <c r="AR10" s="17">
        <f>390+Table13[[#This Row],[Time until ideal entry point (mins) from open]]</f>
        <v>452</v>
      </c>
      <c r="AS10" s="51">
        <f>(Table13[[#This Row],[Time until ideal entry + 390 (6:30)]]+Table13[[#This Row],[Duration of frontside (mins)]])/1440</f>
        <v>0.34930555555555554</v>
      </c>
    </row>
    <row r="11" spans="1:45" x14ac:dyDescent="0.25">
      <c r="A11" s="26" t="s">
        <v>53</v>
      </c>
      <c r="B11" s="27">
        <v>43542</v>
      </c>
      <c r="C11" s="47" t="s">
        <v>78</v>
      </c>
      <c r="D11" s="26"/>
      <c r="E11" s="28">
        <v>6.84</v>
      </c>
      <c r="F11" s="29">
        <v>7.32</v>
      </c>
      <c r="G11" s="28">
        <v>14.98</v>
      </c>
      <c r="H11" s="28">
        <v>7.32</v>
      </c>
      <c r="I11" s="28">
        <v>10.66</v>
      </c>
      <c r="J11" s="28">
        <v>13.36</v>
      </c>
      <c r="K11" s="28">
        <v>13.77</v>
      </c>
      <c r="L11" s="28">
        <v>12.81</v>
      </c>
      <c r="M11" s="28">
        <v>14.91</v>
      </c>
      <c r="N11" s="28">
        <v>14.91</v>
      </c>
      <c r="O11" s="29">
        <v>39382237</v>
      </c>
      <c r="P11" s="28">
        <v>525419002</v>
      </c>
      <c r="Q11" s="13">
        <f>290</f>
        <v>290</v>
      </c>
      <c r="R11" s="13">
        <v>38</v>
      </c>
      <c r="S11" s="29"/>
      <c r="T11" s="13">
        <v>2448595</v>
      </c>
      <c r="U11" s="29" t="s">
        <v>44</v>
      </c>
      <c r="V11" s="26" t="s">
        <v>44</v>
      </c>
      <c r="W11" s="26">
        <v>3</v>
      </c>
      <c r="X11" s="26">
        <v>4</v>
      </c>
      <c r="Y11" s="26">
        <v>12.94</v>
      </c>
      <c r="Z11" s="26">
        <v>6</v>
      </c>
      <c r="AA11" s="30">
        <f>Table13[[#This Row],[Time until ideal entry + 390 (6:30)]]/(1440)</f>
        <v>0.27361111111111114</v>
      </c>
      <c r="AB11" s="31">
        <f t="shared" si="0"/>
        <v>1.1900584795321638</v>
      </c>
      <c r="AC11" s="31">
        <f>IF(Table13[[#This Row],[HOD AFTER PM HI]]&gt;=Table13[[#This Row],[PM Hi]],((Table13[[#This Row],[HOD AFTER PM HI]]-Table13[[#This Row],[Prior day close]])/Table13[[#This Row],[Prior day close]]),Table13[[#This Row],[Prior Close to PM Hi %]])</f>
        <v>1.1900584795321638</v>
      </c>
      <c r="AD11" s="31">
        <f>(Table13[[#This Row],[Price at hi of squeeze]]-Table13[[#This Row],[MKT Open Price]])/Table13[[#This Row],[MKT Open Price]]</f>
        <v>0.11601796407185634</v>
      </c>
      <c r="AE11" s="33">
        <f>(Table13[[#This Row],[Price at hi of squeeze]]-Table13[[#This Row],[PM Hi]])/Table13[[#This Row],[PM Hi]]</f>
        <v>-4.672897196261701E-3</v>
      </c>
      <c r="AF11" s="31">
        <f t="shared" si="2"/>
        <v>0.16393442622950816</v>
      </c>
      <c r="AG11" s="35">
        <f>Table13[[#This Row],[PM VOL]]/1000000/Table13[[#This Row],[FLOAT(M)]]</f>
        <v>6.4436710526315791E-2</v>
      </c>
      <c r="AH11" s="34">
        <f>(Table13[[#This Row],[Volume]]/1000000)/Table13[[#This Row],[FLOAT(M)]]</f>
        <v>1.036374657894737</v>
      </c>
      <c r="AI11" s="31">
        <f>(Table13[[#This Row],[Hi of Spike after open before drop]]-Table13[[#This Row],[MKT Open Price]])/Table13[[#This Row],[MKT Open Price]]</f>
        <v>3.0688622754491031E-2</v>
      </c>
      <c r="AJ11" s="31">
        <f>(Table13[[#This Row],[PM Hi]]-Table13[[#This Row],[MKT Open Price]])/(Table13[[#This Row],[PM Hi]])</f>
        <v>0.10814419225634185</v>
      </c>
      <c r="AK11" s="16">
        <f>IF(Table13[[#This Row],[PM LO]]&gt;Table13[[#This Row],[Prior day close]],(Table13[[#This Row],[PM Hi]]-Table13[[#This Row],[MKT Open Price]])/(Table13[[#This Row],[PM Hi]]-Table13[[#This Row],[Prior day close]]),(Table13[[#This Row],[PM Hi]]-Table13[[#This Row],[MKT Open Price]])/(Table13[[#This Row],[PM Hi]]-Table13[[#This Row],[PM LO]]))</f>
        <v>0.19901719901719914</v>
      </c>
      <c r="AL11" s="31">
        <f>IF(Table13[[#This Row],[Prior day close]]&lt;Table13[[#This Row],[PM LO]],(J11-L11)/(J11-Table13[[#This Row],[Prior day close]]),(J11-L11)/(J11-Table13[[#This Row],[PM LO]]))</f>
        <v>8.4355828220858742E-2</v>
      </c>
      <c r="AM11" s="31">
        <f>Table13[[#This Row],[Spike % on open before drop]]+AN11</f>
        <v>7.1856287425149629E-2</v>
      </c>
      <c r="AN11" s="31">
        <f t="shared" si="1"/>
        <v>4.1167664670658605E-2</v>
      </c>
      <c r="AO11" s="31">
        <f>IF($K11&gt;=$G11,($K11-$L11)/($K11-$E11),(IF($I11&lt;=$L11,($G11-$I11)/($G11-$E11),(Table13[[#This Row],[PM Hi]]-Table13[[#This Row],[Lowest lo from open to squeeze]])/(Table13[[#This Row],[PM Hi]]-Table13[[#This Row],[Prior day close]]))))</f>
        <v>0.53071253071253066</v>
      </c>
      <c r="AP11" s="31">
        <f>IF(Table13[[#This Row],[Prior day close]]&lt;=Table13[[#This Row],[PM LO]],IF($K11&gt;=$G11,($K11-$L11)/($K11-Table13[[#This Row],[Prior day close]]),(IF($I11&lt;=$L11,($G11-$I11)/($G11-Table13[[#This Row],[Prior day close]]),(Table13[[#This Row],[PM Hi]]-Table13[[#This Row],[Lowest lo from open to squeeze]])/(Table13[[#This Row],[PM Hi]]-Table13[[#This Row],[Prior day close]])))),IF($K11&gt;=$G11,($K11-$L11)/($K11-Table13[[#This Row],[PM LO]]),(IF($I11&lt;=$L11,($G11-$I11)/($G11-Table13[[#This Row],[PM LO]]),(Table13[[#This Row],[PM Hi]]-Table13[[#This Row],[Lowest lo from open to squeeze]])/(Table13[[#This Row],[PM Hi]]-Table13[[#This Row],[PM LO]])))))</f>
        <v>0.53071253071253066</v>
      </c>
      <c r="AQ11" s="31">
        <f>4.31/8.11</f>
        <v>0.53144266337854495</v>
      </c>
      <c r="AR11" s="32">
        <f>390+Table13[[#This Row],[Time until ideal entry point (mins) from open]]</f>
        <v>394</v>
      </c>
      <c r="AS11" s="51">
        <f>(Table13[[#This Row],[Time until ideal entry + 390 (6:30)]]+Table13[[#This Row],[Duration of frontside (mins)]])/1440</f>
        <v>0.27777777777777779</v>
      </c>
    </row>
    <row r="12" spans="1:45" hidden="1" x14ac:dyDescent="0.25">
      <c r="A12" s="25" t="s">
        <v>54</v>
      </c>
      <c r="B12" s="11">
        <v>43558</v>
      </c>
      <c r="C12" s="47" t="s">
        <v>78</v>
      </c>
      <c r="D12" t="s">
        <v>55</v>
      </c>
      <c r="E12" s="12">
        <v>5</v>
      </c>
      <c r="F12" s="13">
        <v>4.9000000000000004</v>
      </c>
      <c r="G12" s="12">
        <v>8.8800000000000008</v>
      </c>
      <c r="H12" s="12">
        <v>4.9000000000000004</v>
      </c>
      <c r="I12" s="12">
        <v>8.35</v>
      </c>
      <c r="J12" s="12">
        <v>8.61</v>
      </c>
      <c r="K12" s="12">
        <v>10.35</v>
      </c>
      <c r="L12" s="12">
        <v>7.81</v>
      </c>
      <c r="M12" s="12">
        <v>16.2</v>
      </c>
      <c r="N12" s="12">
        <v>16.2</v>
      </c>
      <c r="O12" s="13">
        <v>24418284</v>
      </c>
      <c r="P12" s="12">
        <v>192416077</v>
      </c>
      <c r="Q12" s="13"/>
      <c r="R12" s="13"/>
      <c r="S12" s="37" t="s">
        <v>56</v>
      </c>
      <c r="T12" s="13">
        <v>462960</v>
      </c>
      <c r="U12" s="37" t="s">
        <v>42</v>
      </c>
      <c r="V12" s="37" t="s">
        <v>44</v>
      </c>
      <c r="W12" s="38">
        <v>10</v>
      </c>
      <c r="X12">
        <v>11</v>
      </c>
      <c r="Y12" s="39">
        <v>8.0500000000000007</v>
      </c>
      <c r="Z12">
        <v>46</v>
      </c>
      <c r="AA12" s="40">
        <f>Table13[[#This Row],[Time until ideal entry + 390 (6:30)]]/(1440)</f>
        <v>0.27847222222222223</v>
      </c>
      <c r="AB12" s="18">
        <f t="shared" si="0"/>
        <v>0.77600000000000013</v>
      </c>
      <c r="AC12" s="18">
        <f>IF(Table13[[#This Row],[HOD AFTER PM HI]]&gt;=Table13[[#This Row],[PM Hi]],((Table13[[#This Row],[HOD AFTER PM HI]]-Table13[[#This Row],[Prior day close]])/Table13[[#This Row],[Prior day close]]),Table13[[#This Row],[Prior Close to PM Hi %]])</f>
        <v>2.2399999999999998</v>
      </c>
      <c r="AD12" s="42">
        <f>(Table13[[#This Row],[Price at hi of squeeze]]-Table13[[#This Row],[MKT Open Price]])/Table13[[#This Row],[MKT Open Price]]</f>
        <v>0.88153310104529625</v>
      </c>
      <c r="AE12" s="18">
        <f>(Table13[[#This Row],[Price at hi of squeeze]]-Table13[[#This Row],[PM Hi]])/Table13[[#This Row],[PM Hi]]</f>
        <v>0.82432432432432412</v>
      </c>
      <c r="AF12" s="18">
        <f t="shared" si="2"/>
        <v>1.0742637644046096</v>
      </c>
      <c r="AG12" s="20" t="e">
        <f>Table13[[#This Row],[PM VOL]]/1000000/Table13[[#This Row],[FLOAT(M)]]</f>
        <v>#DIV/0!</v>
      </c>
      <c r="AH12" s="23" t="e">
        <f>(Table13[[#This Row],[Volume]]/1000000)/Table13[[#This Row],[FLOAT(M)]]</f>
        <v>#DIV/0!</v>
      </c>
      <c r="AJ12" s="18">
        <f>(Table13[[#This Row],[PM Hi]]-Table13[[#This Row],[MKT Open Price]])/(Table13[[#This Row],[PM Hi]])</f>
        <v>3.0405405405405556E-2</v>
      </c>
      <c r="AK12" s="16">
        <f>IF(Table13[[#This Row],[PM LO]]&gt;Table13[[#This Row],[Prior day close]],(Table13[[#This Row],[PM Hi]]-Table13[[#This Row],[MKT Open Price]])/(Table13[[#This Row],[PM Hi]]-Table13[[#This Row],[Prior day close]]),(Table13[[#This Row],[PM Hi]]-Table13[[#This Row],[MKT Open Price]])/(Table13[[#This Row],[PM Hi]]-Table13[[#This Row],[PM LO]]))</f>
        <v>6.7839195979899833E-2</v>
      </c>
      <c r="AL12" s="18">
        <f>IF(Table13[[#This Row],[Prior day close]]&lt;Table13[[#This Row],[PM LO]],(J12-L12)/(J12-Table13[[#This Row],[Prior day close]]),(J12-L12)/(J12-Table13[[#This Row],[PM LO]]))</f>
        <v>0.215633423180593</v>
      </c>
      <c r="AM12" s="18">
        <f>Table13[[#This Row],[Spike % on open before drop]]+AN12</f>
        <v>0</v>
      </c>
      <c r="AN12" s="16"/>
      <c r="AO12" s="16"/>
      <c r="AP12" s="18">
        <f>IF(Table13[[#This Row],[Prior day close]]&lt;=Table13[[#This Row],[PM LO]],IF($K12&gt;=$G12,($K12-$L12)/($K12-Table13[[#This Row],[Prior day close]]),(IF($I12&lt;=$L12,($G12-$I12)/($G12-Table13[[#This Row],[Prior day close]]),(Table13[[#This Row],[PM Hi]]-Table13[[#This Row],[Lowest lo from open to squeeze]])/(Table13[[#This Row],[PM Hi]]-Table13[[#This Row],[Prior day close]])))),IF($K12&gt;=$G12,($K12-$L12)/($K12-Table13[[#This Row],[PM LO]]),(IF($I12&lt;=$L12,($G12-$I12)/($G12-Table13[[#This Row],[PM LO]]),(Table13[[#This Row],[PM Hi]]-Table13[[#This Row],[Lowest lo from open to squeeze]])/(Table13[[#This Row],[PM Hi]]-Table13[[#This Row],[PM LO]])))))</f>
        <v>0.46605504587155971</v>
      </c>
      <c r="AQ12" s="18"/>
      <c r="AR12" s="17">
        <f>390+Table13[[#This Row],[Time until ideal entry point (mins) from open]]</f>
        <v>401</v>
      </c>
      <c r="AS12" s="51">
        <f>(Table13[[#This Row],[Time until ideal entry + 390 (6:30)]]+Table13[[#This Row],[Duration of frontside (mins)]])/1440</f>
        <v>0.31041666666666667</v>
      </c>
    </row>
    <row r="13" spans="1:45" s="26" customFormat="1" x14ac:dyDescent="0.25">
      <c r="A13" s="10" t="s">
        <v>57</v>
      </c>
      <c r="B13" s="11">
        <v>43601</v>
      </c>
      <c r="C13" s="47" t="s">
        <v>78</v>
      </c>
      <c r="D13"/>
      <c r="E13" s="12">
        <v>0.91</v>
      </c>
      <c r="F13" s="13">
        <v>0.93</v>
      </c>
      <c r="G13" s="12">
        <v>1.34</v>
      </c>
      <c r="H13" s="12">
        <v>0.93</v>
      </c>
      <c r="I13" s="12">
        <v>1.19</v>
      </c>
      <c r="J13" s="12">
        <v>1.25</v>
      </c>
      <c r="K13" s="12">
        <v>1.27</v>
      </c>
      <c r="L13" s="12">
        <v>1.1499999999999999</v>
      </c>
      <c r="M13" s="12">
        <v>1.77</v>
      </c>
      <c r="N13" s="12">
        <v>1.42</v>
      </c>
      <c r="O13" s="13">
        <v>50865833</v>
      </c>
      <c r="P13" s="12">
        <v>71260392</v>
      </c>
      <c r="Q13" s="13">
        <v>177</v>
      </c>
      <c r="R13" s="13">
        <v>9.0500000000000007</v>
      </c>
      <c r="S13" s="14"/>
      <c r="T13" s="13">
        <v>2919768</v>
      </c>
      <c r="U13" s="13" t="s">
        <v>44</v>
      </c>
      <c r="V13" t="s">
        <v>44</v>
      </c>
      <c r="W13">
        <v>21</v>
      </c>
      <c r="X13">
        <v>22</v>
      </c>
      <c r="Y13">
        <v>1.1599999999999999</v>
      </c>
      <c r="Z13">
        <v>38</v>
      </c>
      <c r="AA13" s="15">
        <f>Table13[[#This Row],[Time until ideal entry + 390 (6:30)]]/(1440)</f>
        <v>0.28611111111111109</v>
      </c>
      <c r="AB13" s="18">
        <f t="shared" si="0"/>
        <v>0.47252747252747257</v>
      </c>
      <c r="AC13" s="18">
        <f>IF(Table13[[#This Row],[HOD AFTER PM HI]]&gt;=Table13[[#This Row],[PM Hi]],((Table13[[#This Row],[HOD AFTER PM HI]]-Table13[[#This Row],[Prior day close]])/Table13[[#This Row],[Prior day close]]),Table13[[#This Row],[Prior Close to PM Hi %]])</f>
        <v>0.94505494505494503</v>
      </c>
      <c r="AD13" s="18">
        <f>(Table13[[#This Row],[Price at hi of squeeze]]-Table13[[#This Row],[MKT Open Price]])/Table13[[#This Row],[MKT Open Price]]</f>
        <v>0.13599999999999995</v>
      </c>
      <c r="AE13" s="18">
        <f>(Table13[[#This Row],[Price at hi of squeeze]]-Table13[[#This Row],[PM Hi]])/Table13[[#This Row],[PM Hi]]</f>
        <v>5.9701492537313314E-2</v>
      </c>
      <c r="AF13" s="18">
        <f t="shared" si="2"/>
        <v>0.23478260869565221</v>
      </c>
      <c r="AG13" s="20">
        <f>Table13[[#This Row],[PM VOL]]/1000000/Table13[[#This Row],[FLOAT(M)]]</f>
        <v>0.32262629834254142</v>
      </c>
      <c r="AH13" s="21">
        <f>(Table13[[#This Row],[Volume]]/1000000)/Table13[[#This Row],[FLOAT(M)]]</f>
        <v>5.6205340331491707</v>
      </c>
      <c r="AI13" s="18">
        <f>(Table13[[#This Row],[Hi of Spike after open before drop]]-Table13[[#This Row],[MKT Open Price]])/Table13[[#This Row],[MKT Open Price]]</f>
        <v>1.6000000000000014E-2</v>
      </c>
      <c r="AJ13" s="18">
        <f>(Table13[[#This Row],[PM Hi]]-Table13[[#This Row],[MKT Open Price]])/(Table13[[#This Row],[PM Hi]])</f>
        <v>6.7164179104477667E-2</v>
      </c>
      <c r="AK13" s="16">
        <f>IF(Table13[[#This Row],[PM LO]]&gt;Table13[[#This Row],[Prior day close]],(Table13[[#This Row],[PM Hi]]-Table13[[#This Row],[MKT Open Price]])/(Table13[[#This Row],[PM Hi]]-Table13[[#This Row],[Prior day close]]),(Table13[[#This Row],[PM Hi]]-Table13[[#This Row],[MKT Open Price]])/(Table13[[#This Row],[PM Hi]]-Table13[[#This Row],[PM LO]]))</f>
        <v>0.2093023255813955</v>
      </c>
      <c r="AL13" s="16">
        <f>IF(Table13[[#This Row],[Prior day close]]&lt;Table13[[#This Row],[PM LO]],(J13-L13)/(J13-Table13[[#This Row],[Prior day close]]),(J13-L13)/(J13-Table13[[#This Row],[PM LO]]))</f>
        <v>0.29411764705882382</v>
      </c>
      <c r="AM13" s="16">
        <f>Table13[[#This Row],[Spike % on open before drop]]+AN13</f>
        <v>9.6000000000000085E-2</v>
      </c>
      <c r="AN13" s="16">
        <f t="shared" ref="AN13:AN56" si="3">(J13-L13)/J13</f>
        <v>8.0000000000000071E-2</v>
      </c>
      <c r="AO13" s="18">
        <f>IF($K13&gt;=$G13,($K13-$L13)/($K13-$E13),(IF($I13&lt;=$L13,($G13-$I13)/($G13-$E13),(Table13[[#This Row],[PM Hi]]-Table13[[#This Row],[Lowest lo from open to squeeze]])/(Table13[[#This Row],[PM Hi]]-Table13[[#This Row],[Prior day close]]))))</f>
        <v>0.44186046511627941</v>
      </c>
      <c r="AP13" s="18">
        <f>IF(Table13[[#This Row],[Prior day close]]&lt;=Table13[[#This Row],[PM LO]],IF($K13&gt;=$G13,($K13-$L13)/($K13-Table13[[#This Row],[Prior day close]]),(IF($I13&lt;=$L13,($G13-$I13)/($G13-Table13[[#This Row],[Prior day close]]),(Table13[[#This Row],[PM Hi]]-Table13[[#This Row],[Lowest lo from open to squeeze]])/(Table13[[#This Row],[PM Hi]]-Table13[[#This Row],[Prior day close]])))),IF($K13&gt;=$G13,($K13-$L13)/($K13-Table13[[#This Row],[PM LO]]),(IF($I13&lt;=$L13,($G13-$I13)/($G13-Table13[[#This Row],[PM LO]]),(Table13[[#This Row],[PM Hi]]-Table13[[#This Row],[Lowest lo from open to squeeze]])/(Table13[[#This Row],[PM Hi]]-Table13[[#This Row],[PM LO]])))))</f>
        <v>0.44186046511627941</v>
      </c>
      <c r="AQ13" s="18">
        <f>0.19/0.42</f>
        <v>0.45238095238095238</v>
      </c>
      <c r="AR13" s="17">
        <f>390+Table13[[#This Row],[Time until ideal entry point (mins) from open]]</f>
        <v>412</v>
      </c>
      <c r="AS13" s="51">
        <f>(Table13[[#This Row],[Time until ideal entry + 390 (6:30)]]+Table13[[#This Row],[Duration of frontside (mins)]])/1440</f>
        <v>0.3125</v>
      </c>
    </row>
    <row r="14" spans="1:45" x14ac:dyDescent="0.25">
      <c r="A14" s="25" t="s">
        <v>58</v>
      </c>
      <c r="B14" s="11">
        <v>43626</v>
      </c>
      <c r="C14" s="47" t="s">
        <v>78</v>
      </c>
      <c r="E14" s="12">
        <v>5.5</v>
      </c>
      <c r="F14" s="13">
        <v>6.22</v>
      </c>
      <c r="G14" s="12">
        <v>12.9</v>
      </c>
      <c r="H14" s="12">
        <v>6.22</v>
      </c>
      <c r="I14" s="12">
        <v>10.41</v>
      </c>
      <c r="J14" s="12">
        <v>10.79</v>
      </c>
      <c r="K14" s="12">
        <v>11.22</v>
      </c>
      <c r="L14" s="12">
        <v>9.75</v>
      </c>
      <c r="M14" s="12">
        <v>22.82</v>
      </c>
      <c r="N14" s="12">
        <v>22.82</v>
      </c>
      <c r="O14" s="13">
        <v>26121380</v>
      </c>
      <c r="P14" s="12">
        <v>323502243</v>
      </c>
      <c r="Q14" s="13">
        <v>163</v>
      </c>
      <c r="R14" s="13">
        <v>24.62</v>
      </c>
      <c r="S14" s="14"/>
      <c r="T14" s="13">
        <v>1153010</v>
      </c>
      <c r="U14" s="13" t="s">
        <v>42</v>
      </c>
      <c r="V14" t="s">
        <v>44</v>
      </c>
      <c r="W14">
        <v>4</v>
      </c>
      <c r="X14">
        <v>5</v>
      </c>
      <c r="Y14">
        <v>10.23</v>
      </c>
      <c r="Z14">
        <v>51</v>
      </c>
      <c r="AA14" s="15">
        <f>Table13[[#This Row],[Time until ideal entry + 390 (6:30)]]/(1440)</f>
        <v>0.27430555555555558</v>
      </c>
      <c r="AB14" s="18">
        <f t="shared" si="0"/>
        <v>1.3454545454545455</v>
      </c>
      <c r="AC14" s="18">
        <f>IF(Table13[[#This Row],[HOD AFTER PM HI]]&gt;=Table13[[#This Row],[PM Hi]],((Table13[[#This Row],[HOD AFTER PM HI]]-Table13[[#This Row],[Prior day close]])/Table13[[#This Row],[Prior day close]]),Table13[[#This Row],[Prior Close to PM Hi %]])</f>
        <v>3.1490909090909089</v>
      </c>
      <c r="AD14" s="18">
        <f>(Table13[[#This Row],[Price at hi of squeeze]]-Table13[[#This Row],[MKT Open Price]])/Table13[[#This Row],[MKT Open Price]]</f>
        <v>1.1149212233549586</v>
      </c>
      <c r="AE14" s="18">
        <f>(Table13[[#This Row],[Price at hi of squeeze]]-Table13[[#This Row],[PM Hi]])/Table13[[#This Row],[PM Hi]]</f>
        <v>0.76899224806201549</v>
      </c>
      <c r="AF14" s="18">
        <f t="shared" si="2"/>
        <v>1.3405128205128205</v>
      </c>
      <c r="AG14" s="20">
        <f>Table13[[#This Row],[PM VOL]]/1000000/Table13[[#This Row],[FLOAT(M)]]</f>
        <v>4.6832250203086921E-2</v>
      </c>
      <c r="AH14" s="21">
        <f>(Table13[[#This Row],[Volume]]/1000000)/Table13[[#This Row],[FLOAT(M)]]</f>
        <v>1.0609821283509342</v>
      </c>
      <c r="AI14" s="18">
        <f>(Table13[[#This Row],[Hi of Spike after open before drop]]-Table13[[#This Row],[MKT Open Price]])/Table13[[#This Row],[MKT Open Price]]</f>
        <v>3.985171455050987E-2</v>
      </c>
      <c r="AJ14" s="18">
        <f>(Table13[[#This Row],[PM Hi]]-Table13[[#This Row],[MKT Open Price]])/(Table13[[#This Row],[PM Hi]])</f>
        <v>0.16356589147286832</v>
      </c>
      <c r="AK14" s="16">
        <f>IF(Table13[[#This Row],[PM LO]]&gt;Table13[[#This Row],[Prior day close]],(Table13[[#This Row],[PM Hi]]-Table13[[#This Row],[MKT Open Price]])/(Table13[[#This Row],[PM Hi]]-Table13[[#This Row],[Prior day close]]),(Table13[[#This Row],[PM Hi]]-Table13[[#This Row],[MKT Open Price]])/(Table13[[#This Row],[PM Hi]]-Table13[[#This Row],[PM LO]]))</f>
        <v>0.28513513513513528</v>
      </c>
      <c r="AL14" s="16">
        <f>IF(Table13[[#This Row],[Prior day close]]&lt;Table13[[#This Row],[PM LO]],(J14-L14)/(J14-Table13[[#This Row],[Prior day close]]),(J14-L14)/(J14-Table13[[#This Row],[PM LO]]))</f>
        <v>0.19659735349716434</v>
      </c>
      <c r="AM14" s="16">
        <f>Table13[[#This Row],[Spike % on open before drop]]+AN14</f>
        <v>0.13623725671918449</v>
      </c>
      <c r="AN14" s="16">
        <f t="shared" si="3"/>
        <v>9.6385542168674621E-2</v>
      </c>
      <c r="AO14" s="18">
        <f>IF($K14&gt;=$G14,($K14-$L14)/($K14-$E14),(IF($I14&lt;=$L14,($G14-$I14)/($G14-$E14),(Table13[[#This Row],[PM Hi]]-Table13[[#This Row],[Lowest lo from open to squeeze]])/(Table13[[#This Row],[PM Hi]]-Table13[[#This Row],[Prior day close]]))))</f>
        <v>0.42567567567567571</v>
      </c>
      <c r="AP14" s="18">
        <f>IF(Table13[[#This Row],[Prior day close]]&lt;=Table13[[#This Row],[PM LO]],IF($K14&gt;=$G14,($K14-$L14)/($K14-Table13[[#This Row],[Prior day close]]),(IF($I14&lt;=$L14,($G14-$I14)/($G14-Table13[[#This Row],[Prior day close]]),(Table13[[#This Row],[PM Hi]]-Table13[[#This Row],[Lowest lo from open to squeeze]])/(Table13[[#This Row],[PM Hi]]-Table13[[#This Row],[Prior day close]])))),IF($K14&gt;=$G14,($K14-$L14)/($K14-Table13[[#This Row],[PM LO]]),(IF($I14&lt;=$L14,($G14-$I14)/($G14-Table13[[#This Row],[PM LO]]),(Table13[[#This Row],[PM Hi]]-Table13[[#This Row],[Lowest lo from open to squeeze]])/(Table13[[#This Row],[PM Hi]]-Table13[[#This Row],[PM LO]])))))</f>
        <v>0.42567567567567571</v>
      </c>
      <c r="AQ14" s="18">
        <f>3.13/7.44</f>
        <v>0.42069892473118276</v>
      </c>
      <c r="AR14" s="17">
        <f>390+Table13[[#This Row],[Time until ideal entry point (mins) from open]]</f>
        <v>395</v>
      </c>
      <c r="AS14" s="51">
        <f>(Table13[[#This Row],[Time until ideal entry + 390 (6:30)]]+Table13[[#This Row],[Duration of frontside (mins)]])/1440</f>
        <v>0.30972222222222223</v>
      </c>
    </row>
    <row r="15" spans="1:45" x14ac:dyDescent="0.25">
      <c r="A15" s="10" t="s">
        <v>48</v>
      </c>
      <c r="B15" s="11">
        <v>43686</v>
      </c>
      <c r="C15" s="47" t="s">
        <v>78</v>
      </c>
      <c r="E15" s="12">
        <v>2.2400000000000002</v>
      </c>
      <c r="F15" s="13">
        <v>2.5</v>
      </c>
      <c r="G15" s="12">
        <v>3.5</v>
      </c>
      <c r="H15" s="12">
        <v>2.4300000000000002</v>
      </c>
      <c r="I15" s="12">
        <v>3.04</v>
      </c>
      <c r="J15" s="12">
        <v>3.23</v>
      </c>
      <c r="K15" s="12">
        <v>3.39</v>
      </c>
      <c r="L15" s="12">
        <v>2.7</v>
      </c>
      <c r="M15" s="12">
        <v>4.97</v>
      </c>
      <c r="N15" s="12">
        <v>4.28</v>
      </c>
      <c r="O15" s="13">
        <v>56134408</v>
      </c>
      <c r="P15" s="12">
        <v>233122567</v>
      </c>
      <c r="Q15" s="13">
        <v>11</v>
      </c>
      <c r="R15" s="13">
        <v>4.7699999999999996</v>
      </c>
      <c r="S15" s="14"/>
      <c r="T15" s="13">
        <v>2809869</v>
      </c>
      <c r="U15" s="13" t="s">
        <v>44</v>
      </c>
      <c r="V15" t="s">
        <v>44</v>
      </c>
      <c r="W15">
        <v>23</v>
      </c>
      <c r="X15">
        <v>24</v>
      </c>
      <c r="Y15">
        <v>2.97</v>
      </c>
      <c r="Z15">
        <v>22</v>
      </c>
      <c r="AA15" s="15">
        <f>Table13[[#This Row],[Time until ideal entry + 390 (6:30)]]/(1440)</f>
        <v>0.28749999999999998</v>
      </c>
      <c r="AB15" s="18">
        <f t="shared" si="0"/>
        <v>0.56249999999999989</v>
      </c>
      <c r="AC15" s="18">
        <f>IF(Table13[[#This Row],[HOD AFTER PM HI]]&gt;=Table13[[#This Row],[PM Hi]],((Table13[[#This Row],[HOD AFTER PM HI]]-Table13[[#This Row],[Prior day close]])/Table13[[#This Row],[Prior day close]]),Table13[[#This Row],[Prior Close to PM Hi %]])</f>
        <v>1.2187499999999998</v>
      </c>
      <c r="AD15" s="18">
        <f>(Table13[[#This Row],[Price at hi of squeeze]]-Table13[[#This Row],[MKT Open Price]])/Table13[[#This Row],[MKT Open Price]]</f>
        <v>0.32507739938080504</v>
      </c>
      <c r="AE15" s="18">
        <f>(Table13[[#This Row],[Price at hi of squeeze]]-Table13[[#This Row],[PM Hi]])/Table13[[#This Row],[PM Hi]]</f>
        <v>0.22285714285714292</v>
      </c>
      <c r="AF15" s="18">
        <f t="shared" si="2"/>
        <v>0.58518518518518514</v>
      </c>
      <c r="AG15" s="20">
        <f>Table13[[#This Row],[PM VOL]]/1000000/Table13[[#This Row],[FLOAT(M)]]</f>
        <v>0.58907106918238994</v>
      </c>
      <c r="AH15" s="21">
        <f>(Table13[[#This Row],[Volume]]/1000000)/Table13[[#This Row],[FLOAT(M)]]</f>
        <v>11.768219706498954</v>
      </c>
      <c r="AI15" s="18">
        <f>(Table13[[#This Row],[Hi of Spike after open before drop]]-Table13[[#This Row],[MKT Open Price]])/Table13[[#This Row],[MKT Open Price]]</f>
        <v>4.9535603715170323E-2</v>
      </c>
      <c r="AJ15" s="18">
        <f>(Table13[[#This Row],[PM Hi]]-Table13[[#This Row],[MKT Open Price]])/(Table13[[#This Row],[PM Hi]])</f>
        <v>7.7142857142857152E-2</v>
      </c>
      <c r="AK15" s="16">
        <f>IF(Table13[[#This Row],[PM LO]]&gt;Table13[[#This Row],[Prior day close]],(Table13[[#This Row],[PM Hi]]-Table13[[#This Row],[MKT Open Price]])/(Table13[[#This Row],[PM Hi]]-Table13[[#This Row],[Prior day close]]),(Table13[[#This Row],[PM Hi]]-Table13[[#This Row],[MKT Open Price]])/(Table13[[#This Row],[PM Hi]]-Table13[[#This Row],[PM LO]]))</f>
        <v>0.21428571428571433</v>
      </c>
      <c r="AL15" s="16">
        <f>IF(Table13[[#This Row],[Prior day close]]&lt;Table13[[#This Row],[PM LO]],(J15-L15)/(J15-Table13[[#This Row],[Prior day close]]),(J15-L15)/(J15-Table13[[#This Row],[PM LO]]))</f>
        <v>0.53535353535353525</v>
      </c>
      <c r="AM15" s="16">
        <f>Table13[[#This Row],[Spike % on open before drop]]+AN15</f>
        <v>0.21362229102167182</v>
      </c>
      <c r="AN15" s="16">
        <f t="shared" si="3"/>
        <v>0.1640866873065015</v>
      </c>
      <c r="AO15" s="18">
        <f>IF($K15&gt;=$G15,($K15-$L15)/($K15-$E15),(IF($I15&lt;=$L15,($G15-$I15)/($G15-$E15),(Table13[[#This Row],[PM Hi]]-Table13[[#This Row],[Lowest lo from open to squeeze]])/(Table13[[#This Row],[PM Hi]]-Table13[[#This Row],[Prior day close]]))))</f>
        <v>0.63492063492063489</v>
      </c>
      <c r="AP15" s="18">
        <f>IF(Table13[[#This Row],[Prior day close]]&lt;=Table13[[#This Row],[PM LO]],IF($K15&gt;=$G15,($K15-$L15)/($K15-Table13[[#This Row],[Prior day close]]),(IF($I15&lt;=$L15,($G15-$I15)/($G15-Table13[[#This Row],[Prior day close]]),(Table13[[#This Row],[PM Hi]]-Table13[[#This Row],[Lowest lo from open to squeeze]])/(Table13[[#This Row],[PM Hi]]-Table13[[#This Row],[Prior day close]])))),IF($K15&gt;=$G15,($K15-$L15)/($K15-Table13[[#This Row],[PM LO]]),(IF($I15&lt;=$L15,($G15-$I15)/($G15-Table13[[#This Row],[PM LO]]),(Table13[[#This Row],[PM Hi]]-Table13[[#This Row],[Lowest lo from open to squeeze]])/(Table13[[#This Row],[PM Hi]]-Table13[[#This Row],[PM LO]])))))</f>
        <v>0.63492063492063489</v>
      </c>
      <c r="AQ15" s="18">
        <f>0.79/1.27</f>
        <v>0.62204724409448819</v>
      </c>
      <c r="AR15" s="17">
        <f>390+Table13[[#This Row],[Time until ideal entry point (mins) from open]]</f>
        <v>414</v>
      </c>
      <c r="AS15" s="51">
        <f>(Table13[[#This Row],[Time until ideal entry + 390 (6:30)]]+Table13[[#This Row],[Duration of frontside (mins)]])/1440</f>
        <v>0.30277777777777776</v>
      </c>
    </row>
    <row r="16" spans="1:45" x14ac:dyDescent="0.25">
      <c r="A16" s="25" t="s">
        <v>59</v>
      </c>
      <c r="B16" s="11">
        <v>43839</v>
      </c>
      <c r="C16" s="47" t="s">
        <v>78</v>
      </c>
      <c r="E16" s="12">
        <v>4.9000000000000004</v>
      </c>
      <c r="F16" s="13">
        <v>4.41</v>
      </c>
      <c r="G16" s="12">
        <v>7.75</v>
      </c>
      <c r="H16" s="12">
        <v>4.41</v>
      </c>
      <c r="I16" s="12">
        <v>5.13</v>
      </c>
      <c r="J16" s="12">
        <v>6.65</v>
      </c>
      <c r="K16" s="12">
        <v>6.69</v>
      </c>
      <c r="L16" s="12">
        <v>6.2</v>
      </c>
      <c r="M16" s="12">
        <v>9.5</v>
      </c>
      <c r="N16" s="12">
        <v>7.15</v>
      </c>
      <c r="O16" s="13">
        <v>41847146</v>
      </c>
      <c r="P16" s="12">
        <v>341730596</v>
      </c>
      <c r="Q16" s="13">
        <v>76</v>
      </c>
      <c r="R16" s="13">
        <v>18.03</v>
      </c>
      <c r="S16" s="13"/>
      <c r="T16" s="13">
        <v>2608684</v>
      </c>
      <c r="U16" s="13" t="s">
        <v>44</v>
      </c>
      <c r="V16" t="s">
        <v>44</v>
      </c>
      <c r="W16">
        <v>8</v>
      </c>
      <c r="X16">
        <v>8</v>
      </c>
      <c r="Y16">
        <v>6.41</v>
      </c>
      <c r="Z16">
        <v>7</v>
      </c>
      <c r="AA16" s="15">
        <f>Table13[[#This Row],[Time until ideal entry + 390 (6:30)]]/(1440)</f>
        <v>0.27638888888888891</v>
      </c>
      <c r="AB16" s="18">
        <f t="shared" si="0"/>
        <v>0.58163265306122436</v>
      </c>
      <c r="AC16" s="18">
        <f>IF(Table13[[#This Row],[HOD AFTER PM HI]]&gt;=Table13[[#This Row],[PM Hi]],((Table13[[#This Row],[HOD AFTER PM HI]]-Table13[[#This Row],[Prior day close]])/Table13[[#This Row],[Prior day close]]),Table13[[#This Row],[Prior Close to PM Hi %]])</f>
        <v>0.93877551020408145</v>
      </c>
      <c r="AD16" s="18">
        <f>(Table13[[#This Row],[Price at hi of squeeze]]-Table13[[#This Row],[MKT Open Price]])/Table13[[#This Row],[MKT Open Price]]</f>
        <v>7.5187969924812026E-2</v>
      </c>
      <c r="AE16" s="18">
        <f>(Table13[[#This Row],[Price at hi of squeeze]]-Table13[[#This Row],[PM Hi]])/Table13[[#This Row],[PM Hi]]</f>
        <v>-7.7419354838709625E-2</v>
      </c>
      <c r="AF16" s="18">
        <f t="shared" si="2"/>
        <v>0.15322580645161293</v>
      </c>
      <c r="AG16" s="20">
        <f>Table13[[#This Row],[PM VOL]]/1000000/Table13[[#This Row],[FLOAT(M)]]</f>
        <v>0.144685745978924</v>
      </c>
      <c r="AH16" s="23">
        <f>(Table13[[#This Row],[Volume]]/1000000)/Table13[[#This Row],[FLOAT(M)]]</f>
        <v>2.3209731558513589</v>
      </c>
      <c r="AI16" s="18">
        <f>(Table13[[#This Row],[Hi of Spike after open before drop]]-Table13[[#This Row],[MKT Open Price]])/Table13[[#This Row],[MKT Open Price]]</f>
        <v>6.0150375939849671E-3</v>
      </c>
      <c r="AJ16" s="18">
        <f>(Table13[[#This Row],[PM Hi]]-Table13[[#This Row],[MKT Open Price]])/(Table13[[#This Row],[PM Hi]])</f>
        <v>0.14193548387096769</v>
      </c>
      <c r="AK16" s="16">
        <f>IF(Table13[[#This Row],[PM LO]]&gt;Table13[[#This Row],[Prior day close]],(Table13[[#This Row],[PM Hi]]-Table13[[#This Row],[MKT Open Price]])/(Table13[[#This Row],[PM Hi]]-Table13[[#This Row],[Prior day close]]),(Table13[[#This Row],[PM Hi]]-Table13[[#This Row],[MKT Open Price]])/(Table13[[#This Row],[PM Hi]]-Table13[[#This Row],[PM LO]]))</f>
        <v>0.32934131736526939</v>
      </c>
      <c r="AL16" s="16">
        <f>IF(Table13[[#This Row],[Prior day close]]&lt;Table13[[#This Row],[PM LO]],(J16-L16)/(J16-Table13[[#This Row],[Prior day close]]),(J16-L16)/(J16-Table13[[#This Row],[PM LO]]))</f>
        <v>0.20089285714285721</v>
      </c>
      <c r="AM16" s="16">
        <f>Table13[[#This Row],[Spike % on open before drop]]+AN16</f>
        <v>7.3684210526315824E-2</v>
      </c>
      <c r="AN16" s="16">
        <f t="shared" si="3"/>
        <v>6.7669172932330851E-2</v>
      </c>
      <c r="AO16" s="18">
        <f>IF($K16&gt;=$G16,($K16-$L16)/($K16-$E16),(IF($I16&lt;=$L16,($G16-$I16)/($G16-$E16),(Table13[[#This Row],[PM Hi]]-Table13[[#This Row],[Lowest lo from open to squeeze]])/(Table13[[#This Row],[PM Hi]]-Table13[[#This Row],[Prior day close]]))))</f>
        <v>0.91929824561403528</v>
      </c>
      <c r="AP16" s="18">
        <f>IF(Table13[[#This Row],[Prior day close]]&lt;=Table13[[#This Row],[PM LO]],IF($K16&gt;=$G16,($K16-$L16)/($K16-Table13[[#This Row],[Prior day close]]),(IF($I16&lt;=$L16,($G16-$I16)/($G16-Table13[[#This Row],[Prior day close]]),(Table13[[#This Row],[PM Hi]]-Table13[[#This Row],[Lowest lo from open to squeeze]])/(Table13[[#This Row],[PM Hi]]-Table13[[#This Row],[Prior day close]])))),IF($K16&gt;=$G16,($K16-$L16)/($K16-Table13[[#This Row],[PM LO]]),(IF($I16&lt;=$L16,($G16-$I16)/($G16-Table13[[#This Row],[PM LO]]),(Table13[[#This Row],[PM Hi]]-Table13[[#This Row],[Lowest lo from open to squeeze]])/(Table13[[#This Row],[PM Hi]]-Table13[[#This Row],[PM LO]])))))</f>
        <v>0.78443113772455098</v>
      </c>
      <c r="AQ16" s="18">
        <f>2.6/2.86</f>
        <v>0.90909090909090917</v>
      </c>
      <c r="AR16" s="17">
        <f>390+Table13[[#This Row],[Time until ideal entry point (mins) from open]]</f>
        <v>398</v>
      </c>
      <c r="AS16" s="51">
        <f>(Table13[[#This Row],[Time until ideal entry + 390 (6:30)]]+Table13[[#This Row],[Duration of frontside (mins)]])/1440</f>
        <v>0.28125</v>
      </c>
    </row>
    <row r="17" spans="1:45" x14ac:dyDescent="0.25">
      <c r="A17" s="25" t="s">
        <v>60</v>
      </c>
      <c r="B17" s="11">
        <v>43847</v>
      </c>
      <c r="C17" s="47" t="s">
        <v>78</v>
      </c>
      <c r="E17" s="12">
        <v>1.41</v>
      </c>
      <c r="F17" s="13">
        <v>1.38</v>
      </c>
      <c r="G17" s="12">
        <v>1.79</v>
      </c>
      <c r="H17" s="12">
        <v>1.34</v>
      </c>
      <c r="I17" s="12">
        <v>1.62</v>
      </c>
      <c r="J17" s="12">
        <v>1.68</v>
      </c>
      <c r="K17" s="12">
        <v>1.7</v>
      </c>
      <c r="L17" s="12">
        <v>1.53</v>
      </c>
      <c r="M17" s="12">
        <v>4.09</v>
      </c>
      <c r="N17" s="12">
        <v>4.09</v>
      </c>
      <c r="O17" s="13">
        <v>79090647</v>
      </c>
      <c r="P17" s="12">
        <v>125576679</v>
      </c>
      <c r="Q17" s="13">
        <v>4.8</v>
      </c>
      <c r="R17" s="13">
        <v>3.51</v>
      </c>
      <c r="S17" s="14"/>
      <c r="T17" s="13">
        <v>696329</v>
      </c>
      <c r="U17" s="13" t="s">
        <v>44</v>
      </c>
      <c r="V17" t="s">
        <v>44</v>
      </c>
      <c r="W17">
        <v>2</v>
      </c>
      <c r="X17">
        <v>3</v>
      </c>
      <c r="Y17">
        <v>1.57</v>
      </c>
      <c r="Z17">
        <v>42</v>
      </c>
      <c r="AA17" s="15">
        <f>Table13[[#This Row],[Time until ideal entry + 390 (6:30)]]/(1440)</f>
        <v>0.27291666666666664</v>
      </c>
      <c r="AB17" s="18">
        <f t="shared" si="0"/>
        <v>0.26950354609929089</v>
      </c>
      <c r="AC17" s="18">
        <f>IF(Table13[[#This Row],[HOD AFTER PM HI]]&gt;=Table13[[#This Row],[PM Hi]],((Table13[[#This Row],[HOD AFTER PM HI]]-Table13[[#This Row],[Prior day close]])/Table13[[#This Row],[Prior day close]]),Table13[[#This Row],[Prior Close to PM Hi %]])</f>
        <v>1.9007092198581559</v>
      </c>
      <c r="AD17" s="18">
        <f>(Table13[[#This Row],[Price at hi of squeeze]]-Table13[[#This Row],[MKT Open Price]])/Table13[[#This Row],[MKT Open Price]]</f>
        <v>1.4345238095238098</v>
      </c>
      <c r="AE17" s="18">
        <f>(Table13[[#This Row],[Price at hi of squeeze]]-Table13[[#This Row],[PM Hi]])/Table13[[#This Row],[PM Hi]]</f>
        <v>1.2849162011173183</v>
      </c>
      <c r="AF17" s="18">
        <f t="shared" si="2"/>
        <v>1.6732026143790846</v>
      </c>
      <c r="AG17" s="20">
        <f>Table13[[#This Row],[PM VOL]]/1000000/Table13[[#This Row],[FLOAT(M)]]</f>
        <v>0.19838433048433049</v>
      </c>
      <c r="AH17" s="21">
        <f>(Table13[[#This Row],[Volume]]/1000000)/Table13[[#This Row],[FLOAT(M)]]</f>
        <v>22.532947863247866</v>
      </c>
      <c r="AI17" s="18">
        <f>(Table13[[#This Row],[Hi of Spike after open before drop]]-Table13[[#This Row],[MKT Open Price]])/Table13[[#This Row],[MKT Open Price]]</f>
        <v>1.1904761904761916E-2</v>
      </c>
      <c r="AJ17" s="18">
        <f>(Table13[[#This Row],[PM Hi]]-Table13[[#This Row],[MKT Open Price]])/(Table13[[#This Row],[PM Hi]])</f>
        <v>6.14525139664805E-2</v>
      </c>
      <c r="AK17" s="16">
        <f>IF(Table13[[#This Row],[PM LO]]&gt;Table13[[#This Row],[Prior day close]],(Table13[[#This Row],[PM Hi]]-Table13[[#This Row],[MKT Open Price]])/(Table13[[#This Row],[PM Hi]]-Table13[[#This Row],[Prior day close]]),(Table13[[#This Row],[PM Hi]]-Table13[[#This Row],[MKT Open Price]])/(Table13[[#This Row],[PM Hi]]-Table13[[#This Row],[PM LO]]))</f>
        <v>0.24444444444444469</v>
      </c>
      <c r="AL17" s="16">
        <f>IF(Table13[[#This Row],[Prior day close]]&lt;Table13[[#This Row],[PM LO]],(J17-L17)/(J17-Table13[[#This Row],[Prior day close]]),(J17-L17)/(J17-Table13[[#This Row],[PM LO]]))</f>
        <v>0.44117647058823523</v>
      </c>
      <c r="AM17" s="16">
        <f>Table13[[#This Row],[Spike % on open before drop]]+AN17</f>
        <v>0.10119047619047615</v>
      </c>
      <c r="AN17" s="16">
        <f t="shared" si="3"/>
        <v>8.9285714285714232E-2</v>
      </c>
      <c r="AO17" s="18">
        <f>IF($K17&gt;=$G17,($K17-$L17)/($K17-$E17),(IF($I17&lt;=$L17,($G17-$I17)/($G17-$E17),(Table13[[#This Row],[PM Hi]]-Table13[[#This Row],[Lowest lo from open to squeeze]])/(Table13[[#This Row],[PM Hi]]-Table13[[#This Row],[Prior day close]]))))</f>
        <v>0.68421052631578927</v>
      </c>
      <c r="AP17" s="18">
        <f>IF(Table13[[#This Row],[Prior day close]]&lt;=Table13[[#This Row],[PM LO]],IF($K17&gt;=$G17,($K17-$L17)/($K17-Table13[[#This Row],[Prior day close]]),(IF($I17&lt;=$L17,($G17-$I17)/($G17-Table13[[#This Row],[Prior day close]]),(Table13[[#This Row],[PM Hi]]-Table13[[#This Row],[Lowest lo from open to squeeze]])/(Table13[[#This Row],[PM Hi]]-Table13[[#This Row],[Prior day close]])))),IF($K17&gt;=$G17,($K17-$L17)/($K17-Table13[[#This Row],[PM LO]]),(IF($I17&lt;=$L17,($G17-$I17)/($G17-Table13[[#This Row],[PM LO]]),(Table13[[#This Row],[PM Hi]]-Table13[[#This Row],[Lowest lo from open to squeeze]])/(Table13[[#This Row],[PM Hi]]-Table13[[#This Row],[PM LO]])))))</f>
        <v>0.57777777777777783</v>
      </c>
      <c r="AQ17" s="18">
        <f>0.27/0.39</f>
        <v>0.69230769230769229</v>
      </c>
      <c r="AR17" s="17">
        <f>390+Table13[[#This Row],[Time until ideal entry point (mins) from open]]</f>
        <v>393</v>
      </c>
      <c r="AS17" s="51">
        <f>(Table13[[#This Row],[Time until ideal entry + 390 (6:30)]]+Table13[[#This Row],[Duration of frontside (mins)]])/1440</f>
        <v>0.30208333333333331</v>
      </c>
    </row>
    <row r="18" spans="1:45" x14ac:dyDescent="0.25">
      <c r="A18" s="25" t="s">
        <v>61</v>
      </c>
      <c r="B18" s="11">
        <v>43908</v>
      </c>
      <c r="C18" s="47" t="s">
        <v>78</v>
      </c>
      <c r="E18" s="39">
        <v>7.17</v>
      </c>
      <c r="F18" s="37">
        <v>6.98</v>
      </c>
      <c r="G18" s="39">
        <v>9.99</v>
      </c>
      <c r="H18" s="39">
        <v>6.8</v>
      </c>
      <c r="I18" s="12">
        <v>9.1999999999999993</v>
      </c>
      <c r="J18" s="39">
        <v>9.4</v>
      </c>
      <c r="K18" s="12">
        <v>9.66</v>
      </c>
      <c r="L18" s="39">
        <v>8.6999999999999993</v>
      </c>
      <c r="M18" s="39">
        <v>19.489999999999998</v>
      </c>
      <c r="N18" s="12">
        <v>19.489999999999998</v>
      </c>
      <c r="O18" s="13">
        <v>48278791</v>
      </c>
      <c r="P18" s="12">
        <v>758023024</v>
      </c>
      <c r="Q18" s="13">
        <v>87</v>
      </c>
      <c r="R18" s="13">
        <v>8.1300000000000008</v>
      </c>
      <c r="S18" s="14"/>
      <c r="T18" s="13">
        <v>1291599</v>
      </c>
      <c r="U18" s="13" t="s">
        <v>44</v>
      </c>
      <c r="V18" t="s">
        <v>42</v>
      </c>
      <c r="W18">
        <v>15</v>
      </c>
      <c r="X18">
        <v>16</v>
      </c>
      <c r="Y18">
        <v>9</v>
      </c>
      <c r="Z18">
        <v>54</v>
      </c>
      <c r="AA18" s="15">
        <f>Table13[[#This Row],[Time until ideal entry + 390 (6:30)]]/(1440)</f>
        <v>0.28194444444444444</v>
      </c>
      <c r="AB18" s="18">
        <f t="shared" si="0"/>
        <v>0.39330543933054396</v>
      </c>
      <c r="AC18" s="16">
        <f>IF(Table13[[#This Row],[HOD AFTER PM HI]]&gt;=Table13[[#This Row],[PM Hi]],((Table13[[#This Row],[HOD AFTER PM HI]]-Table13[[#This Row],[Prior day close]])/Table13[[#This Row],[Prior day close]]),Table13[[#This Row],[Prior Close to PM Hi %]])</f>
        <v>1.718270571827057</v>
      </c>
      <c r="AD18" s="18">
        <f>(Table13[[#This Row],[Price at hi of squeeze]]-Table13[[#This Row],[MKT Open Price]])/Table13[[#This Row],[MKT Open Price]]</f>
        <v>1.0734042553191487</v>
      </c>
      <c r="AE18" s="18">
        <f>(Table13[[#This Row],[Price at hi of squeeze]]-Table13[[#This Row],[PM Hi]])/Table13[[#This Row],[PM Hi]]</f>
        <v>0.95095095095095072</v>
      </c>
      <c r="AF18" s="18">
        <f t="shared" si="2"/>
        <v>1.2402298850574713</v>
      </c>
      <c r="AG18" s="20">
        <f>Table13[[#This Row],[PM VOL]]/1000000/Table13[[#This Row],[FLOAT(M)]]</f>
        <v>0.1588682656826568</v>
      </c>
      <c r="AH18" s="21">
        <f>(Table13[[#This Row],[Volume]]/1000000)/Table13[[#This Row],[FLOAT(M)]]</f>
        <v>5.9383506765067642</v>
      </c>
      <c r="AI18" s="18">
        <f>(Table13[[#This Row],[Hi of Spike after open before drop]]-Table13[[#This Row],[MKT Open Price]])/Table13[[#This Row],[MKT Open Price]]</f>
        <v>2.7659574468085084E-2</v>
      </c>
      <c r="AJ18" s="18">
        <f>(Table13[[#This Row],[PM Hi]]-Table13[[#This Row],[MKT Open Price]])/(Table13[[#This Row],[PM Hi]])</f>
        <v>5.9059059059059046E-2</v>
      </c>
      <c r="AK18" s="16">
        <f>IF(Table13[[#This Row],[PM LO]]&gt;Table13[[#This Row],[Prior day close]],(Table13[[#This Row],[PM Hi]]-Table13[[#This Row],[MKT Open Price]])/(Table13[[#This Row],[PM Hi]]-Table13[[#This Row],[Prior day close]]),(Table13[[#This Row],[PM Hi]]-Table13[[#This Row],[MKT Open Price]])/(Table13[[#This Row],[PM Hi]]-Table13[[#This Row],[PM LO]]))</f>
        <v>0.18495297805642627</v>
      </c>
      <c r="AL18" s="16">
        <f>IF(Table13[[#This Row],[Prior day close]]&lt;Table13[[#This Row],[PM LO]],(J18-L18)/(J18-Table13[[#This Row],[Prior day close]]),(J18-L18)/(J18-Table13[[#This Row],[PM LO]]))</f>
        <v>0.26923076923076961</v>
      </c>
      <c r="AM18" s="16">
        <f>Table13[[#This Row],[Spike % on open before drop]]+AN18</f>
        <v>0.10212765957446818</v>
      </c>
      <c r="AN18" s="16">
        <f t="shared" si="3"/>
        <v>7.4468085106383086E-2</v>
      </c>
      <c r="AO18" s="18">
        <f>IF($K18&gt;=$G18,($K18-$L18)/($K18-$E18),(IF($I18&lt;=$L18,($G18-$I18)/($G18-$E18),(Table13[[#This Row],[PM Hi]]-Table13[[#This Row],[Lowest lo from open to squeeze]])/(Table13[[#This Row],[PM Hi]]-Table13[[#This Row],[Prior day close]]))))</f>
        <v>0.45744680851063857</v>
      </c>
      <c r="AP18" s="18">
        <f>IF(Table13[[#This Row],[Prior day close]]&lt;=Table13[[#This Row],[PM LO]],IF($K18&gt;=$G18,($K18-$L18)/($K18-Table13[[#This Row],[Prior day close]]),(IF($I18&lt;=$L18,($G18-$I18)/($G18-Table13[[#This Row],[Prior day close]]),(Table13[[#This Row],[PM Hi]]-Table13[[#This Row],[Lowest lo from open to squeeze]])/(Table13[[#This Row],[PM Hi]]-Table13[[#This Row],[Prior day close]])))),IF($K18&gt;=$G18,($K18-$L18)/($K18-Table13[[#This Row],[PM LO]]),(IF($I18&lt;=$L18,($G18-$I18)/($G18-Table13[[#This Row],[PM LO]]),(Table13[[#This Row],[PM Hi]]-Table13[[#This Row],[Lowest lo from open to squeeze]])/(Table13[[#This Row],[PM Hi]]-Table13[[#This Row],[PM LO]])))))</f>
        <v>0.40438871473354254</v>
      </c>
      <c r="AQ18" s="18">
        <f>1.28/2.81</f>
        <v>0.45551601423487542</v>
      </c>
      <c r="AR18" s="17">
        <f>390+Table13[[#This Row],[Time until ideal entry point (mins) from open]]</f>
        <v>406</v>
      </c>
      <c r="AS18" s="51">
        <f>(Table13[[#This Row],[Time until ideal entry + 390 (6:30)]]+Table13[[#This Row],[Duration of frontside (mins)]])/1440</f>
        <v>0.31944444444444442</v>
      </c>
    </row>
    <row r="19" spans="1:45" x14ac:dyDescent="0.25">
      <c r="A19" s="25" t="s">
        <v>61</v>
      </c>
      <c r="B19" s="11">
        <v>43909</v>
      </c>
      <c r="C19" s="47" t="s">
        <v>78</v>
      </c>
      <c r="E19" s="12">
        <v>18.2</v>
      </c>
      <c r="F19" s="13">
        <v>18.170000000000002</v>
      </c>
      <c r="G19" s="12">
        <v>25.5</v>
      </c>
      <c r="H19" s="12">
        <v>16.350000000000001</v>
      </c>
      <c r="I19" s="12">
        <v>21.07</v>
      </c>
      <c r="J19" s="12">
        <v>24.95</v>
      </c>
      <c r="K19" s="12">
        <v>25.8</v>
      </c>
      <c r="L19" s="12">
        <v>22.49</v>
      </c>
      <c r="M19" s="12">
        <v>28.84</v>
      </c>
      <c r="N19" s="12">
        <v>28.84</v>
      </c>
      <c r="O19" s="13">
        <v>24430750</v>
      </c>
      <c r="P19" s="12">
        <v>335761836</v>
      </c>
      <c r="Q19" s="13">
        <v>206</v>
      </c>
      <c r="R19" s="13">
        <v>8.1300000000000008</v>
      </c>
      <c r="S19" s="13"/>
      <c r="T19" s="13">
        <v>1454586</v>
      </c>
      <c r="U19" s="13" t="s">
        <v>44</v>
      </c>
      <c r="V19" t="s">
        <v>42</v>
      </c>
      <c r="W19">
        <v>6</v>
      </c>
      <c r="X19">
        <v>7</v>
      </c>
      <c r="Y19">
        <v>23.23</v>
      </c>
      <c r="Z19">
        <v>13</v>
      </c>
      <c r="AA19" s="15">
        <f>Table13[[#This Row],[Time until ideal entry + 390 (6:30)]]/(1440)</f>
        <v>0.27569444444444446</v>
      </c>
      <c r="AB19" s="18">
        <f t="shared" si="0"/>
        <v>0.40109890109890117</v>
      </c>
      <c r="AC19" s="18">
        <f>IF(Table13[[#This Row],[HOD AFTER PM HI]]&gt;=Table13[[#This Row],[PM Hi]],((Table13[[#This Row],[HOD AFTER PM HI]]-Table13[[#This Row],[Prior day close]])/Table13[[#This Row],[Prior day close]]),Table13[[#This Row],[Prior Close to PM Hi %]])</f>
        <v>0.58461538461538465</v>
      </c>
      <c r="AD19" s="18">
        <f>(Table13[[#This Row],[Price at hi of squeeze]]-Table13[[#This Row],[MKT Open Price]])/Table13[[#This Row],[MKT Open Price]]</f>
        <v>0.15591182364729461</v>
      </c>
      <c r="AE19" s="18">
        <f>(Table13[[#This Row],[Price at hi of squeeze]]-Table13[[#This Row],[PM Hi]])/Table13[[#This Row],[PM Hi]]</f>
        <v>0.13098039215686275</v>
      </c>
      <c r="AF19" s="18">
        <f t="shared" si="2"/>
        <v>0.28234771009337489</v>
      </c>
      <c r="AG19" s="20">
        <f>Table13[[#This Row],[PM VOL]]/1000000/Table13[[#This Row],[FLOAT(M)]]</f>
        <v>0.17891586715867155</v>
      </c>
      <c r="AH19" s="23">
        <f>(Table13[[#This Row],[Volume]]/1000000)/Table13[[#This Row],[FLOAT(M)]]</f>
        <v>3.0050123001230009</v>
      </c>
      <c r="AI19" s="18">
        <f>(Table13[[#This Row],[Hi of Spike after open before drop]]-Table13[[#This Row],[MKT Open Price]])/Table13[[#This Row],[MKT Open Price]]</f>
        <v>3.4068136272545145E-2</v>
      </c>
      <c r="AJ19" s="18">
        <f>(Table13[[#This Row],[PM Hi]]-Table13[[#This Row],[MKT Open Price]])/(Table13[[#This Row],[PM Hi]])</f>
        <v>2.156862745098042E-2</v>
      </c>
      <c r="AK19" s="16">
        <f>IF(Table13[[#This Row],[PM LO]]&gt;Table13[[#This Row],[Prior day close]],(Table13[[#This Row],[PM Hi]]-Table13[[#This Row],[MKT Open Price]])/(Table13[[#This Row],[PM Hi]]-Table13[[#This Row],[Prior day close]]),(Table13[[#This Row],[PM Hi]]-Table13[[#This Row],[MKT Open Price]])/(Table13[[#This Row],[PM Hi]]-Table13[[#This Row],[PM LO]]))</f>
        <v>6.0109289617486426E-2</v>
      </c>
      <c r="AL19" s="16">
        <f>IF(Table13[[#This Row],[Prior day close]]&lt;Table13[[#This Row],[PM LO]],(J19-L19)/(J19-Table13[[#This Row],[Prior day close]]),(J19-L19)/(J19-Table13[[#This Row],[PM LO]]))</f>
        <v>0.28604651162790717</v>
      </c>
      <c r="AM19" s="16">
        <f>Table13[[#This Row],[Spike % on open before drop]]+AN19</f>
        <v>0.13266533066132274</v>
      </c>
      <c r="AN19" s="16">
        <f t="shared" si="3"/>
        <v>9.8597194388777593E-2</v>
      </c>
      <c r="AO19" s="18">
        <f>IF($K19&gt;=$G19,($K19-$L19)/($K19-$E19),(IF($I19&lt;=$L19,($G19-$I19)/($G19-$E19),(Table13[[#This Row],[PM Hi]]-Table13[[#This Row],[Lowest lo from open to squeeze]])/(Table13[[#This Row],[PM Hi]]-Table13[[#This Row],[Prior day close]]))))</f>
        <v>0.43552631578947393</v>
      </c>
      <c r="AP19" s="18">
        <f>IF(Table13[[#This Row],[Prior day close]]&lt;=Table13[[#This Row],[PM LO]],IF($K19&gt;=$G19,($K19-$L19)/($K19-Table13[[#This Row],[Prior day close]]),(IF($I19&lt;=$L19,($G19-$I19)/($G19-Table13[[#This Row],[Prior day close]]),(Table13[[#This Row],[PM Hi]]-Table13[[#This Row],[Lowest lo from open to squeeze]])/(Table13[[#This Row],[PM Hi]]-Table13[[#This Row],[Prior day close]])))),IF($K19&gt;=$G19,($K19-$L19)/($K19-Table13[[#This Row],[PM LO]]),(IF($I19&lt;=$L19,($G19-$I19)/($G19-Table13[[#This Row],[PM LO]]),(Table13[[#This Row],[PM Hi]]-Table13[[#This Row],[Lowest lo from open to squeeze]])/(Table13[[#This Row],[PM Hi]]-Table13[[#This Row],[PM LO]])))))</f>
        <v>0.35026455026455056</v>
      </c>
      <c r="AQ19" s="18">
        <f>3.32/7.67</f>
        <v>0.43285528031290743</v>
      </c>
      <c r="AR19" s="17">
        <f>390+Table13[[#This Row],[Time until ideal entry point (mins) from open]]</f>
        <v>397</v>
      </c>
      <c r="AS19" s="51">
        <f>(Table13[[#This Row],[Time until ideal entry + 390 (6:30)]]+Table13[[#This Row],[Duration of frontside (mins)]])/1440</f>
        <v>0.28472222222222221</v>
      </c>
    </row>
    <row r="20" spans="1:45" x14ac:dyDescent="0.25">
      <c r="A20" s="25" t="s">
        <v>62</v>
      </c>
      <c r="B20" s="11">
        <v>43914</v>
      </c>
      <c r="C20" s="47" t="s">
        <v>78</v>
      </c>
      <c r="D20" t="s">
        <v>63</v>
      </c>
      <c r="E20" s="12">
        <v>0.44</v>
      </c>
      <c r="F20" s="13">
        <v>0.5</v>
      </c>
      <c r="G20" s="12">
        <v>2.1800000000000002</v>
      </c>
      <c r="H20" s="12">
        <v>0.5</v>
      </c>
      <c r="I20" s="12">
        <v>1.86</v>
      </c>
      <c r="J20" s="12">
        <v>2</v>
      </c>
      <c r="K20" s="12">
        <v>2.2000000000000002</v>
      </c>
      <c r="L20" s="12">
        <v>1.55</v>
      </c>
      <c r="M20" s="12">
        <v>4.95</v>
      </c>
      <c r="N20" s="12">
        <v>3.75</v>
      </c>
      <c r="O20" s="13">
        <v>30671611</v>
      </c>
      <c r="P20" s="12">
        <v>143357092</v>
      </c>
      <c r="Q20" s="13">
        <v>42.12</v>
      </c>
      <c r="R20" s="13">
        <v>4.01</v>
      </c>
      <c r="S20" s="13"/>
      <c r="T20" s="13">
        <v>3621815</v>
      </c>
      <c r="U20" s="13" t="s">
        <v>44</v>
      </c>
      <c r="V20" t="s">
        <v>44</v>
      </c>
      <c r="W20">
        <v>37</v>
      </c>
      <c r="X20">
        <v>38</v>
      </c>
      <c r="Y20">
        <v>1.61</v>
      </c>
      <c r="Z20">
        <v>166</v>
      </c>
      <c r="AA20" s="15">
        <f>Table13[[#This Row],[Time until ideal entry + 390 (6:30)]]/(1440)</f>
        <v>0.29722222222222222</v>
      </c>
      <c r="AB20" s="18">
        <f t="shared" si="0"/>
        <v>3.954545454545455</v>
      </c>
      <c r="AC20" s="18">
        <f>IF(Table13[[#This Row],[HOD AFTER PM HI]]&gt;=Table13[[#This Row],[PM Hi]],((Table13[[#This Row],[HOD AFTER PM HI]]-Table13[[#This Row],[Prior day close]])/Table13[[#This Row],[Prior day close]]),Table13[[#This Row],[Prior Close to PM Hi %]])</f>
        <v>10.25</v>
      </c>
      <c r="AD20" s="18">
        <f>(Table13[[#This Row],[Price at hi of squeeze]]-Table13[[#This Row],[MKT Open Price]])/Table13[[#This Row],[MKT Open Price]]</f>
        <v>0.875</v>
      </c>
      <c r="AE20" s="18">
        <f>(Table13[[#This Row],[Price at hi of squeeze]]-Table13[[#This Row],[PM Hi]])/Table13[[#This Row],[PM Hi]]</f>
        <v>0.72018348623853201</v>
      </c>
      <c r="AF20" s="18">
        <f t="shared" si="2"/>
        <v>1.4193548387096775</v>
      </c>
      <c r="AG20" s="20">
        <f>Table13[[#This Row],[PM VOL]]/1000000/Table13[[#This Row],[FLOAT(M)]]</f>
        <v>0.90319576059850371</v>
      </c>
      <c r="AH20" s="23">
        <f>(Table13[[#This Row],[Volume]]/1000000)/Table13[[#This Row],[FLOAT(M)]]</f>
        <v>7.6487807980049878</v>
      </c>
      <c r="AI20" s="18">
        <f>(Table13[[#This Row],[Hi of Spike after open before drop]]-Table13[[#This Row],[MKT Open Price]])/Table13[[#This Row],[MKT Open Price]]</f>
        <v>0.10000000000000009</v>
      </c>
      <c r="AJ20" s="18">
        <f>(Table13[[#This Row],[PM Hi]]-Table13[[#This Row],[MKT Open Price]])/(Table13[[#This Row],[PM Hi]])</f>
        <v>8.2568807339449615E-2</v>
      </c>
      <c r="AK20" s="16">
        <f>IF(Table13[[#This Row],[PM LO]]&gt;Table13[[#This Row],[Prior day close]],(Table13[[#This Row],[PM Hi]]-Table13[[#This Row],[MKT Open Price]])/(Table13[[#This Row],[PM Hi]]-Table13[[#This Row],[Prior day close]]),(Table13[[#This Row],[PM Hi]]-Table13[[#This Row],[MKT Open Price]])/(Table13[[#This Row],[PM Hi]]-Table13[[#This Row],[PM LO]]))</f>
        <v>0.10344827586206905</v>
      </c>
      <c r="AL20" s="16">
        <f>IF(Table13[[#This Row],[Prior day close]]&lt;Table13[[#This Row],[PM LO]],(J20-L20)/(J20-Table13[[#This Row],[Prior day close]]),(J20-L20)/(J20-Table13[[#This Row],[PM LO]]))</f>
        <v>0.28846153846153844</v>
      </c>
      <c r="AM20" s="16">
        <f>Table13[[#This Row],[Spike % on open before drop]]+AN20</f>
        <v>0.32500000000000007</v>
      </c>
      <c r="AN20" s="16">
        <f t="shared" si="3"/>
        <v>0.22499999999999998</v>
      </c>
      <c r="AO20" s="18">
        <f>IF($K20&gt;=$G20,($K20-$L20)/($K20-$E20),(IF($I20&lt;=$L20,($G20-$I20)/($G20-$E20),(Table13[[#This Row],[PM Hi]]-Table13[[#This Row],[Lowest lo from open to squeeze]])/(Table13[[#This Row],[PM Hi]]-Table13[[#This Row],[Prior day close]]))))</f>
        <v>0.36931818181818182</v>
      </c>
      <c r="AP20" s="18">
        <f>IF(Table13[[#This Row],[Prior day close]]&lt;=Table13[[#This Row],[PM LO]],IF($K20&gt;=$G20,($K20-$L20)/($K20-Table13[[#This Row],[Prior day close]]),(IF($I20&lt;=$L20,($G20-$I20)/($G20-Table13[[#This Row],[Prior day close]]),(Table13[[#This Row],[PM Hi]]-Table13[[#This Row],[Lowest lo from open to squeeze]])/(Table13[[#This Row],[PM Hi]]-Table13[[#This Row],[Prior day close]])))),IF($K20&gt;=$G20,($K20-$L20)/($K20-Table13[[#This Row],[PM LO]]),(IF($I20&lt;=$L20,($G20-$I20)/($G20-Table13[[#This Row],[PM LO]]),(Table13[[#This Row],[PM Hi]]-Table13[[#This Row],[Lowest lo from open to squeeze]])/(Table13[[#This Row],[PM Hi]]-Table13[[#This Row],[PM LO]])))))</f>
        <v>0.36931818181818182</v>
      </c>
      <c r="AQ20" s="18">
        <f>0.65/1.76</f>
        <v>0.36931818181818182</v>
      </c>
      <c r="AR20" s="17">
        <f>390+Table13[[#This Row],[Time until ideal entry point (mins) from open]]</f>
        <v>428</v>
      </c>
      <c r="AS20" s="51">
        <f>(Table13[[#This Row],[Time until ideal entry + 390 (6:30)]]+Table13[[#This Row],[Duration of frontside (mins)]])/1440</f>
        <v>0.41249999999999998</v>
      </c>
    </row>
    <row r="21" spans="1:45" x14ac:dyDescent="0.25">
      <c r="A21" s="25" t="s">
        <v>64</v>
      </c>
      <c r="B21" s="11">
        <v>43915</v>
      </c>
      <c r="C21" s="47" t="s">
        <v>78</v>
      </c>
      <c r="E21" s="12">
        <v>1.1200000000000001</v>
      </c>
      <c r="F21" s="13">
        <v>1.6</v>
      </c>
      <c r="G21" s="12">
        <v>4.08</v>
      </c>
      <c r="H21" s="12">
        <v>1.6</v>
      </c>
      <c r="I21" s="12">
        <v>3.62</v>
      </c>
      <c r="J21" s="12">
        <v>3.64</v>
      </c>
      <c r="K21" s="12">
        <v>4.34</v>
      </c>
      <c r="L21" s="12">
        <v>3.3</v>
      </c>
      <c r="M21" s="12">
        <v>7.75</v>
      </c>
      <c r="N21" s="12">
        <v>7.74</v>
      </c>
      <c r="O21" s="13">
        <v>46623018</v>
      </c>
      <c r="P21" s="12">
        <v>174472072</v>
      </c>
      <c r="Q21" s="13">
        <v>7.1</v>
      </c>
      <c r="R21" s="13">
        <v>3.66</v>
      </c>
      <c r="S21" s="13"/>
      <c r="T21" s="13">
        <v>1492287</v>
      </c>
      <c r="U21" s="13" t="s">
        <v>42</v>
      </c>
      <c r="V21" t="s">
        <v>44</v>
      </c>
      <c r="W21">
        <v>7</v>
      </c>
      <c r="X21">
        <v>8</v>
      </c>
      <c r="Y21">
        <v>3.47</v>
      </c>
      <c r="Z21">
        <v>44</v>
      </c>
      <c r="AA21" s="15">
        <f>Table13[[#This Row],[Time until ideal entry + 390 (6:30)]]/(1440)</f>
        <v>0.27638888888888891</v>
      </c>
      <c r="AB21" s="18">
        <f t="shared" si="0"/>
        <v>2.6428571428571428</v>
      </c>
      <c r="AC21" s="18">
        <f>IF(Table13[[#This Row],[HOD AFTER PM HI]]&gt;=Table13[[#This Row],[PM Hi]],((Table13[[#This Row],[HOD AFTER PM HI]]-Table13[[#This Row],[Prior day close]])/Table13[[#This Row],[Prior day close]]),Table13[[#This Row],[Prior Close to PM Hi %]])</f>
        <v>5.9196428571428568</v>
      </c>
      <c r="AD21" s="18">
        <f>(Table13[[#This Row],[Price at hi of squeeze]]-Table13[[#This Row],[MKT Open Price]])/Table13[[#This Row],[MKT Open Price]]</f>
        <v>1.1263736263736261</v>
      </c>
      <c r="AE21" s="18">
        <f>(Table13[[#This Row],[Price at hi of squeeze]]-Table13[[#This Row],[PM Hi]])/Table13[[#This Row],[PM Hi]]</f>
        <v>0.8970588235294118</v>
      </c>
      <c r="AF21" s="18">
        <f t="shared" si="2"/>
        <v>1.3454545454545457</v>
      </c>
      <c r="AG21" s="20">
        <f>Table13[[#This Row],[PM VOL]]/1000000/Table13[[#This Row],[FLOAT(M)]]</f>
        <v>0.4077286885245901</v>
      </c>
      <c r="AH21" s="23">
        <f>(Table13[[#This Row],[Volume]]/1000000)/Table13[[#This Row],[FLOAT(M)]]</f>
        <v>12.738529508196722</v>
      </c>
      <c r="AI21" s="18">
        <f>(Table13[[#This Row],[Hi of Spike after open before drop]]-Table13[[#This Row],[MKT Open Price]])/Table13[[#This Row],[MKT Open Price]]</f>
        <v>0.19230769230769224</v>
      </c>
      <c r="AJ21" s="18">
        <f>(Table13[[#This Row],[PM Hi]]-Table13[[#This Row],[MKT Open Price]])/(Table13[[#This Row],[PM Hi]])</f>
        <v>0.10784313725490195</v>
      </c>
      <c r="AK21" s="16">
        <f>IF(Table13[[#This Row],[PM LO]]&gt;Table13[[#This Row],[Prior day close]],(Table13[[#This Row],[PM Hi]]-Table13[[#This Row],[MKT Open Price]])/(Table13[[#This Row],[PM Hi]]-Table13[[#This Row],[Prior day close]]),(Table13[[#This Row],[PM Hi]]-Table13[[#This Row],[MKT Open Price]])/(Table13[[#This Row],[PM Hi]]-Table13[[#This Row],[PM LO]]))</f>
        <v>0.14864864864864863</v>
      </c>
      <c r="AL21" s="16">
        <f>IF(Table13[[#This Row],[Prior day close]]&lt;Table13[[#This Row],[PM LO]],(J21-L21)/(J21-Table13[[#This Row],[Prior day close]]),(J21-L21)/(J21-Table13[[#This Row],[PM LO]]))</f>
        <v>0.13492063492063505</v>
      </c>
      <c r="AM21" s="16">
        <f>Table13[[#This Row],[Spike % on open before drop]]+AN21</f>
        <v>0.2857142857142857</v>
      </c>
      <c r="AN21" s="16">
        <f t="shared" si="3"/>
        <v>9.3406593406593491E-2</v>
      </c>
      <c r="AO21" s="18">
        <f>IF($K21&gt;=$G21,($K21-$L21)/($K21-$E21),(IF($I21&lt;=$L21,($G21-$I21)/($G21-$E21),(Table13[[#This Row],[PM Hi]]-Table13[[#This Row],[Lowest lo from open to squeeze]])/(Table13[[#This Row],[PM Hi]]-Table13[[#This Row],[Prior day close]]))))</f>
        <v>0.32298136645962738</v>
      </c>
      <c r="AP21" s="18">
        <f>IF(Table13[[#This Row],[Prior day close]]&lt;=Table13[[#This Row],[PM LO]],IF($K21&gt;=$G21,($K21-$L21)/($K21-Table13[[#This Row],[Prior day close]]),(IF($I21&lt;=$L21,($G21-$I21)/($G21-Table13[[#This Row],[Prior day close]]),(Table13[[#This Row],[PM Hi]]-Table13[[#This Row],[Lowest lo from open to squeeze]])/(Table13[[#This Row],[PM Hi]]-Table13[[#This Row],[Prior day close]])))),IF($K21&gt;=$G21,($K21-$L21)/($K21-Table13[[#This Row],[PM LO]]),(IF($I21&lt;=$L21,($G21-$I21)/($G21-Table13[[#This Row],[PM LO]]),(Table13[[#This Row],[PM Hi]]-Table13[[#This Row],[Lowest lo from open to squeeze]])/(Table13[[#This Row],[PM Hi]]-Table13[[#This Row],[PM LO]])))))</f>
        <v>0.32298136645962738</v>
      </c>
      <c r="AQ21" s="18">
        <f>1.04/3.23</f>
        <v>0.32198142414860681</v>
      </c>
      <c r="AR21" s="17">
        <f>390+Table13[[#This Row],[Time until ideal entry point (mins) from open]]</f>
        <v>398</v>
      </c>
      <c r="AS21" s="51">
        <f>(Table13[[#This Row],[Time until ideal entry + 390 (6:30)]]+Table13[[#This Row],[Duration of frontside (mins)]])/1440</f>
        <v>0.30694444444444446</v>
      </c>
    </row>
    <row r="22" spans="1:45" x14ac:dyDescent="0.25">
      <c r="A22" s="25" t="s">
        <v>65</v>
      </c>
      <c r="B22" s="11">
        <v>43916</v>
      </c>
      <c r="C22" s="47" t="s">
        <v>78</v>
      </c>
      <c r="E22" s="12">
        <v>2.91</v>
      </c>
      <c r="F22" s="13">
        <v>3.21</v>
      </c>
      <c r="G22" s="12">
        <v>5.49</v>
      </c>
      <c r="H22" s="12">
        <v>3.06</v>
      </c>
      <c r="I22" s="12">
        <v>5</v>
      </c>
      <c r="J22" s="12">
        <v>5.0199999999999996</v>
      </c>
      <c r="K22" s="12">
        <v>5.2</v>
      </c>
      <c r="L22" s="12">
        <v>4.5999999999999996</v>
      </c>
      <c r="M22" s="12">
        <v>9.49</v>
      </c>
      <c r="N22" s="12">
        <v>9.49</v>
      </c>
      <c r="O22" s="13">
        <v>33364975</v>
      </c>
      <c r="P22" s="12">
        <v>228217204</v>
      </c>
      <c r="Q22" s="13">
        <v>198</v>
      </c>
      <c r="R22" s="13">
        <v>51.13</v>
      </c>
      <c r="S22" s="13"/>
      <c r="T22" s="13">
        <v>832667</v>
      </c>
      <c r="U22" s="13" t="s">
        <v>44</v>
      </c>
      <c r="V22" t="s">
        <v>44</v>
      </c>
      <c r="W22">
        <v>2</v>
      </c>
      <c r="X22">
        <v>10</v>
      </c>
      <c r="Y22">
        <v>4.78</v>
      </c>
      <c r="Z22">
        <v>33</v>
      </c>
      <c r="AA22" s="15">
        <f>Table13[[#This Row],[Time until ideal entry + 390 (6:30)]]/(1440)</f>
        <v>0.27777777777777779</v>
      </c>
      <c r="AB22" s="18">
        <f t="shared" si="0"/>
        <v>0.88659793814432986</v>
      </c>
      <c r="AC22" s="18">
        <f>IF(Table13[[#This Row],[HOD AFTER PM HI]]&gt;=Table13[[#This Row],[PM Hi]],((Table13[[#This Row],[HOD AFTER PM HI]]-Table13[[#This Row],[Prior day close]])/Table13[[#This Row],[Prior day close]]),Table13[[#This Row],[Prior Close to PM Hi %]])</f>
        <v>2.261168384879725</v>
      </c>
      <c r="AD22" s="18">
        <f>(Table13[[#This Row],[Price at hi of squeeze]]-Table13[[#This Row],[MKT Open Price]])/Table13[[#This Row],[MKT Open Price]]</f>
        <v>0.8904382470119524</v>
      </c>
      <c r="AE22" s="18">
        <f>(Table13[[#This Row],[Price at hi of squeeze]]-Table13[[#This Row],[PM Hi]])/Table13[[#This Row],[PM Hi]]</f>
        <v>0.72859744990892528</v>
      </c>
      <c r="AF22" s="18">
        <f t="shared" si="2"/>
        <v>1.0630434782608698</v>
      </c>
      <c r="AG22" s="20">
        <f>Table13[[#This Row],[PM VOL]]/1000000/Table13[[#This Row],[FLOAT(M)]]</f>
        <v>1.6285292391942107E-2</v>
      </c>
      <c r="AH22" s="23">
        <f>(Table13[[#This Row],[Volume]]/1000000)/Table13[[#This Row],[FLOAT(M)]]</f>
        <v>0.65255182867201256</v>
      </c>
      <c r="AI22" s="18">
        <f>(Table13[[#This Row],[Hi of Spike after open before drop]]-Table13[[#This Row],[MKT Open Price]])/Table13[[#This Row],[MKT Open Price]]</f>
        <v>3.5856573705179404E-2</v>
      </c>
      <c r="AJ22" s="18">
        <f>(Table13[[#This Row],[PM Hi]]-Table13[[#This Row],[MKT Open Price]])/(Table13[[#This Row],[PM Hi]])</f>
        <v>8.5610200364298839E-2</v>
      </c>
      <c r="AK22" s="16">
        <f>IF(Table13[[#This Row],[PM LO]]&gt;Table13[[#This Row],[Prior day close]],(Table13[[#This Row],[PM Hi]]-Table13[[#This Row],[MKT Open Price]])/(Table13[[#This Row],[PM Hi]]-Table13[[#This Row],[Prior day close]]),(Table13[[#This Row],[PM Hi]]-Table13[[#This Row],[MKT Open Price]])/(Table13[[#This Row],[PM Hi]]-Table13[[#This Row],[PM LO]]))</f>
        <v>0.18217054263565916</v>
      </c>
      <c r="AL22" s="16">
        <f>IF(Table13[[#This Row],[Prior day close]]&lt;Table13[[#This Row],[PM LO]],(J22-L22)/(J22-Table13[[#This Row],[Prior day close]]),(J22-L22)/(J22-Table13[[#This Row],[PM LO]]))</f>
        <v>0.19905213270142183</v>
      </c>
      <c r="AM22" s="16">
        <f>Table13[[#This Row],[Spike % on open before drop]]+AN22</f>
        <v>0.11952191235059773</v>
      </c>
      <c r="AN22" s="16">
        <f t="shared" si="3"/>
        <v>8.3665338645418322E-2</v>
      </c>
      <c r="AO22" s="18">
        <f>IF($K22&gt;=$G22,($K22-$L22)/($K22-$E22),(IF($I22&lt;=$L22,($G22-$I22)/($G22-$E22),(Table13[[#This Row],[PM Hi]]-Table13[[#This Row],[Lowest lo from open to squeeze]])/(Table13[[#This Row],[PM Hi]]-Table13[[#This Row],[Prior day close]]))))</f>
        <v>0.34496124031007774</v>
      </c>
      <c r="AP22" s="18">
        <f>IF(Table13[[#This Row],[Prior day close]]&lt;=Table13[[#This Row],[PM LO]],IF($K22&gt;=$G22,($K22-$L22)/($K22-Table13[[#This Row],[Prior day close]]),(IF($I22&lt;=$L22,($G22-$I22)/($G22-Table13[[#This Row],[Prior day close]]),(Table13[[#This Row],[PM Hi]]-Table13[[#This Row],[Lowest lo from open to squeeze]])/(Table13[[#This Row],[PM Hi]]-Table13[[#This Row],[Prior day close]])))),IF($K22&gt;=$G22,($K22-$L22)/($K22-Table13[[#This Row],[PM LO]]),(IF($I22&lt;=$L22,($G22-$I22)/($G22-Table13[[#This Row],[PM LO]]),(Table13[[#This Row],[PM Hi]]-Table13[[#This Row],[Lowest lo from open to squeeze]])/(Table13[[#This Row],[PM Hi]]-Table13[[#This Row],[PM LO]])))))</f>
        <v>0.34496124031007774</v>
      </c>
      <c r="AQ22" s="18">
        <f>0.86/2.56</f>
        <v>0.3359375</v>
      </c>
      <c r="AR22" s="17">
        <f>390+Table13[[#This Row],[Time until ideal entry point (mins) from open]]</f>
        <v>400</v>
      </c>
      <c r="AS22" s="51">
        <f>(Table13[[#This Row],[Time until ideal entry + 390 (6:30)]]+Table13[[#This Row],[Duration of frontside (mins)]])/1440</f>
        <v>0.30069444444444443</v>
      </c>
    </row>
    <row r="23" spans="1:45" x14ac:dyDescent="0.25">
      <c r="A23" s="25" t="s">
        <v>66</v>
      </c>
      <c r="B23" s="11">
        <v>43917</v>
      </c>
      <c r="C23" s="47" t="s">
        <v>78</v>
      </c>
      <c r="D23" t="s">
        <v>67</v>
      </c>
      <c r="E23" s="12">
        <v>0.54</v>
      </c>
      <c r="F23" s="13">
        <v>0.59</v>
      </c>
      <c r="G23" s="12">
        <v>2.4500000000000002</v>
      </c>
      <c r="H23" s="12">
        <v>0.59</v>
      </c>
      <c r="I23" s="12">
        <v>1.96</v>
      </c>
      <c r="J23" s="12">
        <v>2.1</v>
      </c>
      <c r="K23" s="12">
        <v>2.29</v>
      </c>
      <c r="L23" s="12">
        <v>1.77</v>
      </c>
      <c r="M23" s="12">
        <v>2.58</v>
      </c>
      <c r="N23" s="12">
        <v>2.58</v>
      </c>
      <c r="O23" s="13">
        <v>52904773</v>
      </c>
      <c r="P23" s="12">
        <v>55298227</v>
      </c>
      <c r="Q23" s="13">
        <v>10.1</v>
      </c>
      <c r="R23" s="13">
        <v>6.89</v>
      </c>
      <c r="S23" s="13"/>
      <c r="T23" s="13">
        <v>4672620</v>
      </c>
      <c r="U23" s="13" t="s">
        <v>44</v>
      </c>
      <c r="V23" t="s">
        <v>44</v>
      </c>
      <c r="W23">
        <v>53</v>
      </c>
      <c r="X23">
        <v>54</v>
      </c>
      <c r="Y23">
        <v>1.87</v>
      </c>
      <c r="Z23">
        <v>30</v>
      </c>
      <c r="AA23" s="15">
        <f>Table13[[#This Row],[Time until ideal entry + 390 (6:30)]]/(1440)</f>
        <v>0.30833333333333335</v>
      </c>
      <c r="AB23" s="18">
        <f t="shared" si="0"/>
        <v>3.5370370370370372</v>
      </c>
      <c r="AC23" s="18">
        <f>IF(Table13[[#This Row],[HOD AFTER PM HI]]&gt;=Table13[[#This Row],[PM Hi]],((Table13[[#This Row],[HOD AFTER PM HI]]-Table13[[#This Row],[Prior day close]])/Table13[[#This Row],[Prior day close]]),Table13[[#This Row],[Prior Close to PM Hi %]])</f>
        <v>3.7777777777777777</v>
      </c>
      <c r="AD23" s="18">
        <f>(Table13[[#This Row],[Price at hi of squeeze]]-Table13[[#This Row],[MKT Open Price]])/Table13[[#This Row],[MKT Open Price]]</f>
        <v>0.22857142857142856</v>
      </c>
      <c r="AE23" s="18">
        <f>(Table13[[#This Row],[Price at hi of squeeze]]-Table13[[#This Row],[PM Hi]])/Table13[[#This Row],[PM Hi]]</f>
        <v>5.3061224489795868E-2</v>
      </c>
      <c r="AF23" s="18">
        <f t="shared" si="2"/>
        <v>0.4576271186440678</v>
      </c>
      <c r="AG23" s="20">
        <f>Table13[[#This Row],[PM VOL]]/1000000/Table13[[#This Row],[FLOAT(M)]]</f>
        <v>0.67817416545718434</v>
      </c>
      <c r="AH23" s="23">
        <f>(Table13[[#This Row],[Volume]]/1000000)/Table13[[#This Row],[FLOAT(M)]]</f>
        <v>7.6784866473149496</v>
      </c>
      <c r="AI23" s="18">
        <f>(Table13[[#This Row],[Hi of Spike after open before drop]]-Table13[[#This Row],[MKT Open Price]])/Table13[[#This Row],[MKT Open Price]]</f>
        <v>9.0476190476190446E-2</v>
      </c>
      <c r="AJ23" s="18">
        <f>(Table13[[#This Row],[PM Hi]]-Table13[[#This Row],[MKT Open Price]])/(Table13[[#This Row],[PM Hi]])</f>
        <v>0.14285714285714288</v>
      </c>
      <c r="AK23" s="16">
        <f>IF(Table13[[#This Row],[PM LO]]&gt;Table13[[#This Row],[Prior day close]],(Table13[[#This Row],[PM Hi]]-Table13[[#This Row],[MKT Open Price]])/(Table13[[#This Row],[PM Hi]]-Table13[[#This Row],[Prior day close]]),(Table13[[#This Row],[PM Hi]]-Table13[[#This Row],[MKT Open Price]])/(Table13[[#This Row],[PM Hi]]-Table13[[#This Row],[PM LO]]))</f>
        <v>0.18324607329842935</v>
      </c>
      <c r="AL23" s="16">
        <f>IF(Table13[[#This Row],[Prior day close]]&lt;Table13[[#This Row],[PM LO]],(J23-L23)/(J23-Table13[[#This Row],[Prior day close]]),(J23-L23)/(J23-Table13[[#This Row],[PM LO]]))</f>
        <v>0.21153846153846156</v>
      </c>
      <c r="AM23" s="16">
        <f>Table13[[#This Row],[Spike % on open before drop]]+AN23</f>
        <v>0.24761904761904763</v>
      </c>
      <c r="AN23" s="16">
        <f t="shared" si="3"/>
        <v>0.15714285714285717</v>
      </c>
      <c r="AO23" s="18">
        <f>IF($K23&gt;=$G23,($K23-$L23)/($K23-$E23),(IF($I23&lt;=$L23,($G23-$I23)/($G23-$E23),(Table13[[#This Row],[PM Hi]]-Table13[[#This Row],[Lowest lo from open to squeeze]])/(Table13[[#This Row],[PM Hi]]-Table13[[#This Row],[Prior day close]]))))</f>
        <v>0.35602094240837701</v>
      </c>
      <c r="AP23" s="18">
        <f>IF(Table13[[#This Row],[Prior day close]]&lt;=Table13[[#This Row],[PM LO]],IF($K23&gt;=$G23,($K23-$L23)/($K23-Table13[[#This Row],[Prior day close]]),(IF($I23&lt;=$L23,($G23-$I23)/($G23-Table13[[#This Row],[Prior day close]]),(Table13[[#This Row],[PM Hi]]-Table13[[#This Row],[Lowest lo from open to squeeze]])/(Table13[[#This Row],[PM Hi]]-Table13[[#This Row],[Prior day close]])))),IF($K23&gt;=$G23,($K23-$L23)/($K23-Table13[[#This Row],[PM LO]]),(IF($I23&lt;=$L23,($G23-$I23)/($G23-Table13[[#This Row],[PM LO]]),(Table13[[#This Row],[PM Hi]]-Table13[[#This Row],[Lowest lo from open to squeeze]])/(Table13[[#This Row],[PM Hi]]-Table13[[#This Row],[PM LO]])))))</f>
        <v>0.35602094240837701</v>
      </c>
      <c r="AQ23" s="18">
        <f>0.68/1.92</f>
        <v>0.35416666666666669</v>
      </c>
      <c r="AR23" s="17">
        <f>390+Table13[[#This Row],[Time until ideal entry point (mins) from open]]</f>
        <v>444</v>
      </c>
      <c r="AS23" s="51">
        <f>(Table13[[#This Row],[Time until ideal entry + 390 (6:30)]]+Table13[[#This Row],[Duration of frontside (mins)]])/1440</f>
        <v>0.32916666666666666</v>
      </c>
    </row>
    <row r="24" spans="1:45" x14ac:dyDescent="0.25">
      <c r="A24" s="25" t="s">
        <v>68</v>
      </c>
      <c r="B24" s="11">
        <v>43920</v>
      </c>
      <c r="C24" s="47" t="s">
        <v>78</v>
      </c>
      <c r="E24" s="12">
        <v>0.52</v>
      </c>
      <c r="F24" s="13">
        <v>0.5</v>
      </c>
      <c r="G24" s="12">
        <v>1.25</v>
      </c>
      <c r="H24" s="12">
        <v>0.5</v>
      </c>
      <c r="I24" s="12">
        <v>0.95</v>
      </c>
      <c r="J24" s="12">
        <v>1</v>
      </c>
      <c r="K24" s="12">
        <v>1</v>
      </c>
      <c r="L24" s="12">
        <v>0.92</v>
      </c>
      <c r="M24" s="12">
        <v>1.91</v>
      </c>
      <c r="N24" s="12">
        <v>1.91</v>
      </c>
      <c r="O24" s="13">
        <v>62858519</v>
      </c>
      <c r="P24" s="12">
        <v>67735425</v>
      </c>
      <c r="Q24" s="13">
        <v>15.75</v>
      </c>
      <c r="R24" s="13">
        <v>11.7</v>
      </c>
      <c r="S24" s="13"/>
      <c r="T24" s="13">
        <v>4158637</v>
      </c>
      <c r="U24" s="13" t="s">
        <v>44</v>
      </c>
      <c r="V24" t="s">
        <v>44</v>
      </c>
      <c r="W24">
        <v>2</v>
      </c>
      <c r="X24">
        <v>3</v>
      </c>
      <c r="Y24">
        <v>0.97</v>
      </c>
      <c r="Z24">
        <v>44</v>
      </c>
      <c r="AA24" s="15">
        <f>Table13[[#This Row],[Time until ideal entry + 390 (6:30)]]/(1440)</f>
        <v>0.27291666666666664</v>
      </c>
      <c r="AB24" s="18">
        <f t="shared" ref="AB24:AB55" si="4">(G24-E24)/E24</f>
        <v>1.4038461538461537</v>
      </c>
      <c r="AC24" s="18">
        <f>IF(Table13[[#This Row],[HOD AFTER PM HI]]&gt;=Table13[[#This Row],[PM Hi]],((Table13[[#This Row],[HOD AFTER PM HI]]-Table13[[#This Row],[Prior day close]])/Table13[[#This Row],[Prior day close]]),Table13[[#This Row],[Prior Close to PM Hi %]])</f>
        <v>2.6730769230769229</v>
      </c>
      <c r="AD24" s="18">
        <f>(Table13[[#This Row],[Price at hi of squeeze]]-Table13[[#This Row],[MKT Open Price]])/Table13[[#This Row],[MKT Open Price]]</f>
        <v>0.90999999999999992</v>
      </c>
      <c r="AE24" s="18">
        <f>(Table13[[#This Row],[Price at hi of squeeze]]-Table13[[#This Row],[PM Hi]])/Table13[[#This Row],[PM Hi]]</f>
        <v>0.52799999999999991</v>
      </c>
      <c r="AF24" s="18">
        <f t="shared" si="2"/>
        <v>1.076086956521739</v>
      </c>
      <c r="AG24" s="20">
        <f>Table13[[#This Row],[PM VOL]]/1000000/Table13[[#This Row],[FLOAT(M)]]</f>
        <v>0.35543905982905982</v>
      </c>
      <c r="AH24" s="23">
        <f>(Table13[[#This Row],[Volume]]/1000000)/Table13[[#This Row],[FLOAT(M)]]</f>
        <v>5.3725229914529917</v>
      </c>
      <c r="AI24" s="18">
        <f>(Table13[[#This Row],[Hi of Spike after open before drop]]-Table13[[#This Row],[MKT Open Price]])/Table13[[#This Row],[MKT Open Price]]</f>
        <v>0</v>
      </c>
      <c r="AJ24" s="18">
        <f>(Table13[[#This Row],[PM Hi]]-Table13[[#This Row],[MKT Open Price]])/(Table13[[#This Row],[PM Hi]])</f>
        <v>0.2</v>
      </c>
      <c r="AK24" s="16">
        <f>IF(Table13[[#This Row],[PM LO]]&gt;Table13[[#This Row],[Prior day close]],(Table13[[#This Row],[PM Hi]]-Table13[[#This Row],[MKT Open Price]])/(Table13[[#This Row],[PM Hi]]-Table13[[#This Row],[Prior day close]]),(Table13[[#This Row],[PM Hi]]-Table13[[#This Row],[MKT Open Price]])/(Table13[[#This Row],[PM Hi]]-Table13[[#This Row],[PM LO]]))</f>
        <v>0.33333333333333331</v>
      </c>
      <c r="AL24" s="16">
        <f>IF(Table13[[#This Row],[Prior day close]]&lt;Table13[[#This Row],[PM LO]],(J24-L24)/(J24-Table13[[#This Row],[Prior day close]]),(J24-L24)/(J24-Table13[[#This Row],[PM LO]]))</f>
        <v>0.15999999999999992</v>
      </c>
      <c r="AM24" s="16">
        <f>Table13[[#This Row],[Spike % on open before drop]]+AN24</f>
        <v>7.999999999999996E-2</v>
      </c>
      <c r="AN24" s="16">
        <f t="shared" si="3"/>
        <v>7.999999999999996E-2</v>
      </c>
      <c r="AO24" s="18">
        <f>IF($K24&gt;=$G24,($K24-$L24)/($K24-$E24),(IF($I24&lt;=$L24,($G24-$I24)/($G24-$E24),(Table13[[#This Row],[PM Hi]]-Table13[[#This Row],[Lowest lo from open to squeeze]])/(Table13[[#This Row],[PM Hi]]-Table13[[#This Row],[Prior day close]]))))</f>
        <v>0.45205479452054792</v>
      </c>
      <c r="AP24" s="18">
        <f>IF(Table13[[#This Row],[Prior day close]]&lt;=Table13[[#This Row],[PM LO]],IF($K24&gt;=$G24,($K24-$L24)/($K24-Table13[[#This Row],[Prior day close]]),(IF($I24&lt;=$L24,($G24-$I24)/($G24-Table13[[#This Row],[Prior day close]]),(Table13[[#This Row],[PM Hi]]-Table13[[#This Row],[Lowest lo from open to squeeze]])/(Table13[[#This Row],[PM Hi]]-Table13[[#This Row],[Prior day close]])))),IF($K24&gt;=$G24,($K24-$L24)/($K24-Table13[[#This Row],[PM LO]]),(IF($I24&lt;=$L24,($G24-$I24)/($G24-Table13[[#This Row],[PM LO]]),(Table13[[#This Row],[PM Hi]]-Table13[[#This Row],[Lowest lo from open to squeeze]])/(Table13[[#This Row],[PM Hi]]-Table13[[#This Row],[PM LO]])))))</f>
        <v>0.43999999999999995</v>
      </c>
      <c r="AQ24" s="18">
        <f>0.33/0.73</f>
        <v>0.45205479452054798</v>
      </c>
      <c r="AR24" s="17">
        <f>390+Table13[[#This Row],[Time until ideal entry point (mins) from open]]</f>
        <v>393</v>
      </c>
      <c r="AS24" s="51">
        <f>(Table13[[#This Row],[Time until ideal entry + 390 (6:30)]]+Table13[[#This Row],[Duration of frontside (mins)]])/1440</f>
        <v>0.3034722222222222</v>
      </c>
    </row>
    <row r="25" spans="1:45" x14ac:dyDescent="0.25">
      <c r="A25" s="25" t="s">
        <v>70</v>
      </c>
      <c r="B25" s="11">
        <v>43930</v>
      </c>
      <c r="C25" s="47" t="s">
        <v>78</v>
      </c>
      <c r="E25" s="12">
        <v>1.1100000000000001</v>
      </c>
      <c r="F25" s="13">
        <v>1.25</v>
      </c>
      <c r="G25" s="12">
        <v>3.61</v>
      </c>
      <c r="H25" s="12">
        <v>1.25</v>
      </c>
      <c r="I25" s="12">
        <v>3.39</v>
      </c>
      <c r="J25" s="12">
        <v>3.5</v>
      </c>
      <c r="K25" s="12">
        <v>4.1500000000000004</v>
      </c>
      <c r="L25" s="12">
        <v>3.05</v>
      </c>
      <c r="M25" s="12">
        <v>4.1100000000000003</v>
      </c>
      <c r="N25" s="12">
        <v>4.1100000000000003</v>
      </c>
      <c r="O25" s="13">
        <v>19795485</v>
      </c>
      <c r="P25" s="12">
        <v>36224670</v>
      </c>
      <c r="Q25" s="13">
        <v>5.4</v>
      </c>
      <c r="R25" s="13">
        <v>3.38</v>
      </c>
      <c r="S25" s="13"/>
      <c r="T25" s="13">
        <v>782201</v>
      </c>
      <c r="U25" s="13" t="s">
        <v>44</v>
      </c>
      <c r="V25" t="s">
        <v>44</v>
      </c>
      <c r="W25">
        <v>13</v>
      </c>
      <c r="X25">
        <v>14</v>
      </c>
      <c r="Y25">
        <v>3.24</v>
      </c>
      <c r="Z25">
        <v>12</v>
      </c>
      <c r="AA25" s="15">
        <f>Table13[[#This Row],[Time until ideal entry + 390 (6:30)]]/(1440)</f>
        <v>0.28055555555555556</v>
      </c>
      <c r="AB25" s="18">
        <f t="shared" si="4"/>
        <v>2.2522522522522519</v>
      </c>
      <c r="AC25" s="18">
        <f>IF(Table13[[#This Row],[HOD AFTER PM HI]]&gt;=Table13[[#This Row],[PM Hi]],((Table13[[#This Row],[HOD AFTER PM HI]]-Table13[[#This Row],[Prior day close]])/Table13[[#This Row],[Prior day close]]),Table13[[#This Row],[Prior Close to PM Hi %]])</f>
        <v>2.7027027027027026</v>
      </c>
      <c r="AD25" s="18">
        <f>(Table13[[#This Row],[Price at hi of squeeze]]-Table13[[#This Row],[MKT Open Price]])/Table13[[#This Row],[MKT Open Price]]</f>
        <v>0.17428571428571438</v>
      </c>
      <c r="AE25" s="18">
        <f>(Table13[[#This Row],[Price at hi of squeeze]]-Table13[[#This Row],[PM Hi]])/Table13[[#This Row],[PM Hi]]</f>
        <v>0.13850415512465386</v>
      </c>
      <c r="AF25" s="18">
        <f t="shared" si="2"/>
        <v>0.34754098360655755</v>
      </c>
      <c r="AG25" s="20">
        <f>Table13[[#This Row],[PM VOL]]/1000000/Table13[[#This Row],[FLOAT(M)]]</f>
        <v>0.23142041420118345</v>
      </c>
      <c r="AH25" s="23">
        <f>(Table13[[#This Row],[Volume]]/1000000)/Table13[[#This Row],[FLOAT(M)]]</f>
        <v>5.856652366863905</v>
      </c>
      <c r="AI25" s="18">
        <f>(Table13[[#This Row],[Hi of Spike after open before drop]]-Table13[[#This Row],[MKT Open Price]])/Table13[[#This Row],[MKT Open Price]]</f>
        <v>0.1857142857142858</v>
      </c>
      <c r="AJ25" s="18">
        <f>(Table13[[#This Row],[PM Hi]]-Table13[[#This Row],[MKT Open Price]])/(Table13[[#This Row],[PM Hi]])</f>
        <v>3.0470914127423789E-2</v>
      </c>
      <c r="AK25" s="16">
        <f>IF(Table13[[#This Row],[PM LO]]&gt;Table13[[#This Row],[Prior day close]],(Table13[[#This Row],[PM Hi]]-Table13[[#This Row],[MKT Open Price]])/(Table13[[#This Row],[PM Hi]]-Table13[[#This Row],[Prior day close]]),(Table13[[#This Row],[PM Hi]]-Table13[[#This Row],[MKT Open Price]])/(Table13[[#This Row],[PM Hi]]-Table13[[#This Row],[PM LO]]))</f>
        <v>4.3999999999999949E-2</v>
      </c>
      <c r="AL25" s="16">
        <f>IF(Table13[[#This Row],[Prior day close]]&lt;Table13[[#This Row],[PM LO]],(J25-L25)/(J25-Table13[[#This Row],[Prior day close]]),(J25-L25)/(J25-Table13[[#This Row],[PM LO]]))</f>
        <v>0.18828451882845199</v>
      </c>
      <c r="AM25" s="16">
        <f>Table13[[#This Row],[Spike % on open before drop]]+AN25</f>
        <v>0.31428571428571439</v>
      </c>
      <c r="AN25" s="16">
        <f t="shared" si="3"/>
        <v>0.12857142857142861</v>
      </c>
      <c r="AO25" s="18">
        <f>IF($K25&gt;=$G25,($K25-$L25)/($K25-$E25),(IF($I25&lt;=$L25,($G25-$I25)/($G25-$E25),(Table13[[#This Row],[PM Hi]]-Table13[[#This Row],[Lowest lo from open to squeeze]])/(Table13[[#This Row],[PM Hi]]-Table13[[#This Row],[Prior day close]]))))</f>
        <v>0.36184210526315808</v>
      </c>
      <c r="AP25" s="18">
        <f>IF(Table13[[#This Row],[Prior day close]]&lt;=Table13[[#This Row],[PM LO]],IF($K25&gt;=$G25,($K25-$L25)/($K25-Table13[[#This Row],[Prior day close]]),(IF($I25&lt;=$L25,($G25-$I25)/($G25-Table13[[#This Row],[Prior day close]]),(Table13[[#This Row],[PM Hi]]-Table13[[#This Row],[Lowest lo from open to squeeze]])/(Table13[[#This Row],[PM Hi]]-Table13[[#This Row],[Prior day close]])))),IF($K25&gt;=$G25,($K25-$L25)/($K25-Table13[[#This Row],[PM LO]]),(IF($I25&lt;=$L25,($G25-$I25)/($G25-Table13[[#This Row],[PM LO]]),(Table13[[#This Row],[PM Hi]]-Table13[[#This Row],[Lowest lo from open to squeeze]])/(Table13[[#This Row],[PM Hi]]-Table13[[#This Row],[PM LO]])))))</f>
        <v>0.36184210526315808</v>
      </c>
      <c r="AQ25" s="18">
        <f>1.09/3.05</f>
        <v>0.35737704918032792</v>
      </c>
      <c r="AR25" s="17">
        <f>390+Table13[[#This Row],[Time until ideal entry point (mins) from open]]</f>
        <v>404</v>
      </c>
      <c r="AS25" s="51">
        <f>(Table13[[#This Row],[Time until ideal entry + 390 (6:30)]]+Table13[[#This Row],[Duration of frontside (mins)]])/1440</f>
        <v>0.28888888888888886</v>
      </c>
    </row>
    <row r="26" spans="1:45" x14ac:dyDescent="0.25">
      <c r="A26" s="25" t="s">
        <v>71</v>
      </c>
      <c r="B26" s="11">
        <v>43934</v>
      </c>
      <c r="C26" s="47" t="s">
        <v>78</v>
      </c>
      <c r="D26" s="3" t="s">
        <v>72</v>
      </c>
      <c r="E26" s="12">
        <v>2.25</v>
      </c>
      <c r="F26" s="13">
        <v>2.64</v>
      </c>
      <c r="G26" s="12">
        <v>9.9499999999999993</v>
      </c>
      <c r="H26" s="12">
        <v>2.64</v>
      </c>
      <c r="I26" s="12">
        <v>5.27</v>
      </c>
      <c r="J26" s="12">
        <v>6.45</v>
      </c>
      <c r="K26" s="12">
        <v>7.2</v>
      </c>
      <c r="L26" s="12">
        <v>5.45</v>
      </c>
      <c r="M26" s="12">
        <v>14.88</v>
      </c>
      <c r="N26" s="12">
        <v>14.35</v>
      </c>
      <c r="O26" s="13">
        <v>86483807</v>
      </c>
      <c r="P26" s="12">
        <v>1221549846</v>
      </c>
      <c r="Q26" s="13">
        <v>16.809999999999999</v>
      </c>
      <c r="R26" s="13">
        <v>5.24</v>
      </c>
      <c r="S26" s="14"/>
      <c r="T26" s="13">
        <v>3239842</v>
      </c>
      <c r="U26" s="13" t="s">
        <v>44</v>
      </c>
      <c r="V26" t="s">
        <v>44</v>
      </c>
      <c r="W26">
        <v>28</v>
      </c>
      <c r="X26">
        <v>29</v>
      </c>
      <c r="Y26">
        <v>5.52</v>
      </c>
      <c r="Z26">
        <v>199</v>
      </c>
      <c r="AA26" s="15">
        <f>Table13[[#This Row],[Time until ideal entry + 390 (6:30)]]/(1440)</f>
        <v>0.29097222222222224</v>
      </c>
      <c r="AB26" s="18">
        <f t="shared" si="4"/>
        <v>3.4222222222222221</v>
      </c>
      <c r="AC26" s="18">
        <f>IF(Table13[[#This Row],[HOD AFTER PM HI]]&gt;=Table13[[#This Row],[PM Hi]],((Table13[[#This Row],[HOD AFTER PM HI]]-Table13[[#This Row],[Prior day close]])/Table13[[#This Row],[Prior day close]]),Table13[[#This Row],[Prior Close to PM Hi %]])</f>
        <v>5.6133333333333333</v>
      </c>
      <c r="AD26" s="18">
        <f>(Table13[[#This Row],[Price at hi of squeeze]]-Table13[[#This Row],[MKT Open Price]])/Table13[[#This Row],[MKT Open Price]]</f>
        <v>1.2248062015503876</v>
      </c>
      <c r="AE26" s="18">
        <f>(Table13[[#This Row],[Price at hi of squeeze]]-Table13[[#This Row],[PM Hi]])/Table13[[#This Row],[PM Hi]]</f>
        <v>0.44221105527638199</v>
      </c>
      <c r="AF26" s="18">
        <f t="shared" si="2"/>
        <v>1.6330275229357796</v>
      </c>
      <c r="AG26" s="20">
        <f>Table13[[#This Row],[PM VOL]]/1000000/Table13[[#This Row],[FLOAT(M)]]</f>
        <v>0.61829045801526716</v>
      </c>
      <c r="AH26" s="21">
        <f>(Table13[[#This Row],[Volume]]/1000000)/Table13[[#This Row],[FLOAT(M)]]</f>
        <v>16.504543320610686</v>
      </c>
      <c r="AI26" s="18">
        <f>(Table13[[#This Row],[Hi of Spike after open before drop]]-Table13[[#This Row],[MKT Open Price]])/Table13[[#This Row],[MKT Open Price]]</f>
        <v>0.11627906976744186</v>
      </c>
      <c r="AJ26" s="18">
        <f>(Table13[[#This Row],[PM Hi]]-Table13[[#This Row],[MKT Open Price]])/(Table13[[#This Row],[PM Hi]])</f>
        <v>0.35175879396984916</v>
      </c>
      <c r="AK26" s="16">
        <f>IF(Table13[[#This Row],[PM LO]]&gt;Table13[[#This Row],[Prior day close]],(Table13[[#This Row],[PM Hi]]-Table13[[#This Row],[MKT Open Price]])/(Table13[[#This Row],[PM Hi]]-Table13[[#This Row],[Prior day close]]),(Table13[[#This Row],[PM Hi]]-Table13[[#This Row],[MKT Open Price]])/(Table13[[#This Row],[PM Hi]]-Table13[[#This Row],[PM LO]]))</f>
        <v>0.45454545454545447</v>
      </c>
      <c r="AL26" s="16">
        <f>IF(Table13[[#This Row],[Prior day close]]&lt;Table13[[#This Row],[PM LO]],(J26-L26)/(J26-Table13[[#This Row],[Prior day close]]),(J26-L26)/(J26-Table13[[#This Row],[PM LO]]))</f>
        <v>0.23809523809523808</v>
      </c>
      <c r="AM26" s="16">
        <f>Table13[[#This Row],[Spike % on open before drop]]+AN26</f>
        <v>0.27131782945736432</v>
      </c>
      <c r="AN26" s="16">
        <f t="shared" si="3"/>
        <v>0.15503875968992248</v>
      </c>
      <c r="AO26" s="18">
        <f>IF($K26&gt;=$G26,($K26-$L26)/($K26-$E26),(IF($I26&lt;=$L26,($G26-$I26)/($G26-$E26),(Table13[[#This Row],[PM Hi]]-Table13[[#This Row],[Lowest lo from open to squeeze]])/(Table13[[#This Row],[PM Hi]]-Table13[[#This Row],[Prior day close]]))))</f>
        <v>0.60779220779220777</v>
      </c>
      <c r="AP26" s="18">
        <f>IF(Table13[[#This Row],[Prior day close]]&lt;=Table13[[#This Row],[PM LO]],IF($K26&gt;=$G26,($K26-$L26)/($K26-Table13[[#This Row],[Prior day close]]),(IF($I26&lt;=$L26,($G26-$I26)/($G26-Table13[[#This Row],[Prior day close]]),(Table13[[#This Row],[PM Hi]]-Table13[[#This Row],[Lowest lo from open to squeeze]])/(Table13[[#This Row],[PM Hi]]-Table13[[#This Row],[Prior day close]])))),IF($K26&gt;=$G26,($K26-$L26)/($K26-Table13[[#This Row],[PM LO]]),(IF($I26&lt;=$L26,($G26-$I26)/($G26-Table13[[#This Row],[PM LO]]),(Table13[[#This Row],[PM Hi]]-Table13[[#This Row],[Lowest lo from open to squeeze]])/(Table13[[#This Row],[PM Hi]]-Table13[[#This Row],[PM LO]])))))</f>
        <v>0.60779220779220777</v>
      </c>
      <c r="AQ26" s="18">
        <f>4.7/7.68</f>
        <v>0.61197916666666674</v>
      </c>
      <c r="AR26" s="17">
        <f>390+Table13[[#This Row],[Time until ideal entry point (mins) from open]]</f>
        <v>419</v>
      </c>
      <c r="AS26" s="51">
        <f>(Table13[[#This Row],[Time until ideal entry + 390 (6:30)]]+Table13[[#This Row],[Duration of frontside (mins)]])/1440</f>
        <v>0.42916666666666664</v>
      </c>
    </row>
    <row r="27" spans="1:45" x14ac:dyDescent="0.25">
      <c r="A27" s="25" t="s">
        <v>41</v>
      </c>
      <c r="B27" s="11">
        <v>43938</v>
      </c>
      <c r="C27" s="47" t="s">
        <v>78</v>
      </c>
      <c r="E27" s="12">
        <v>1.63</v>
      </c>
      <c r="F27" s="13">
        <v>2.34</v>
      </c>
      <c r="G27" s="12">
        <v>2.93</v>
      </c>
      <c r="H27" s="12">
        <v>1.97</v>
      </c>
      <c r="I27" s="12">
        <v>1.97</v>
      </c>
      <c r="J27" s="12">
        <v>2.1800000000000002</v>
      </c>
      <c r="K27" s="12">
        <v>2.41</v>
      </c>
      <c r="L27" s="12">
        <v>1.99</v>
      </c>
      <c r="M27" s="12">
        <v>2.84</v>
      </c>
      <c r="N27" s="12">
        <v>2.84</v>
      </c>
      <c r="O27" s="13">
        <v>29998532</v>
      </c>
      <c r="P27" s="12">
        <v>59886571</v>
      </c>
      <c r="Q27" s="13">
        <v>14.02</v>
      </c>
      <c r="R27" s="13">
        <v>6.58</v>
      </c>
      <c r="S27" s="14"/>
      <c r="T27" s="13">
        <v>2487617</v>
      </c>
      <c r="U27" s="13" t="s">
        <v>44</v>
      </c>
      <c r="V27" t="s">
        <v>44</v>
      </c>
      <c r="W27">
        <v>19</v>
      </c>
      <c r="X27">
        <v>20</v>
      </c>
      <c r="Y27">
        <v>2.02</v>
      </c>
      <c r="Z27">
        <v>35</v>
      </c>
      <c r="AA27" s="15">
        <f>Table13[[#This Row],[Time until ideal entry + 390 (6:30)]]/(1440)</f>
        <v>0.28472222222222221</v>
      </c>
      <c r="AB27" s="18">
        <f t="shared" si="4"/>
        <v>0.79754601226993882</v>
      </c>
      <c r="AC27" s="18">
        <f>IF(Table13[[#This Row],[HOD AFTER PM HI]]&gt;=Table13[[#This Row],[PM Hi]],((Table13[[#This Row],[HOD AFTER PM HI]]-Table13[[#This Row],[Prior day close]])/Table13[[#This Row],[Prior day close]]),Table13[[#This Row],[Prior Close to PM Hi %]])</f>
        <v>0.79754601226993882</v>
      </c>
      <c r="AD27" s="18">
        <f>(Table13[[#This Row],[Price at hi of squeeze]]-Table13[[#This Row],[MKT Open Price]])/Table13[[#This Row],[MKT Open Price]]</f>
        <v>0.3027522935779815</v>
      </c>
      <c r="AE27" s="18">
        <f>(Table13[[#This Row],[Price at hi of squeeze]]-Table13[[#This Row],[PM Hi]])/Table13[[#This Row],[PM Hi]]</f>
        <v>-3.0716723549488158E-2</v>
      </c>
      <c r="AF27" s="18">
        <f t="shared" si="2"/>
        <v>0.42713567839195976</v>
      </c>
      <c r="AG27" s="20">
        <f>Table13[[#This Row],[PM VOL]]/1000000/Table13[[#This Row],[FLOAT(M)]]</f>
        <v>0.3780572948328268</v>
      </c>
      <c r="AH27" s="21">
        <f>(Table13[[#This Row],[Volume]]/1000000)/Table13[[#This Row],[FLOAT(M)]]</f>
        <v>4.5590474164133736</v>
      </c>
      <c r="AI27" s="18">
        <f>(Table13[[#This Row],[Hi of Spike after open before drop]]-Table13[[#This Row],[MKT Open Price]])/Table13[[#This Row],[MKT Open Price]]</f>
        <v>0.10550458715596328</v>
      </c>
      <c r="AJ27" s="18">
        <f>(Table13[[#This Row],[PM Hi]]-Table13[[#This Row],[MKT Open Price]])/(Table13[[#This Row],[PM Hi]])</f>
        <v>0.25597269624573377</v>
      </c>
      <c r="AK27" s="16">
        <f>IF(Table13[[#This Row],[PM LO]]&gt;Table13[[#This Row],[Prior day close]],(Table13[[#This Row],[PM Hi]]-Table13[[#This Row],[MKT Open Price]])/(Table13[[#This Row],[PM Hi]]-Table13[[#This Row],[Prior day close]]),(Table13[[#This Row],[PM Hi]]-Table13[[#This Row],[MKT Open Price]])/(Table13[[#This Row],[PM Hi]]-Table13[[#This Row],[PM LO]]))</f>
        <v>0.57692307692307676</v>
      </c>
      <c r="AL27" s="16">
        <f>IF(Table13[[#This Row],[Prior day close]]&lt;Table13[[#This Row],[PM LO]],(J27-L27)/(J27-Table13[[#This Row],[Prior day close]]),(J27-L27)/(J27-Table13[[#This Row],[PM LO]]))</f>
        <v>0.34545454545454557</v>
      </c>
      <c r="AM27" s="16">
        <f>Table13[[#This Row],[Spike % on open before drop]]+AN27</f>
        <v>0.19266055045871566</v>
      </c>
      <c r="AN27" s="16">
        <f t="shared" si="3"/>
        <v>8.7155963302752368E-2</v>
      </c>
      <c r="AO27" s="18">
        <f>IF($K27&gt;=$G27,($K27-$L27)/($K27-$E27),(IF($I27&lt;=$L27,($G27-$I27)/($G27-$E27),(Table13[[#This Row],[PM Hi]]-Table13[[#This Row],[Lowest lo from open to squeeze]])/(Table13[[#This Row],[PM Hi]]-Table13[[#This Row],[Prior day close]]))))</f>
        <v>0.7384615384615385</v>
      </c>
      <c r="AP27" s="18">
        <f>IF(Table13[[#This Row],[Prior day close]]&lt;=Table13[[#This Row],[PM LO]],IF($K27&gt;=$G27,($K27-$L27)/($K27-Table13[[#This Row],[Prior day close]]),(IF($I27&lt;=$L27,($G27-$I27)/($G27-Table13[[#This Row],[Prior day close]]),(Table13[[#This Row],[PM Hi]]-Table13[[#This Row],[Lowest lo from open to squeeze]])/(Table13[[#This Row],[PM Hi]]-Table13[[#This Row],[Prior day close]])))),IF($K27&gt;=$G27,($K27-$L27)/($K27-Table13[[#This Row],[PM LO]]),(IF($I27&lt;=$L27,($G27-$I27)/($G27-Table13[[#This Row],[PM LO]]),(Table13[[#This Row],[PM Hi]]-Table13[[#This Row],[Lowest lo from open to squeeze]])/(Table13[[#This Row],[PM Hi]]-Table13[[#This Row],[PM LO]])))))</f>
        <v>0.7384615384615385</v>
      </c>
      <c r="AQ27" s="18">
        <f>0.93/1.31</f>
        <v>0.70992366412213737</v>
      </c>
      <c r="AR27" s="17">
        <f>390+Table13[[#This Row],[Time until ideal entry point (mins) from open]]</f>
        <v>410</v>
      </c>
      <c r="AS27" s="51">
        <f>(Table13[[#This Row],[Time until ideal entry + 390 (6:30)]]+Table13[[#This Row],[Duration of frontside (mins)]])/1440</f>
        <v>0.30902777777777779</v>
      </c>
    </row>
    <row r="28" spans="1:45" x14ac:dyDescent="0.25">
      <c r="A28" s="10" t="s">
        <v>74</v>
      </c>
      <c r="B28" s="11">
        <v>43945</v>
      </c>
      <c r="C28" s="47" t="s">
        <v>78</v>
      </c>
      <c r="E28" s="12">
        <v>1.41</v>
      </c>
      <c r="F28" s="13">
        <v>1.45</v>
      </c>
      <c r="G28" s="12">
        <v>3.1</v>
      </c>
      <c r="H28" s="12">
        <v>1.45</v>
      </c>
      <c r="I28" s="12">
        <v>2.3199999999999998</v>
      </c>
      <c r="J28" s="12">
        <v>2.36</v>
      </c>
      <c r="K28" s="12">
        <v>2.48</v>
      </c>
      <c r="L28" s="12">
        <v>2.06</v>
      </c>
      <c r="M28" s="12">
        <v>3.42</v>
      </c>
      <c r="N28" s="12">
        <v>3.42</v>
      </c>
      <c r="O28" s="13">
        <v>32754511</v>
      </c>
      <c r="P28" s="12">
        <v>58613192</v>
      </c>
      <c r="Q28" s="13">
        <v>5.82</v>
      </c>
      <c r="R28" s="13">
        <v>2.14</v>
      </c>
      <c r="S28" s="14"/>
      <c r="T28" s="13">
        <v>2586134</v>
      </c>
      <c r="U28" s="13" t="s">
        <v>44</v>
      </c>
      <c r="V28" t="s">
        <v>44</v>
      </c>
      <c r="W28">
        <v>13</v>
      </c>
      <c r="X28">
        <v>14</v>
      </c>
      <c r="Y28">
        <v>2.12</v>
      </c>
      <c r="Z28">
        <v>41</v>
      </c>
      <c r="AA28" s="15">
        <f>Table13[[#This Row],[Time until ideal entry + 390 (6:30)]]/(1440)</f>
        <v>0.28055555555555556</v>
      </c>
      <c r="AB28" s="18">
        <f t="shared" si="4"/>
        <v>1.1985815602836882</v>
      </c>
      <c r="AC28" s="18">
        <f>IF(Table13[[#This Row],[HOD AFTER PM HI]]&gt;=Table13[[#This Row],[PM Hi]],((Table13[[#This Row],[HOD AFTER PM HI]]-Table13[[#This Row],[Prior day close]])/Table13[[#This Row],[Prior day close]]),Table13[[#This Row],[Prior Close to PM Hi %]])</f>
        <v>1.425531914893617</v>
      </c>
      <c r="AD28" s="18">
        <f>(Table13[[#This Row],[Price at hi of squeeze]]-Table13[[#This Row],[MKT Open Price]])/Table13[[#This Row],[MKT Open Price]]</f>
        <v>0.44915254237288138</v>
      </c>
      <c r="AE28" s="18">
        <f>(Table13[[#This Row],[Price at hi of squeeze]]-Table13[[#This Row],[PM Hi]])/Table13[[#This Row],[PM Hi]]</f>
        <v>0.10322580645161285</v>
      </c>
      <c r="AF28" s="18">
        <f t="shared" si="2"/>
        <v>0.66019417475728148</v>
      </c>
      <c r="AG28" s="20">
        <f>Table13[[#This Row],[PM VOL]]/1000000/Table13[[#This Row],[FLOAT(M)]]</f>
        <v>1.2084738317757009</v>
      </c>
      <c r="AH28" s="21">
        <f>(Table13[[#This Row],[Volume]]/1000000)/Table13[[#This Row],[FLOAT(M)]]</f>
        <v>15.305846261682243</v>
      </c>
      <c r="AI28" s="18">
        <f>(Table13[[#This Row],[Hi of Spike after open before drop]]-Table13[[#This Row],[MKT Open Price]])/Table13[[#This Row],[MKT Open Price]]</f>
        <v>5.0847457627118689E-2</v>
      </c>
      <c r="AJ28" s="18">
        <f>(Table13[[#This Row],[PM Hi]]-Table13[[#This Row],[MKT Open Price]])/(Table13[[#This Row],[PM Hi]])</f>
        <v>0.23870967741935489</v>
      </c>
      <c r="AK28" s="16">
        <f>IF(Table13[[#This Row],[PM LO]]&gt;Table13[[#This Row],[Prior day close]],(Table13[[#This Row],[PM Hi]]-Table13[[#This Row],[MKT Open Price]])/(Table13[[#This Row],[PM Hi]]-Table13[[#This Row],[Prior day close]]),(Table13[[#This Row],[PM Hi]]-Table13[[#This Row],[MKT Open Price]])/(Table13[[#This Row],[PM Hi]]-Table13[[#This Row],[PM LO]]))</f>
        <v>0.43786982248520717</v>
      </c>
      <c r="AL28" s="16">
        <f>IF(Table13[[#This Row],[Prior day close]]&lt;Table13[[#This Row],[PM LO]],(J28-L28)/(J28-Table13[[#This Row],[Prior day close]]),(J28-L28)/(J28-Table13[[#This Row],[PM LO]]))</f>
        <v>0.31578947368421034</v>
      </c>
      <c r="AM28" s="16">
        <f>Table13[[#This Row],[Spike % on open before drop]]+AN28</f>
        <v>0.17796610169491522</v>
      </c>
      <c r="AN28" s="16">
        <f t="shared" si="3"/>
        <v>0.12711864406779655</v>
      </c>
      <c r="AO28" s="18">
        <f>IF($K28&gt;=$G28,($K28-$L28)/($K28-$E28),(IF($I28&lt;=$L28,($G28-$I28)/($G28-$E28),(Table13[[#This Row],[PM Hi]]-Table13[[#This Row],[Lowest lo from open to squeeze]])/(Table13[[#This Row],[PM Hi]]-Table13[[#This Row],[Prior day close]]))))</f>
        <v>0.61538461538461531</v>
      </c>
      <c r="AP28" s="18">
        <f>IF(Table13[[#This Row],[Prior day close]]&lt;=Table13[[#This Row],[PM LO]],IF($K28&gt;=$G28,($K28-$L28)/($K28-Table13[[#This Row],[Prior day close]]),(IF($I28&lt;=$L28,($G28-$I28)/($G28-Table13[[#This Row],[Prior day close]]),(Table13[[#This Row],[PM Hi]]-Table13[[#This Row],[Lowest lo from open to squeeze]])/(Table13[[#This Row],[PM Hi]]-Table13[[#This Row],[Prior day close]])))),IF($K28&gt;=$G28,($K28-$L28)/($K28-Table13[[#This Row],[PM LO]]),(IF($I28&lt;=$L28,($G28-$I28)/($G28-Table13[[#This Row],[PM LO]]),(Table13[[#This Row],[PM Hi]]-Table13[[#This Row],[Lowest lo from open to squeeze]])/(Table13[[#This Row],[PM Hi]]-Table13[[#This Row],[PM LO]])))))</f>
        <v>0.61538461538461531</v>
      </c>
      <c r="AQ28" s="18">
        <f>1.02/1.7</f>
        <v>0.6</v>
      </c>
      <c r="AR28" s="17">
        <f>390+Table13[[#This Row],[Time until ideal entry point (mins) from open]]</f>
        <v>404</v>
      </c>
      <c r="AS28" s="51">
        <f>(Table13[[#This Row],[Time until ideal entry + 390 (6:30)]]+Table13[[#This Row],[Duration of frontside (mins)]])/1440</f>
        <v>0.30902777777777779</v>
      </c>
    </row>
    <row r="29" spans="1:45" x14ac:dyDescent="0.25">
      <c r="A29" s="10" t="s">
        <v>75</v>
      </c>
      <c r="B29" s="11">
        <v>43948</v>
      </c>
      <c r="C29" s="47" t="s">
        <v>78</v>
      </c>
      <c r="E29" s="12">
        <v>5.15</v>
      </c>
      <c r="F29" s="13">
        <v>5.69</v>
      </c>
      <c r="G29" s="12">
        <v>8</v>
      </c>
      <c r="H29" s="12">
        <v>5.53</v>
      </c>
      <c r="I29" s="12">
        <v>6.28</v>
      </c>
      <c r="J29" s="12">
        <v>7.21</v>
      </c>
      <c r="K29" s="12">
        <v>7.55</v>
      </c>
      <c r="L29" s="12">
        <v>6.28</v>
      </c>
      <c r="M29" s="12">
        <v>10.15</v>
      </c>
      <c r="N29" s="12">
        <v>9.08</v>
      </c>
      <c r="O29" s="13">
        <v>33905783</v>
      </c>
      <c r="P29" s="12">
        <v>252314710</v>
      </c>
      <c r="Q29" s="13">
        <v>13.5</v>
      </c>
      <c r="R29" s="13">
        <v>1.92</v>
      </c>
      <c r="S29" s="14"/>
      <c r="T29" s="13">
        <v>446041</v>
      </c>
      <c r="U29" s="13" t="s">
        <v>44</v>
      </c>
      <c r="V29" t="s">
        <v>44</v>
      </c>
      <c r="W29">
        <v>4</v>
      </c>
      <c r="X29">
        <v>5</v>
      </c>
      <c r="Y29">
        <v>6.77</v>
      </c>
      <c r="Z29">
        <v>49</v>
      </c>
      <c r="AA29" s="15">
        <f>Table13[[#This Row],[Time until ideal entry + 390 (6:30)]]/(1440)</f>
        <v>0.27430555555555558</v>
      </c>
      <c r="AB29" s="18">
        <f t="shared" si="4"/>
        <v>0.55339805825242705</v>
      </c>
      <c r="AC29" s="18">
        <f>IF(Table13[[#This Row],[HOD AFTER PM HI]]&gt;=Table13[[#This Row],[PM Hi]],((Table13[[#This Row],[HOD AFTER PM HI]]-Table13[[#This Row],[Prior day close]])/Table13[[#This Row],[Prior day close]]),Table13[[#This Row],[Prior Close to PM Hi %]])</f>
        <v>0.97087378640776689</v>
      </c>
      <c r="AD29" s="18">
        <f>(Table13[[#This Row],[Price at hi of squeeze]]-Table13[[#This Row],[MKT Open Price]])/Table13[[#This Row],[MKT Open Price]]</f>
        <v>0.25936199722607489</v>
      </c>
      <c r="AE29" s="18">
        <f>(Table13[[#This Row],[Price at hi of squeeze]]-Table13[[#This Row],[PM Hi]])/Table13[[#This Row],[PM Hi]]</f>
        <v>0.13500000000000001</v>
      </c>
      <c r="AF29" s="18">
        <f t="shared" si="2"/>
        <v>0.44585987261146492</v>
      </c>
      <c r="AG29" s="20">
        <f>Table13[[#This Row],[PM VOL]]/1000000/Table13[[#This Row],[FLOAT(M)]]</f>
        <v>0.23231302083333336</v>
      </c>
      <c r="AH29" s="21">
        <f>(Table13[[#This Row],[Volume]]/1000000)/Table13[[#This Row],[FLOAT(M)]]</f>
        <v>17.659261979166669</v>
      </c>
      <c r="AI29" s="18">
        <f>(Table13[[#This Row],[Hi of Spike after open before drop]]-Table13[[#This Row],[MKT Open Price]])/Table13[[#This Row],[MKT Open Price]]</f>
        <v>4.7156726768377233E-2</v>
      </c>
      <c r="AJ29" s="18">
        <f>(Table13[[#This Row],[PM Hi]]-Table13[[#This Row],[MKT Open Price]])/(Table13[[#This Row],[PM Hi]])</f>
        <v>9.8750000000000004E-2</v>
      </c>
      <c r="AK29" s="16">
        <f>IF(Table13[[#This Row],[PM LO]]&gt;Table13[[#This Row],[Prior day close]],(Table13[[#This Row],[PM Hi]]-Table13[[#This Row],[MKT Open Price]])/(Table13[[#This Row],[PM Hi]]-Table13[[#This Row],[Prior day close]]),(Table13[[#This Row],[PM Hi]]-Table13[[#This Row],[MKT Open Price]])/(Table13[[#This Row],[PM Hi]]-Table13[[#This Row],[PM LO]]))</f>
        <v>0.27719298245614038</v>
      </c>
      <c r="AL29" s="16">
        <f>IF(Table13[[#This Row],[Prior day close]]&lt;Table13[[#This Row],[PM LO]],(J29-L29)/(J29-Table13[[#This Row],[Prior day close]]),(J29-L29)/(J29-Table13[[#This Row],[PM LO]]))</f>
        <v>0.45145631067961162</v>
      </c>
      <c r="AM29" s="16">
        <f>Table13[[#This Row],[Spike % on open before drop]]+AN29</f>
        <v>0.1761442441054091</v>
      </c>
      <c r="AN29" s="16">
        <f t="shared" si="3"/>
        <v>0.12898751733703187</v>
      </c>
      <c r="AO29" s="18">
        <f>IF($K29&gt;=$G29,($K29-$L29)/($K29-$E29),(IF($I29&lt;=$L29,($G29-$I29)/($G29-$E29),(Table13[[#This Row],[PM Hi]]-Table13[[#This Row],[Lowest lo from open to squeeze]])/(Table13[[#This Row],[PM Hi]]-Table13[[#This Row],[Prior day close]]))))</f>
        <v>0.60350877192982455</v>
      </c>
      <c r="AP29" s="18">
        <f>IF(Table13[[#This Row],[Prior day close]]&lt;=Table13[[#This Row],[PM LO]],IF($K29&gt;=$G29,($K29-$L29)/($K29-Table13[[#This Row],[Prior day close]]),(IF($I29&lt;=$L29,($G29-$I29)/($G29-Table13[[#This Row],[Prior day close]]),(Table13[[#This Row],[PM Hi]]-Table13[[#This Row],[Lowest lo from open to squeeze]])/(Table13[[#This Row],[PM Hi]]-Table13[[#This Row],[Prior day close]])))),IF($K29&gt;=$G29,($K29-$L29)/($K29-Table13[[#This Row],[PM LO]]),(IF($I29&lt;=$L29,($G29-$I29)/($G29-Table13[[#This Row],[PM LO]]),(Table13[[#This Row],[PM Hi]]-Table13[[#This Row],[Lowest lo from open to squeeze]])/(Table13[[#This Row],[PM Hi]]-Table13[[#This Row],[PM LO]])))))</f>
        <v>0.60350877192982455</v>
      </c>
      <c r="AQ29" s="18">
        <f>1.71/2.88</f>
        <v>0.59375</v>
      </c>
      <c r="AR29" s="17">
        <f>390+Table13[[#This Row],[Time until ideal entry point (mins) from open]]</f>
        <v>395</v>
      </c>
      <c r="AS29" s="51">
        <f>(Table13[[#This Row],[Time until ideal entry + 390 (6:30)]]+Table13[[#This Row],[Duration of frontside (mins)]])/1440</f>
        <v>0.30833333333333335</v>
      </c>
    </row>
    <row r="30" spans="1:45" x14ac:dyDescent="0.25">
      <c r="A30" s="10" t="s">
        <v>74</v>
      </c>
      <c r="B30" s="11">
        <v>43952</v>
      </c>
      <c r="C30" s="47" t="s">
        <v>78</v>
      </c>
      <c r="E30" s="12">
        <v>2.33</v>
      </c>
      <c r="F30" s="13">
        <v>2.5099999999999998</v>
      </c>
      <c r="G30" s="12">
        <v>4.5</v>
      </c>
      <c r="H30" s="12">
        <v>2.4</v>
      </c>
      <c r="I30" s="12">
        <v>3.34</v>
      </c>
      <c r="J30" s="12">
        <v>4.18</v>
      </c>
      <c r="K30" s="12">
        <v>4.32</v>
      </c>
      <c r="L30" s="12">
        <v>3.81</v>
      </c>
      <c r="M30" s="12">
        <v>5.15</v>
      </c>
      <c r="N30" s="12">
        <v>5.15</v>
      </c>
      <c r="O30" s="13">
        <v>63890721</v>
      </c>
      <c r="P30" s="12">
        <v>225002039</v>
      </c>
      <c r="Q30" s="13">
        <v>9.6</v>
      </c>
      <c r="R30" s="13">
        <v>2.33</v>
      </c>
      <c r="S30" s="14"/>
      <c r="T30" s="13">
        <v>5021483</v>
      </c>
      <c r="U30" s="13" t="s">
        <v>44</v>
      </c>
      <c r="V30" t="s">
        <v>44</v>
      </c>
      <c r="W30">
        <v>2</v>
      </c>
      <c r="X30">
        <v>3</v>
      </c>
      <c r="Y30">
        <v>3.98</v>
      </c>
      <c r="Z30">
        <v>30</v>
      </c>
      <c r="AA30" s="15">
        <f>Table13[[#This Row],[Time until ideal entry + 390 (6:30)]]/(1440)</f>
        <v>0.27291666666666664</v>
      </c>
      <c r="AB30" s="18">
        <f t="shared" si="4"/>
        <v>0.93133047210300424</v>
      </c>
      <c r="AC30" s="18">
        <f>IF(Table13[[#This Row],[HOD AFTER PM HI]]&gt;=Table13[[#This Row],[PM Hi]],((Table13[[#This Row],[HOD AFTER PM HI]]-Table13[[#This Row],[Prior day close]])/Table13[[#This Row],[Prior day close]]),Table13[[#This Row],[Prior Close to PM Hi %]])</f>
        <v>1.2103004291845494</v>
      </c>
      <c r="AD30" s="18">
        <f>(Table13[[#This Row],[Price at hi of squeeze]]-Table13[[#This Row],[MKT Open Price]])/Table13[[#This Row],[MKT Open Price]]</f>
        <v>0.23205741626794274</v>
      </c>
      <c r="AE30" s="18">
        <f>(Table13[[#This Row],[Price at hi of squeeze]]-Table13[[#This Row],[PM Hi]])/Table13[[#This Row],[PM Hi]]</f>
        <v>0.14444444444444451</v>
      </c>
      <c r="AF30" s="18">
        <f t="shared" si="2"/>
        <v>0.3517060367454069</v>
      </c>
      <c r="AG30" s="20">
        <f>Table13[[#This Row],[PM VOL]]/1000000/Table13[[#This Row],[FLOAT(M)]]</f>
        <v>2.1551429184549353</v>
      </c>
      <c r="AH30" s="21">
        <f>(Table13[[#This Row],[Volume]]/1000000)/Table13[[#This Row],[FLOAT(M)]]</f>
        <v>27.420910300429185</v>
      </c>
      <c r="AI30" s="18">
        <f>(Table13[[#This Row],[Hi of Spike after open before drop]]-Table13[[#This Row],[MKT Open Price]])/Table13[[#This Row],[MKT Open Price]]</f>
        <v>3.3492822966507317E-2</v>
      </c>
      <c r="AJ30" s="18">
        <f>(Table13[[#This Row],[PM Hi]]-Table13[[#This Row],[MKT Open Price]])/(Table13[[#This Row],[PM Hi]])</f>
        <v>7.111111111111118E-2</v>
      </c>
      <c r="AK30" s="16">
        <f>IF(Table13[[#This Row],[PM LO]]&gt;Table13[[#This Row],[Prior day close]],(Table13[[#This Row],[PM Hi]]-Table13[[#This Row],[MKT Open Price]])/(Table13[[#This Row],[PM Hi]]-Table13[[#This Row],[Prior day close]]),(Table13[[#This Row],[PM Hi]]-Table13[[#This Row],[MKT Open Price]])/(Table13[[#This Row],[PM Hi]]-Table13[[#This Row],[PM LO]]))</f>
        <v>0.14746543778801857</v>
      </c>
      <c r="AL30" s="16">
        <f>IF(Table13[[#This Row],[Prior day close]]&lt;Table13[[#This Row],[PM LO]],(J30-L30)/(J30-Table13[[#This Row],[Prior day close]]),(J30-L30)/(J30-Table13[[#This Row],[PM LO]]))</f>
        <v>0.19999999999999984</v>
      </c>
      <c r="AM30" s="16">
        <f>Table13[[#This Row],[Spike % on open before drop]]+AN30</f>
        <v>0.12200956937799048</v>
      </c>
      <c r="AN30" s="16">
        <f t="shared" si="3"/>
        <v>8.8516746411483174E-2</v>
      </c>
      <c r="AO30" s="18">
        <f>IF($K30&gt;=$G30,($K30-$L30)/($K30-$E30),(IF($I30&lt;=$L30,($G30-$I30)/($G30-$E30),(Table13[[#This Row],[PM Hi]]-Table13[[#This Row],[Lowest lo from open to squeeze]])/(Table13[[#This Row],[PM Hi]]-Table13[[#This Row],[Prior day close]]))))</f>
        <v>0.53456221198156695</v>
      </c>
      <c r="AP30" s="18">
        <f>IF(Table13[[#This Row],[Prior day close]]&lt;=Table13[[#This Row],[PM LO]],IF($K30&gt;=$G30,($K30-$L30)/($K30-Table13[[#This Row],[Prior day close]]),(IF($I30&lt;=$L30,($G30-$I30)/($G30-Table13[[#This Row],[Prior day close]]),(Table13[[#This Row],[PM Hi]]-Table13[[#This Row],[Lowest lo from open to squeeze]])/(Table13[[#This Row],[PM Hi]]-Table13[[#This Row],[Prior day close]])))),IF($K30&gt;=$G30,($K30-$L30)/($K30-Table13[[#This Row],[PM LO]]),(IF($I30&lt;=$L30,($G30-$I30)/($G30-Table13[[#This Row],[PM LO]]),(Table13[[#This Row],[PM Hi]]-Table13[[#This Row],[Lowest lo from open to squeeze]])/(Table13[[#This Row],[PM Hi]]-Table13[[#This Row],[PM LO]])))))</f>
        <v>0.53456221198156695</v>
      </c>
      <c r="AQ30" s="18">
        <f>0.87/2.17</f>
        <v>0.4009216589861751</v>
      </c>
      <c r="AR30" s="17">
        <f>390+Table13[[#This Row],[Time until ideal entry point (mins) from open]]</f>
        <v>393</v>
      </c>
      <c r="AS30" s="51">
        <f>(Table13[[#This Row],[Time until ideal entry + 390 (6:30)]]+Table13[[#This Row],[Duration of frontside (mins)]])/1440</f>
        <v>0.29375000000000001</v>
      </c>
    </row>
    <row r="31" spans="1:45" x14ac:dyDescent="0.25">
      <c r="A31" s="43" t="s">
        <v>76</v>
      </c>
      <c r="B31" s="11">
        <v>43966</v>
      </c>
      <c r="C31" s="47" t="s">
        <v>78</v>
      </c>
      <c r="E31" s="12">
        <v>2.68</v>
      </c>
      <c r="F31" s="13">
        <v>2.73</v>
      </c>
      <c r="G31" s="12">
        <v>4.7300000000000004</v>
      </c>
      <c r="H31" s="12">
        <v>2.66</v>
      </c>
      <c r="I31" s="12">
        <v>3.86</v>
      </c>
      <c r="J31" s="12">
        <v>4.41</v>
      </c>
      <c r="K31" s="12">
        <v>4.67</v>
      </c>
      <c r="L31" s="12">
        <v>3.83</v>
      </c>
      <c r="M31" s="12">
        <v>9</v>
      </c>
      <c r="N31" s="12">
        <v>9</v>
      </c>
      <c r="O31" s="13">
        <v>500925310</v>
      </c>
      <c r="P31" s="12">
        <v>3333657938</v>
      </c>
      <c r="Q31" s="13">
        <v>549</v>
      </c>
      <c r="R31" s="13">
        <v>119.3</v>
      </c>
      <c r="S31" s="13"/>
      <c r="T31" s="13">
        <v>9200427</v>
      </c>
      <c r="U31" s="13" t="s">
        <v>44</v>
      </c>
      <c r="V31" t="s">
        <v>44</v>
      </c>
      <c r="W31" s="17">
        <v>19</v>
      </c>
      <c r="X31">
        <v>20</v>
      </c>
      <c r="Y31">
        <v>3.89</v>
      </c>
      <c r="Z31">
        <v>27</v>
      </c>
      <c r="AA31" s="15">
        <f>Table13[[#This Row],[Time until ideal entry + 390 (6:30)]]/(1440)</f>
        <v>0.28472222222222221</v>
      </c>
      <c r="AB31" s="18">
        <f t="shared" si="4"/>
        <v>0.7649253731343284</v>
      </c>
      <c r="AC31" s="18">
        <f>IF(Table13[[#This Row],[HOD AFTER PM HI]]&gt;=Table13[[#This Row],[PM Hi]],((Table13[[#This Row],[HOD AFTER PM HI]]-Table13[[#This Row],[Prior day close]])/Table13[[#This Row],[Prior day close]]),Table13[[#This Row],[Prior Close to PM Hi %]])</f>
        <v>2.3582089552238807</v>
      </c>
      <c r="AD31" s="18">
        <f>(Table13[[#This Row],[Price at hi of squeeze]]-Table13[[#This Row],[MKT Open Price]])/Table13[[#This Row],[MKT Open Price]]</f>
        <v>1.0408163265306121</v>
      </c>
      <c r="AE31" s="18">
        <f>(Table13[[#This Row],[Price at hi of squeeze]]-Table13[[#This Row],[PM Hi]])/Table13[[#This Row],[PM Hi]]</f>
        <v>0.90274841437632114</v>
      </c>
      <c r="AF31" s="18">
        <f t="shared" si="2"/>
        <v>1.3498694516971279</v>
      </c>
      <c r="AG31" s="20">
        <f>Table13[[#This Row],[PM VOL]]/1000000/Table13[[#This Row],[FLOAT(M)]]</f>
        <v>7.7120092204526397E-2</v>
      </c>
      <c r="AH31" s="23">
        <f>(Table13[[#This Row],[Volume]]/1000000)/Table13[[#This Row],[FLOAT(M)]]</f>
        <v>4.1988709974853311</v>
      </c>
      <c r="AI31" s="18">
        <f>(Table13[[#This Row],[Hi of Spike after open before drop]]-Table13[[#This Row],[MKT Open Price]])/Table13[[#This Row],[MKT Open Price]]</f>
        <v>5.8956916099773195E-2</v>
      </c>
      <c r="AJ31" s="18">
        <f>(Table13[[#This Row],[PM Hi]]-Table13[[#This Row],[MKT Open Price]])/(Table13[[#This Row],[PM Hi]])</f>
        <v>6.7653276955602595E-2</v>
      </c>
      <c r="AK31" s="16">
        <f>IF(Table13[[#This Row],[PM LO]]&gt;Table13[[#This Row],[Prior day close]],(Table13[[#This Row],[PM Hi]]-Table13[[#This Row],[MKT Open Price]])/(Table13[[#This Row],[PM Hi]]-Table13[[#This Row],[Prior day close]]),(Table13[[#This Row],[PM Hi]]-Table13[[#This Row],[MKT Open Price]])/(Table13[[#This Row],[PM Hi]]-Table13[[#This Row],[PM LO]]))</f>
        <v>0.15458937198067643</v>
      </c>
      <c r="AL31" s="16">
        <f>IF(Table13[[#This Row],[Prior day close]]&lt;Table13[[#This Row],[PM LO]],(J31-L31)/(J31-Table13[[#This Row],[Prior day close]]),(J31-L31)/(J31-Table13[[#This Row],[PM LO]]))</f>
        <v>0.33142857142857146</v>
      </c>
      <c r="AM31" s="16">
        <f>Table13[[#This Row],[Spike % on open before drop]]+AN31</f>
        <v>0.19047619047619044</v>
      </c>
      <c r="AN31" s="16">
        <f t="shared" si="3"/>
        <v>0.13151927437641725</v>
      </c>
      <c r="AO31" s="18">
        <f>IF($K31&gt;=$G31,($K31-$L31)/($K31),(IF($I31&lt;=$L31,($G31-$I31)/($G31),(Table13[[#This Row],[PM Hi]]-Table13[[#This Row],[Lowest lo from open to squeeze]])/(Table13[[#This Row],[PM Hi]]))))</f>
        <v>0.19027484143763218</v>
      </c>
      <c r="AP31" s="18">
        <f>IF(Table13[[#This Row],[Prior day close]]&lt;=Table13[[#This Row],[PM LO]],IF($K31&gt;=$G31,($K31-$L31)/($K31-Table13[[#This Row],[Prior day close]]),(IF($I31&lt;=$L31,($G31-$I31)/($G31-Table13[[#This Row],[Prior day close]]),(Table13[[#This Row],[PM Hi]]-Table13[[#This Row],[Lowest lo from open to squeeze]])/(Table13[[#This Row],[PM Hi]]-Table13[[#This Row],[Prior day close]])))),IF($K31&gt;=$G31,($K31-$L31)/($K31-Table13[[#This Row],[PM LO]]),(IF($I31&lt;=$L31,($G31-$I31)/($G31-Table13[[#This Row],[PM LO]]),(Table13[[#This Row],[PM Hi]]-Table13[[#This Row],[Lowest lo from open to squeeze]])/(Table13[[#This Row],[PM Hi]]-Table13[[#This Row],[PM LO]])))))</f>
        <v>0.43478260869565227</v>
      </c>
      <c r="AQ31" s="18">
        <f>IF(K31&gt;=G31,(K31-L31)/(K31-E31),(IF(I31&lt;=L31,(G31-I31)/(G31-E31),(Table13[[#This Row],[PM Hi]]-Table13[[#This Row],[Lowest lo from open to squeeze]])/(Table13[[#This Row],[PM Hi]]-Table13[[#This Row],[Prior day close]]))))</f>
        <v>0.43902439024390255</v>
      </c>
      <c r="AR31" s="17">
        <f>390+Table13[[#This Row],[Time until ideal entry point (mins) from open]]</f>
        <v>410</v>
      </c>
      <c r="AS31" s="51">
        <f>(Table13[[#This Row],[Time until ideal entry + 390 (6:30)]]+Table13[[#This Row],[Duration of frontside (mins)]])/1440</f>
        <v>0.3034722222222222</v>
      </c>
    </row>
    <row r="32" spans="1:45" x14ac:dyDescent="0.25">
      <c r="A32" s="10" t="s">
        <v>77</v>
      </c>
      <c r="B32" s="11">
        <v>43970</v>
      </c>
      <c r="C32" s="47" t="s">
        <v>78</v>
      </c>
      <c r="E32" s="12">
        <v>0.75</v>
      </c>
      <c r="F32" s="13">
        <v>0.8</v>
      </c>
      <c r="G32" s="12">
        <v>1.5</v>
      </c>
      <c r="H32" s="12">
        <v>0.8</v>
      </c>
      <c r="I32" s="12">
        <v>1.17</v>
      </c>
      <c r="J32" s="12">
        <v>1.24</v>
      </c>
      <c r="K32" s="12">
        <v>1.29</v>
      </c>
      <c r="L32" s="12">
        <v>1.1399999999999999</v>
      </c>
      <c r="M32" s="12">
        <v>3.97</v>
      </c>
      <c r="N32" s="12">
        <v>3.97</v>
      </c>
      <c r="O32" s="13">
        <v>299097818</v>
      </c>
      <c r="P32" s="12">
        <v>1039156204</v>
      </c>
      <c r="Q32" s="13">
        <v>6.28</v>
      </c>
      <c r="R32">
        <v>7.73</v>
      </c>
      <c r="S32" s="14"/>
      <c r="T32" s="13">
        <v>5868098</v>
      </c>
      <c r="U32" s="13" t="s">
        <v>44</v>
      </c>
      <c r="V32" t="s">
        <v>44</v>
      </c>
      <c r="W32">
        <v>3</v>
      </c>
      <c r="X32">
        <v>4</v>
      </c>
      <c r="Y32">
        <v>1.17</v>
      </c>
      <c r="Z32">
        <v>214</v>
      </c>
      <c r="AA32" s="15">
        <f>Table13[[#This Row],[Time until ideal entry + 390 (6:30)]]/(1440)</f>
        <v>0.27361111111111114</v>
      </c>
      <c r="AB32" s="18">
        <f t="shared" si="4"/>
        <v>1</v>
      </c>
      <c r="AC32" s="18">
        <f>IF(Table13[[#This Row],[HOD AFTER PM HI]]&gt;=Table13[[#This Row],[PM Hi]],((Table13[[#This Row],[HOD AFTER PM HI]]-Table13[[#This Row],[Prior day close]])/Table13[[#This Row],[Prior day close]]),Table13[[#This Row],[Prior Close to PM Hi %]])</f>
        <v>4.2933333333333339</v>
      </c>
      <c r="AD32" s="18">
        <f>(Table13[[#This Row],[Price at hi of squeeze]]-Table13[[#This Row],[MKT Open Price]])/Table13[[#This Row],[MKT Open Price]]</f>
        <v>2.2016129032258069</v>
      </c>
      <c r="AE32" s="18">
        <f>(Table13[[#This Row],[Price at hi of squeeze]]-Table13[[#This Row],[PM Hi]])/Table13[[#This Row],[PM Hi]]</f>
        <v>1.6466666666666667</v>
      </c>
      <c r="AF32" s="18">
        <f t="shared" si="2"/>
        <v>2.4824561403508776</v>
      </c>
      <c r="AG32" s="20">
        <f>Table13[[#This Row],[PM VOL]]/1000000/Table13[[#This Row],[FLOAT(M)]]</f>
        <v>0.75913298835705034</v>
      </c>
      <c r="AH32" s="21">
        <f>(Table13[[#This Row],[Volume]]/1000000)/Table13[[#This Row],[FLOAT(M)]]</f>
        <v>38.69312005174644</v>
      </c>
      <c r="AI32" s="18">
        <f>(Table13[[#This Row],[Hi of Spike after open before drop]]-Table13[[#This Row],[MKT Open Price]])/Table13[[#This Row],[MKT Open Price]]</f>
        <v>4.0322580645161324E-2</v>
      </c>
      <c r="AJ32" s="18">
        <f>(Table13[[#This Row],[PM Hi]]-Table13[[#This Row],[MKT Open Price]])/(Table13[[#This Row],[PM Hi]])</f>
        <v>0.17333333333333334</v>
      </c>
      <c r="AK32" s="16">
        <f>IF(Table13[[#This Row],[PM LO]]&gt;Table13[[#This Row],[Prior day close]],(Table13[[#This Row],[PM Hi]]-Table13[[#This Row],[MKT Open Price]])/(Table13[[#This Row],[PM Hi]]-Table13[[#This Row],[Prior day close]]),(Table13[[#This Row],[PM Hi]]-Table13[[#This Row],[MKT Open Price]])/(Table13[[#This Row],[PM Hi]]-Table13[[#This Row],[PM LO]]))</f>
        <v>0.34666666666666668</v>
      </c>
      <c r="AL32" s="16">
        <f>IF(Table13[[#This Row],[Prior day close]]&lt;Table13[[#This Row],[PM LO]],(J32-L32)/(J32-Table13[[#This Row],[Prior day close]]),(J32-L32)/(J32-Table13[[#This Row],[PM LO]]))</f>
        <v>0.20408163265306142</v>
      </c>
      <c r="AM32" s="16">
        <f>Table13[[#This Row],[Spike % on open before drop]]+AN32</f>
        <v>0.12096774193548397</v>
      </c>
      <c r="AN32" s="16">
        <f t="shared" si="3"/>
        <v>8.0645161290322648E-2</v>
      </c>
      <c r="AO32" s="18">
        <f>IF($K32&gt;=$G32,($K32-$L32)/($K32),(IF($I32&lt;=$L32,($G32-$I32)/($G32),(Table13[[#This Row],[PM Hi]]-Table13[[#This Row],[Lowest lo from open to squeeze]])/(Table13[[#This Row],[PM Hi]]))))</f>
        <v>0.24000000000000007</v>
      </c>
      <c r="AP32" s="18">
        <f>IF(Table13[[#This Row],[Prior day close]]&lt;=Table13[[#This Row],[PM LO]],IF($K32&gt;=$G32,($K32-$L32)/($K32-Table13[[#This Row],[Prior day close]]),(IF($I32&lt;=$L32,($G32-$I32)/($G32-Table13[[#This Row],[Prior day close]]),(Table13[[#This Row],[PM Hi]]-Table13[[#This Row],[Lowest lo from open to squeeze]])/(Table13[[#This Row],[PM Hi]]-Table13[[#This Row],[Prior day close]])))),IF($K32&gt;=$G32,($K32-$L32)/($K32-Table13[[#This Row],[PM LO]]),(IF($I32&lt;=$L32,($G32-$I32)/($G32-Table13[[#This Row],[PM LO]]),(Table13[[#This Row],[PM Hi]]-Table13[[#This Row],[Lowest lo from open to squeeze]])/(Table13[[#This Row],[PM Hi]]-Table13[[#This Row],[PM LO]])))))</f>
        <v>0.48000000000000015</v>
      </c>
      <c r="AQ32" s="18">
        <f>IF(K32&gt;=G32,(K32-L32)/(K32-E32),(IF(I32&lt;=L32,(G32-I32)/(G32-E32),(Table13[[#This Row],[PM Hi]]-Table13[[#This Row],[Lowest lo from open to squeeze]])/(Table13[[#This Row],[PM Hi]]-Table13[[#This Row],[Prior day close]]))))</f>
        <v>0.48000000000000015</v>
      </c>
      <c r="AR32" s="17">
        <f>390+Table13[[#This Row],[Time until ideal entry point (mins) from open]]</f>
        <v>394</v>
      </c>
      <c r="AS32" s="51">
        <f>(Table13[[#This Row],[Time until ideal entry + 390 (6:30)]]+Table13[[#This Row],[Duration of frontside (mins)]])/1440</f>
        <v>0.42222222222222222</v>
      </c>
    </row>
    <row r="33" spans="1:45" x14ac:dyDescent="0.25">
      <c r="A33" s="10" t="s">
        <v>80</v>
      </c>
      <c r="B33" s="11">
        <v>43979</v>
      </c>
      <c r="C33" s="47" t="s">
        <v>78</v>
      </c>
      <c r="D33" t="s">
        <v>81</v>
      </c>
      <c r="E33" s="12">
        <v>3.95</v>
      </c>
      <c r="F33" s="13">
        <v>4.32</v>
      </c>
      <c r="G33" s="12">
        <v>8.8800000000000008</v>
      </c>
      <c r="H33" s="12">
        <v>4.32</v>
      </c>
      <c r="I33" s="12">
        <v>8.25</v>
      </c>
      <c r="J33" s="12">
        <v>8.82</v>
      </c>
      <c r="K33" s="12">
        <v>9</v>
      </c>
      <c r="L33" s="12">
        <v>7.48</v>
      </c>
      <c r="M33" s="12">
        <v>22</v>
      </c>
      <c r="N33" s="12">
        <v>22</v>
      </c>
      <c r="O33" s="13">
        <v>83294905</v>
      </c>
      <c r="P33" s="12">
        <v>1579773917</v>
      </c>
      <c r="Q33" s="13">
        <f>1.6*8</f>
        <v>12.8</v>
      </c>
      <c r="R33">
        <v>1.59</v>
      </c>
      <c r="S33" s="14"/>
      <c r="T33" s="13">
        <v>1535631</v>
      </c>
      <c r="U33" s="13" t="s">
        <v>44</v>
      </c>
      <c r="V33" t="s">
        <v>44</v>
      </c>
      <c r="W33">
        <v>31</v>
      </c>
      <c r="X33">
        <v>32</v>
      </c>
      <c r="Y33">
        <v>7.63</v>
      </c>
      <c r="Z33">
        <v>55</v>
      </c>
      <c r="AA33" s="15">
        <f>Table13[[#This Row],[Time until ideal entry + 390 (6:30)]]/(1440)</f>
        <v>0.29305555555555557</v>
      </c>
      <c r="AB33" s="18">
        <f t="shared" si="4"/>
        <v>1.2481012658227848</v>
      </c>
      <c r="AC33" s="18">
        <f>IF(Table13[[#This Row],[HOD AFTER PM HI]]&gt;=Table13[[#This Row],[PM Hi]],((Table13[[#This Row],[HOD AFTER PM HI]]-Table13[[#This Row],[Prior day close]])/Table13[[#This Row],[Prior day close]]),Table13[[#This Row],[Prior Close to PM Hi %]])</f>
        <v>4.5696202531645573</v>
      </c>
      <c r="AD33" s="18">
        <f>(Table13[[#This Row],[Price at hi of squeeze]]-Table13[[#This Row],[MKT Open Price]])/Table13[[#This Row],[MKT Open Price]]</f>
        <v>1.4943310657596371</v>
      </c>
      <c r="AE33" s="18">
        <f>(Table13[[#This Row],[Price at hi of squeeze]]-Table13[[#This Row],[PM Hi]])/Table13[[#This Row],[PM Hi]]</f>
        <v>1.4774774774774773</v>
      </c>
      <c r="AF33" s="18">
        <f t="shared" si="2"/>
        <v>1.9411764705882351</v>
      </c>
      <c r="AG33" s="20">
        <f>Table13[[#This Row],[PM VOL]]/1000000/Table13[[#This Row],[FLOAT(M)]]</f>
        <v>0.96580566037735838</v>
      </c>
      <c r="AH33" s="21">
        <f>(Table13[[#This Row],[Volume]]/1000000)/Table13[[#This Row],[FLOAT(M)]]</f>
        <v>52.386732704402512</v>
      </c>
      <c r="AI33" s="18">
        <f>(Table13[[#This Row],[Hi of Spike after open before drop]]-Table13[[#This Row],[MKT Open Price]])/Table13[[#This Row],[MKT Open Price]]</f>
        <v>2.040816326530609E-2</v>
      </c>
      <c r="AJ33" s="18">
        <f>(Table13[[#This Row],[PM Hi]]-Table13[[#This Row],[MKT Open Price]])/(Table13[[#This Row],[PM Hi]])</f>
        <v>6.7567567567568118E-3</v>
      </c>
      <c r="AK33" s="16">
        <f>IF(Table13[[#This Row],[PM LO]]&gt;Table13[[#This Row],[Prior day close]],(Table13[[#This Row],[PM Hi]]-Table13[[#This Row],[MKT Open Price]])/(Table13[[#This Row],[PM Hi]]-Table13[[#This Row],[Prior day close]]),(Table13[[#This Row],[PM Hi]]-Table13[[#This Row],[MKT Open Price]])/(Table13[[#This Row],[PM Hi]]-Table13[[#This Row],[PM LO]]))</f>
        <v>1.2170385395537624E-2</v>
      </c>
      <c r="AL33" s="16">
        <f>IF(Table13[[#This Row],[Prior day close]]&lt;Table13[[#This Row],[PM LO]],(J33-L33)/(J33-Table13[[#This Row],[Prior day close]]),(J33-L33)/(J33-Table13[[#This Row],[PM LO]]))</f>
        <v>0.27515400410677615</v>
      </c>
      <c r="AM33" s="16">
        <f>Table13[[#This Row],[Spike % on open before drop]]+AN33</f>
        <v>0.17233560090702943</v>
      </c>
      <c r="AN33" s="16">
        <f t="shared" si="3"/>
        <v>0.15192743764172334</v>
      </c>
      <c r="AO33" s="18">
        <f>IF($K33&gt;=$G33,($K33-$L33)/($K33),(IF($I33&lt;=$L33,($G33-$I33)/($G33),(Table13[[#This Row],[PM Hi]]-Table13[[#This Row],[Lowest lo from open to squeeze]])/(Table13[[#This Row],[PM Hi]]))))</f>
        <v>0.16888888888888884</v>
      </c>
      <c r="AP33" s="18">
        <f>IF(Table13[[#This Row],[Prior day close]]&lt;=Table13[[#This Row],[PM LO]],IF($K33&gt;=$G33,($K33-$L33)/($K33-Table13[[#This Row],[Prior day close]]),(IF($I33&lt;=$L33,($G33-$I33)/($G33-Table13[[#This Row],[Prior day close]]),(Table13[[#This Row],[PM Hi]]-Table13[[#This Row],[Lowest lo from open to squeeze]])/(Table13[[#This Row],[PM Hi]]-Table13[[#This Row],[Prior day close]])))),IF($K33&gt;=$G33,($K33-$L33)/($K33-Table13[[#This Row],[PM LO]]),(IF($I33&lt;=$L33,($G33-$I33)/($G33-Table13[[#This Row],[PM LO]]),(Table13[[#This Row],[PM Hi]]-Table13[[#This Row],[Lowest lo from open to squeeze]])/(Table13[[#This Row],[PM Hi]]-Table13[[#This Row],[PM LO]])))))</f>
        <v>0.30099009900990092</v>
      </c>
      <c r="AQ33" s="18">
        <f>IF(K33&gt;=G33,(K33-L33)/(K33-E33),(IF(I33&lt;=L33,(G33-I33)/(G33-E33),(Table13[[#This Row],[PM Hi]]-Table13[[#This Row],[Lowest lo from open to squeeze]])/(Table13[[#This Row],[PM Hi]]-Table13[[#This Row],[Prior day close]]))))</f>
        <v>0.30099009900990092</v>
      </c>
      <c r="AR33" s="17">
        <f>390+Table13[[#This Row],[Time until ideal entry point (mins) from open]]</f>
        <v>422</v>
      </c>
      <c r="AS33" s="51">
        <f>(Table13[[#This Row],[Time until ideal entry + 390 (6:30)]]+Table13[[#This Row],[Duration of frontside (mins)]])/1440</f>
        <v>0.33124999999999999</v>
      </c>
    </row>
    <row r="34" spans="1:45" x14ac:dyDescent="0.25">
      <c r="A34" s="10" t="s">
        <v>79</v>
      </c>
      <c r="B34" s="44">
        <v>43979</v>
      </c>
      <c r="C34" s="47" t="s">
        <v>78</v>
      </c>
      <c r="E34" s="12">
        <v>1.29</v>
      </c>
      <c r="F34" s="13">
        <v>1.47</v>
      </c>
      <c r="G34" s="12">
        <v>4.38</v>
      </c>
      <c r="H34" s="12">
        <v>1.47</v>
      </c>
      <c r="I34" s="12">
        <v>3.36</v>
      </c>
      <c r="J34" s="12">
        <v>3.9</v>
      </c>
      <c r="K34" s="12">
        <v>4.32</v>
      </c>
      <c r="L34" s="12">
        <v>3.48</v>
      </c>
      <c r="M34" s="12">
        <v>5.07</v>
      </c>
      <c r="N34" s="12">
        <v>4.4400000000000004</v>
      </c>
      <c r="O34" s="13">
        <v>122754829</v>
      </c>
      <c r="P34" s="12">
        <v>484922432</v>
      </c>
      <c r="Q34" s="13">
        <v>21.94</v>
      </c>
      <c r="R34">
        <v>45.71</v>
      </c>
      <c r="S34" s="14"/>
      <c r="T34" s="13">
        <v>3010889</v>
      </c>
      <c r="U34" s="13" t="s">
        <v>44</v>
      </c>
      <c r="V34" t="s">
        <v>44</v>
      </c>
      <c r="W34">
        <v>6</v>
      </c>
      <c r="X34">
        <v>36</v>
      </c>
      <c r="Y34">
        <v>3.63</v>
      </c>
      <c r="Z34">
        <v>24</v>
      </c>
      <c r="AA34" s="15">
        <f>Table13[[#This Row],[Time until ideal entry + 390 (6:30)]]/(1440)</f>
        <v>0.29583333333333334</v>
      </c>
      <c r="AB34" s="18">
        <f t="shared" si="4"/>
        <v>2.3953488372093021</v>
      </c>
      <c r="AC34" s="18">
        <f>IF(Table13[[#This Row],[HOD AFTER PM HI]]&gt;=Table13[[#This Row],[PM Hi]],((Table13[[#This Row],[HOD AFTER PM HI]]-Table13[[#This Row],[Prior day close]])/Table13[[#This Row],[Prior day close]]),Table13[[#This Row],[Prior Close to PM Hi %]])</f>
        <v>2.9302325581395352</v>
      </c>
      <c r="AD34" s="18">
        <f>(Table13[[#This Row],[Price at hi of squeeze]]-Table13[[#This Row],[MKT Open Price]])/Table13[[#This Row],[MKT Open Price]]</f>
        <v>0.13846153846153858</v>
      </c>
      <c r="AE34" s="18">
        <f>(Table13[[#This Row],[Price at hi of squeeze]]-Table13[[#This Row],[PM Hi]])/Table13[[#This Row],[PM Hi]]</f>
        <v>1.3698630136986415E-2</v>
      </c>
      <c r="AF34" s="18">
        <f t="shared" si="2"/>
        <v>0.27586206896551735</v>
      </c>
      <c r="AG34" s="20">
        <f>Table13[[#This Row],[PM VOL]]/1000000/Table13[[#This Row],[FLOAT(M)]]</f>
        <v>6.5869372128637055E-2</v>
      </c>
      <c r="AH34" s="21">
        <f>(Table13[[#This Row],[Volume]]/1000000)/Table13[[#This Row],[FLOAT(M)]]</f>
        <v>2.6855136512798072</v>
      </c>
      <c r="AI34" s="18">
        <f>(Table13[[#This Row],[Hi of Spike after open before drop]]-Table13[[#This Row],[MKT Open Price]])/Table13[[#This Row],[MKT Open Price]]</f>
        <v>0.1076923076923078</v>
      </c>
      <c r="AJ34" s="18">
        <f>(Table13[[#This Row],[PM Hi]]-Table13[[#This Row],[MKT Open Price]])/(Table13[[#This Row],[PM Hi]])</f>
        <v>0.1095890410958904</v>
      </c>
      <c r="AK34" s="16">
        <f>IF(Table13[[#This Row],[PM LO]]&gt;Table13[[#This Row],[Prior day close]],(Table13[[#This Row],[PM Hi]]-Table13[[#This Row],[MKT Open Price]])/(Table13[[#This Row],[PM Hi]]-Table13[[#This Row],[Prior day close]]),(Table13[[#This Row],[PM Hi]]-Table13[[#This Row],[MKT Open Price]])/(Table13[[#This Row],[PM Hi]]-Table13[[#This Row],[PM LO]]))</f>
        <v>0.15533980582524273</v>
      </c>
      <c r="AL34" s="16">
        <f>IF(Table13[[#This Row],[Prior day close]]&lt;Table13[[#This Row],[PM LO]],(J34-L34)/(J34-Table13[[#This Row],[Prior day close]]),(J34-L34)/(J34-Table13[[#This Row],[PM LO]]))</f>
        <v>0.16091954022988503</v>
      </c>
      <c r="AM34" s="16">
        <f>Table13[[#This Row],[Spike % on open before drop]]+AN34</f>
        <v>0.21538461538461545</v>
      </c>
      <c r="AN34" s="16">
        <f t="shared" si="3"/>
        <v>0.10769230769230767</v>
      </c>
      <c r="AO34" s="18">
        <f>IF($K34&gt;=$G34,($K34-$L34)/($K34),(IF($I34&lt;=$L34,($G34-$I34)/($G34),(Table13[[#This Row],[PM Hi]]-Table13[[#This Row],[Lowest lo from open to squeeze]])/(Table13[[#This Row],[PM Hi]]))))</f>
        <v>0.23287671232876714</v>
      </c>
      <c r="AP34" s="18">
        <f>IF(Table13[[#This Row],[Prior day close]]&lt;=Table13[[#This Row],[PM LO]],IF($K34&gt;=$G34,($K34-$L34)/($K34-Table13[[#This Row],[Prior day close]]),(IF($I34&lt;=$L34,($G34-$I34)/($G34-Table13[[#This Row],[Prior day close]]),(Table13[[#This Row],[PM Hi]]-Table13[[#This Row],[Lowest lo from open to squeeze]])/(Table13[[#This Row],[PM Hi]]-Table13[[#This Row],[Prior day close]])))),IF($K34&gt;=$G34,($K34-$L34)/($K34-Table13[[#This Row],[PM LO]]),(IF($I34&lt;=$L34,($G34-$I34)/($G34-Table13[[#This Row],[PM LO]]),(Table13[[#This Row],[PM Hi]]-Table13[[#This Row],[Lowest lo from open to squeeze]])/(Table13[[#This Row],[PM Hi]]-Table13[[#This Row],[PM LO]])))))</f>
        <v>0.3300970873786408</v>
      </c>
      <c r="AQ34" s="18">
        <f>IF(K34&gt;=G34,(K34-L34)/(K34-E34),(IF(I34&lt;=L34,(G34-I34)/(G34-E34),(Table13[[#This Row],[PM Hi]]-Table13[[#This Row],[Lowest lo from open to squeeze]])/(Table13[[#This Row],[PM Hi]]-Table13[[#This Row],[Prior day close]]))))</f>
        <v>0.3300970873786408</v>
      </c>
      <c r="AR34" s="17">
        <f>390+Table13[[#This Row],[Time until ideal entry point (mins) from open]]</f>
        <v>426</v>
      </c>
      <c r="AS34" s="51">
        <f>(Table13[[#This Row],[Time until ideal entry + 390 (6:30)]]+Table13[[#This Row],[Duration of frontside (mins)]])/1440</f>
        <v>0.3125</v>
      </c>
    </row>
    <row r="35" spans="1:45" x14ac:dyDescent="0.25">
      <c r="A35" s="10" t="s">
        <v>84</v>
      </c>
      <c r="B35" s="11">
        <v>43984</v>
      </c>
      <c r="C35" s="47" t="s">
        <v>78</v>
      </c>
      <c r="E35" s="12">
        <v>2.74</v>
      </c>
      <c r="F35" s="13">
        <v>2.67</v>
      </c>
      <c r="G35" s="12">
        <v>3.13</v>
      </c>
      <c r="H35" s="12">
        <v>2.66</v>
      </c>
      <c r="I35" s="12">
        <v>3.04</v>
      </c>
      <c r="J35" s="12">
        <v>3.08</v>
      </c>
      <c r="K35" s="12">
        <v>3.09</v>
      </c>
      <c r="L35" s="12">
        <v>2.91</v>
      </c>
      <c r="M35" s="12">
        <v>4.05</v>
      </c>
      <c r="N35" s="12">
        <v>3.68</v>
      </c>
      <c r="O35" s="13">
        <v>158461167</v>
      </c>
      <c r="P35" s="12">
        <v>634636973</v>
      </c>
      <c r="Q35" s="13">
        <v>132.02000000000001</v>
      </c>
      <c r="R35">
        <v>48.47</v>
      </c>
      <c r="S35" s="14"/>
      <c r="T35" s="13">
        <v>4085615</v>
      </c>
      <c r="U35" s="13" t="s">
        <v>44</v>
      </c>
      <c r="V35" t="s">
        <v>44</v>
      </c>
      <c r="W35">
        <v>1</v>
      </c>
      <c r="X35">
        <v>2</v>
      </c>
      <c r="Y35">
        <v>3.01</v>
      </c>
      <c r="Z35">
        <v>38</v>
      </c>
      <c r="AA35" s="15">
        <f>Table13[[#This Row],[Time until ideal entry + 390 (6:30)]]/(1440)</f>
        <v>0.2722222222222222</v>
      </c>
      <c r="AB35" s="18">
        <f t="shared" si="4"/>
        <v>0.14233576642335755</v>
      </c>
      <c r="AC35" s="18">
        <f>IF(Table13[[#This Row],[HOD AFTER PM HI]]&gt;=Table13[[#This Row],[PM Hi]],((Table13[[#This Row],[HOD AFTER PM HI]]-Table13[[#This Row],[Prior day close]])/Table13[[#This Row],[Prior day close]]),Table13[[#This Row],[Prior Close to PM Hi %]])</f>
        <v>0.4781021897810217</v>
      </c>
      <c r="AD35" s="18">
        <f>(Table13[[#This Row],[Price at hi of squeeze]]-Table13[[#This Row],[MKT Open Price]])/Table13[[#This Row],[MKT Open Price]]</f>
        <v>0.19480519480519484</v>
      </c>
      <c r="AE35" s="18">
        <f>(Table13[[#This Row],[Price at hi of squeeze]]-Table13[[#This Row],[PM Hi]])/Table13[[#This Row],[PM Hi]]</f>
        <v>0.17571884984025568</v>
      </c>
      <c r="AF35" s="18">
        <f t="shared" si="2"/>
        <v>0.26460481099656358</v>
      </c>
      <c r="AG35" s="20">
        <f>Table13[[#This Row],[PM VOL]]/1000000/Table13[[#This Row],[FLOAT(M)]]</f>
        <v>8.4291623684753458E-2</v>
      </c>
      <c r="AH35" s="21">
        <f>(Table13[[#This Row],[Volume]]/1000000)/Table13[[#This Row],[FLOAT(M)]]</f>
        <v>3.2692627811017121</v>
      </c>
      <c r="AI35" s="18">
        <f>(Table13[[#This Row],[Hi of Spike after open before drop]]-Table13[[#This Row],[MKT Open Price]])/Table13[[#This Row],[MKT Open Price]]</f>
        <v>3.2467532467531776E-3</v>
      </c>
      <c r="AJ35" s="18">
        <f>(Table13[[#This Row],[PM Hi]]-Table13[[#This Row],[MKT Open Price]])/(Table13[[#This Row],[PM Hi]])</f>
        <v>1.5974440894568634E-2</v>
      </c>
      <c r="AK35" s="16">
        <f>IF(Table13[[#This Row],[PM LO]]&gt;Table13[[#This Row],[Prior day close]],(Table13[[#This Row],[PM Hi]]-Table13[[#This Row],[MKT Open Price]])/(Table13[[#This Row],[PM Hi]]-Table13[[#This Row],[Prior day close]]),(Table13[[#This Row],[PM Hi]]-Table13[[#This Row],[MKT Open Price]])/(Table13[[#This Row],[PM Hi]]-Table13[[#This Row],[PM LO]]))</f>
        <v>0.10638297872340394</v>
      </c>
      <c r="AL35" s="16">
        <f>IF(Table13[[#This Row],[Prior day close]]&lt;Table13[[#This Row],[PM LO]],(J35-L35)/(J35-Table13[[#This Row],[Prior day close]]),(J35-L35)/(J35-Table13[[#This Row],[PM LO]]))</f>
        <v>0.40476190476190466</v>
      </c>
      <c r="AM35" s="16">
        <f>Table13[[#This Row],[Spike % on open before drop]]+AN35</f>
        <v>5.844155844155835E-2</v>
      </c>
      <c r="AN35" s="16">
        <f t="shared" si="3"/>
        <v>5.5194805194805172E-2</v>
      </c>
      <c r="AO35" s="18">
        <f>IF($K35&gt;=$G35,($K35-$L35)/($K35),(IF($I35&lt;=$L35,($G35-$I35)/($G35),(Table13[[#This Row],[PM Hi]]-Table13[[#This Row],[Lowest lo from open to squeeze]])/(Table13[[#This Row],[PM Hi]]))))</f>
        <v>7.0287539936102164E-2</v>
      </c>
      <c r="AP35" s="18">
        <f>IF(Table13[[#This Row],[Prior day close]]&lt;=Table13[[#This Row],[PM LO]],IF($K35&gt;=$G35,($K35-$L35)/($K35-Table13[[#This Row],[Prior day close]]),(IF($I35&lt;=$L35,($G35-$I35)/($G35-Table13[[#This Row],[Prior day close]]),(Table13[[#This Row],[PM Hi]]-Table13[[#This Row],[Lowest lo from open to squeeze]])/(Table13[[#This Row],[PM Hi]]-Table13[[#This Row],[Prior day close]])))),IF($K35&gt;=$G35,($K35-$L35)/($K35-Table13[[#This Row],[PM LO]]),(IF($I35&lt;=$L35,($G35-$I35)/($G35-Table13[[#This Row],[PM LO]]),(Table13[[#This Row],[PM Hi]]-Table13[[#This Row],[Lowest lo from open to squeeze]])/(Table13[[#This Row],[PM Hi]]-Table13[[#This Row],[PM LO]])))))</f>
        <v>0.46808510638297846</v>
      </c>
      <c r="AQ35" s="18">
        <f>IF(K35&gt;=G35,(K35-L35)/(K35-E35),(IF(I35&lt;=L35,(G35-I35)/(G35-E35),(Table13[[#This Row],[PM Hi]]-Table13[[#This Row],[Lowest lo from open to squeeze]])/(Table13[[#This Row],[PM Hi]]-Table13[[#This Row],[Prior day close]]))))</f>
        <v>0.56410256410256387</v>
      </c>
      <c r="AR35" s="17">
        <f>390+Table13[[#This Row],[Time until ideal entry point (mins) from open]]</f>
        <v>392</v>
      </c>
      <c r="AS35" s="51">
        <f>(Table13[[#This Row],[Time until ideal entry + 390 (6:30)]]+Table13[[#This Row],[Duration of frontside (mins)]])/1440</f>
        <v>0.2986111111111111</v>
      </c>
    </row>
    <row r="36" spans="1:45" x14ac:dyDescent="0.25">
      <c r="A36" s="10" t="s">
        <v>83</v>
      </c>
      <c r="B36" s="11">
        <v>43984</v>
      </c>
      <c r="C36" s="47" t="s">
        <v>78</v>
      </c>
      <c r="E36" s="12">
        <v>1.41</v>
      </c>
      <c r="F36" s="13">
        <v>1.5</v>
      </c>
      <c r="G36" s="12">
        <v>2.9</v>
      </c>
      <c r="H36" s="12">
        <v>1.5</v>
      </c>
      <c r="I36" s="12">
        <v>2.2200000000000002</v>
      </c>
      <c r="J36" s="12">
        <v>2.34</v>
      </c>
      <c r="K36" s="12">
        <v>2.41</v>
      </c>
      <c r="L36" s="12">
        <v>2.17</v>
      </c>
      <c r="M36" s="12">
        <v>2.68</v>
      </c>
      <c r="N36" s="12">
        <v>2.68</v>
      </c>
      <c r="O36" s="13">
        <v>54115995</v>
      </c>
      <c r="P36" s="12">
        <v>66298878</v>
      </c>
      <c r="Q36" s="13">
        <v>13.89</v>
      </c>
      <c r="R36">
        <v>9.18</v>
      </c>
      <c r="S36" s="14"/>
      <c r="T36" s="13">
        <v>8025782</v>
      </c>
      <c r="U36" s="13" t="s">
        <v>44</v>
      </c>
      <c r="V36" t="s">
        <v>44</v>
      </c>
      <c r="W36">
        <v>9</v>
      </c>
      <c r="X36">
        <v>10</v>
      </c>
      <c r="Y36">
        <v>2.2200000000000002</v>
      </c>
      <c r="Z36">
        <v>10</v>
      </c>
      <c r="AA36" s="15">
        <f>Table13[[#This Row],[Time until ideal entry + 390 (6:30)]]/(1440)</f>
        <v>0.27777777777777779</v>
      </c>
      <c r="AB36" s="18">
        <f t="shared" si="4"/>
        <v>1.0567375886524824</v>
      </c>
      <c r="AC36" s="18">
        <f>IF(Table13[[#This Row],[HOD AFTER PM HI]]&gt;=Table13[[#This Row],[PM Hi]],((Table13[[#This Row],[HOD AFTER PM HI]]-Table13[[#This Row],[Prior day close]])/Table13[[#This Row],[Prior day close]]),Table13[[#This Row],[Prior Close to PM Hi %]])</f>
        <v>1.0567375886524824</v>
      </c>
      <c r="AD36" s="18">
        <f>(Table13[[#This Row],[Price at hi of squeeze]]-Table13[[#This Row],[MKT Open Price]])/Table13[[#This Row],[MKT Open Price]]</f>
        <v>0.14529914529914545</v>
      </c>
      <c r="AE36" s="18">
        <f>(Table13[[#This Row],[Price at hi of squeeze]]-Table13[[#This Row],[PM Hi]])/Table13[[#This Row],[PM Hi]]</f>
        <v>-7.5862068965517157E-2</v>
      </c>
      <c r="AF36" s="18">
        <f t="shared" si="2"/>
        <v>0.2350230414746545</v>
      </c>
      <c r="AG36" s="20">
        <f>Table13[[#This Row],[PM VOL]]/1000000/Table13[[#This Row],[FLOAT(M)]]</f>
        <v>0.8742681917211329</v>
      </c>
      <c r="AH36" s="21">
        <f>(Table13[[#This Row],[Volume]]/1000000)/Table13[[#This Row],[FLOAT(M)]]</f>
        <v>5.8949885620915037</v>
      </c>
      <c r="AI36" s="18">
        <f>(Table13[[#This Row],[Hi of Spike after open before drop]]-Table13[[#This Row],[MKT Open Price]])/Table13[[#This Row],[MKT Open Price]]</f>
        <v>2.9914529914530037E-2</v>
      </c>
      <c r="AJ36" s="18">
        <f>(Table13[[#This Row],[PM Hi]]-Table13[[#This Row],[MKT Open Price]])/(Table13[[#This Row],[PM Hi]])</f>
        <v>0.19310344827586209</v>
      </c>
      <c r="AK36" s="16">
        <f>IF(Table13[[#This Row],[PM LO]]&gt;Table13[[#This Row],[Prior day close]],(Table13[[#This Row],[PM Hi]]-Table13[[#This Row],[MKT Open Price]])/(Table13[[#This Row],[PM Hi]]-Table13[[#This Row],[Prior day close]]),(Table13[[#This Row],[PM Hi]]-Table13[[#This Row],[MKT Open Price]])/(Table13[[#This Row],[PM Hi]]-Table13[[#This Row],[PM LO]]))</f>
        <v>0.37583892617449666</v>
      </c>
      <c r="AL36" s="16">
        <f>IF(Table13[[#This Row],[Prior day close]]&lt;Table13[[#This Row],[PM LO]],(J36-L36)/(J36-Table13[[#This Row],[Prior day close]]),(J36-L36)/(J36-Table13[[#This Row],[PM LO]]))</f>
        <v>0.18279569892473113</v>
      </c>
      <c r="AM36" s="16">
        <f>Table13[[#This Row],[Spike % on open before drop]]+AN36</f>
        <v>0.10256410256410267</v>
      </c>
      <c r="AN36" s="16">
        <f t="shared" si="3"/>
        <v>7.2649572649572627E-2</v>
      </c>
      <c r="AO36" s="18">
        <f>IF($K36&gt;=$G36,($K36-$L36)/($K36),(IF($I36&lt;=$L36,($G36-$I36)/($G36),(Table13[[#This Row],[PM Hi]]-Table13[[#This Row],[Lowest lo from open to squeeze]])/(Table13[[#This Row],[PM Hi]]))))</f>
        <v>0.25172413793103449</v>
      </c>
      <c r="AP36" s="18">
        <f>IF(Table13[[#This Row],[Prior day close]]&lt;=Table13[[#This Row],[PM LO]],IF($K36&gt;=$G36,($K36-$L36)/($K36-Table13[[#This Row],[Prior day close]]),(IF($I36&lt;=$L36,($G36-$I36)/($G36-Table13[[#This Row],[Prior day close]]),(Table13[[#This Row],[PM Hi]]-Table13[[#This Row],[Lowest lo from open to squeeze]])/(Table13[[#This Row],[PM Hi]]-Table13[[#This Row],[Prior day close]])))),IF($K36&gt;=$G36,($K36-$L36)/($K36-Table13[[#This Row],[PM LO]]),(IF($I36&lt;=$L36,($G36-$I36)/($G36-Table13[[#This Row],[PM LO]]),(Table13[[#This Row],[PM Hi]]-Table13[[#This Row],[Lowest lo from open to squeeze]])/(Table13[[#This Row],[PM Hi]]-Table13[[#This Row],[PM LO]])))))</f>
        <v>0.48993288590604028</v>
      </c>
      <c r="AQ36" s="18">
        <f>IF(K36&gt;=G36,(K36-L36)/(K36-E36),(IF(I36&lt;=L36,(G36-I36)/(G36-E36),(Table13[[#This Row],[PM Hi]]-Table13[[#This Row],[Lowest lo from open to squeeze]])/(Table13[[#This Row],[PM Hi]]-Table13[[#This Row],[Prior day close]]))))</f>
        <v>0.48993288590604028</v>
      </c>
      <c r="AR36" s="17">
        <f>390+Table13[[#This Row],[Time until ideal entry point (mins) from open]]</f>
        <v>400</v>
      </c>
      <c r="AS36" s="51">
        <f>(Table13[[#This Row],[Time until ideal entry + 390 (6:30)]]+Table13[[#This Row],[Duration of frontside (mins)]])/1440</f>
        <v>0.28472222222222221</v>
      </c>
    </row>
    <row r="37" spans="1:45" ht="30" x14ac:dyDescent="0.25">
      <c r="A37" s="10" t="s">
        <v>86</v>
      </c>
      <c r="B37" s="11">
        <v>43986</v>
      </c>
      <c r="C37" s="47" t="s">
        <v>78</v>
      </c>
      <c r="D37" s="3" t="s">
        <v>87</v>
      </c>
      <c r="E37" s="12">
        <v>2.14</v>
      </c>
      <c r="F37" s="13">
        <v>2.14</v>
      </c>
      <c r="G37" s="12">
        <v>4.45</v>
      </c>
      <c r="H37" s="12">
        <v>1.87</v>
      </c>
      <c r="I37" s="12">
        <v>3.95</v>
      </c>
      <c r="J37" s="12">
        <v>4.38</v>
      </c>
      <c r="K37" s="12">
        <v>4.4800000000000004</v>
      </c>
      <c r="L37" s="12">
        <v>3.8</v>
      </c>
      <c r="M37" s="12">
        <v>6</v>
      </c>
      <c r="N37" s="12">
        <v>6</v>
      </c>
      <c r="O37" s="13">
        <v>223313750</v>
      </c>
      <c r="P37" s="12">
        <v>792586866</v>
      </c>
      <c r="Q37" s="13">
        <v>138</v>
      </c>
      <c r="R37" s="13">
        <v>88</v>
      </c>
      <c r="S37" s="13"/>
      <c r="T37" s="13">
        <v>27621564</v>
      </c>
      <c r="U37" s="13" t="s">
        <v>42</v>
      </c>
      <c r="V37" t="s">
        <v>42</v>
      </c>
      <c r="W37">
        <v>4</v>
      </c>
      <c r="X37">
        <v>5</v>
      </c>
      <c r="Y37">
        <v>3.98</v>
      </c>
      <c r="Z37">
        <v>12</v>
      </c>
      <c r="AA37" s="15">
        <f>Table13[[#This Row],[Time until ideal entry + 390 (6:30)]]/(1440)</f>
        <v>0.27430555555555558</v>
      </c>
      <c r="AB37" s="18">
        <f t="shared" si="4"/>
        <v>1.0794392523364487</v>
      </c>
      <c r="AC37" s="18">
        <f>IF(Table13[[#This Row],[HOD AFTER PM HI]]&gt;=Table13[[#This Row],[PM Hi]],((Table13[[#This Row],[HOD AFTER PM HI]]-Table13[[#This Row],[Prior day close]])/Table13[[#This Row],[Prior day close]]),Table13[[#This Row],[Prior Close to PM Hi %]])</f>
        <v>1.8037383177570092</v>
      </c>
      <c r="AD37" s="18">
        <f>(Table13[[#This Row],[Price at hi of squeeze]]-Table13[[#This Row],[MKT Open Price]])/Table13[[#This Row],[MKT Open Price]]</f>
        <v>0.36986301369863017</v>
      </c>
      <c r="AE37" s="18">
        <f>(Table13[[#This Row],[Price at hi of squeeze]]-Table13[[#This Row],[PM Hi]])/Table13[[#This Row],[PM Hi]]</f>
        <v>0.348314606741573</v>
      </c>
      <c r="AF37" s="18">
        <f t="shared" si="2"/>
        <v>0.57894736842105265</v>
      </c>
      <c r="AG37" s="20">
        <f>Table13[[#This Row],[PM VOL]]/1000000/Table13[[#This Row],[FLOAT(M)]]</f>
        <v>0.31388140909090906</v>
      </c>
      <c r="AH37" s="23">
        <f>(Table13[[#This Row],[Volume]]/1000000)/Table13[[#This Row],[FLOAT(M)]]</f>
        <v>2.5376562499999999</v>
      </c>
      <c r="AI37" s="18">
        <f>(Table13[[#This Row],[Hi of Spike after open before drop]]-Table13[[#This Row],[MKT Open Price]])/Table13[[#This Row],[MKT Open Price]]</f>
        <v>2.2831050228310626E-2</v>
      </c>
      <c r="AJ37" s="18">
        <f>(Table13[[#This Row],[PM Hi]]-Table13[[#This Row],[MKT Open Price]])/(Table13[[#This Row],[PM Hi]])</f>
        <v>1.5730337078651749E-2</v>
      </c>
      <c r="AK37" s="16">
        <f>IF(Table13[[#This Row],[PM LO]]&gt;Table13[[#This Row],[Prior day close]],(Table13[[#This Row],[PM Hi]]-Table13[[#This Row],[MKT Open Price]])/(Table13[[#This Row],[PM Hi]]-Table13[[#This Row],[Prior day close]]),(Table13[[#This Row],[PM Hi]]-Table13[[#This Row],[MKT Open Price]])/(Table13[[#This Row],[PM Hi]]-Table13[[#This Row],[PM LO]]))</f>
        <v>2.7131782945736545E-2</v>
      </c>
      <c r="AL37" s="16">
        <f>IF(Table13[[#This Row],[Prior day close]]&lt;Table13[[#This Row],[PM LO]],(J37-L37)/(J37-Table13[[#This Row],[Prior day close]]),(J37-L37)/(J37-Table13[[#This Row],[PM LO]]))</f>
        <v>0.23107569721115542</v>
      </c>
      <c r="AM37" s="16">
        <f>Table13[[#This Row],[Spike % on open before drop]]+AN37</f>
        <v>0.15525114155251157</v>
      </c>
      <c r="AN37" s="16">
        <f t="shared" si="3"/>
        <v>0.13242009132420093</v>
      </c>
      <c r="AO37" s="18">
        <f>IF($K37&gt;=$G37,($K37-$L37)/($K37),(IF($I37&lt;=$L37,($G37-$I37)/($G37),(Table13[[#This Row],[PM Hi]]-Table13[[#This Row],[Lowest lo from open to squeeze]])/(Table13[[#This Row],[PM Hi]]))))</f>
        <v>0.15178571428571441</v>
      </c>
      <c r="AP37" s="18">
        <f>IF(Table13[[#This Row],[Prior day close]]&lt;=Table13[[#This Row],[PM LO]],IF($K37&gt;=$G37,($K37-$L37)/($K37-Table13[[#This Row],[Prior day close]]),(IF($I37&lt;=$L37,($G37-$I37)/($G37-Table13[[#This Row],[Prior day close]]),(Table13[[#This Row],[PM Hi]]-Table13[[#This Row],[Lowest lo from open to squeeze]])/(Table13[[#This Row],[PM Hi]]-Table13[[#This Row],[Prior day close]])))),IF($K37&gt;=$G37,($K37-$L37)/($K37-Table13[[#This Row],[PM LO]]),(IF($I37&lt;=$L37,($G37-$I37)/($G37-Table13[[#This Row],[PM LO]]),(Table13[[#This Row],[PM Hi]]-Table13[[#This Row],[Lowest lo from open to squeeze]])/(Table13[[#This Row],[PM Hi]]-Table13[[#This Row],[PM LO]])))))</f>
        <v>0.26053639846743315</v>
      </c>
      <c r="AQ37" s="18">
        <f>IF(K37&gt;=G37,(K37-L37)/(K37-E37),(IF(I37&lt;=L37,(G37-I37)/(G37-E37),(Table13[[#This Row],[PM Hi]]-Table13[[#This Row],[Lowest lo from open to squeeze]])/(Table13[[#This Row],[PM Hi]]-Table13[[#This Row],[Prior day close]]))))</f>
        <v>0.29059829059829084</v>
      </c>
      <c r="AR37" s="17">
        <f>390+Table13[[#This Row],[Time until ideal entry point (mins) from open]]</f>
        <v>395</v>
      </c>
      <c r="AS37" s="51">
        <f>(Table13[[#This Row],[Time until ideal entry + 390 (6:30)]]+Table13[[#This Row],[Duration of frontside (mins)]])/1440</f>
        <v>0.28263888888888888</v>
      </c>
    </row>
    <row r="38" spans="1:45" x14ac:dyDescent="0.25">
      <c r="A38" s="10" t="s">
        <v>90</v>
      </c>
      <c r="B38" s="11">
        <v>43990</v>
      </c>
      <c r="C38" s="47" t="s">
        <v>78</v>
      </c>
      <c r="E38" s="12">
        <v>1.19</v>
      </c>
      <c r="F38" s="13">
        <v>1.2</v>
      </c>
      <c r="G38" s="12">
        <v>1.81</v>
      </c>
      <c r="H38" s="12">
        <v>1.2</v>
      </c>
      <c r="I38" s="12">
        <v>1.5</v>
      </c>
      <c r="J38" s="12">
        <v>1.51</v>
      </c>
      <c r="K38" s="12">
        <v>1.56</v>
      </c>
      <c r="L38" s="12">
        <v>1.45</v>
      </c>
      <c r="M38" s="12">
        <v>2.86</v>
      </c>
      <c r="N38" s="12">
        <v>2.86</v>
      </c>
      <c r="O38" s="13">
        <v>56794754</v>
      </c>
      <c r="P38" s="12">
        <v>144747052</v>
      </c>
      <c r="Q38" s="13">
        <v>128</v>
      </c>
      <c r="R38">
        <v>67</v>
      </c>
      <c r="S38" s="14"/>
      <c r="T38" s="13">
        <v>3706505</v>
      </c>
      <c r="U38" s="13" t="s">
        <v>44</v>
      </c>
      <c r="V38" t="s">
        <v>44</v>
      </c>
      <c r="W38">
        <v>1</v>
      </c>
      <c r="X38">
        <v>2</v>
      </c>
      <c r="Y38">
        <v>1.59</v>
      </c>
      <c r="Z38">
        <v>53</v>
      </c>
      <c r="AA38" s="15">
        <f>Table13[[#This Row],[Time until ideal entry + 390 (6:30)]]/(1440)</f>
        <v>0.2722222222222222</v>
      </c>
      <c r="AB38" s="18">
        <f t="shared" si="4"/>
        <v>0.52100840336134469</v>
      </c>
      <c r="AC38" s="18">
        <f>IF(Table13[[#This Row],[HOD AFTER PM HI]]&gt;=Table13[[#This Row],[PM Hi]],((Table13[[#This Row],[HOD AFTER PM HI]]-Table13[[#This Row],[Prior day close]])/Table13[[#This Row],[Prior day close]]),Table13[[#This Row],[Prior Close to PM Hi %]])</f>
        <v>1.403361344537815</v>
      </c>
      <c r="AD38" s="18">
        <f>(Table13[[#This Row],[Price at hi of squeeze]]-Table13[[#This Row],[MKT Open Price]])/Table13[[#This Row],[MKT Open Price]]</f>
        <v>0.89403973509933765</v>
      </c>
      <c r="AE38" s="18">
        <f>(Table13[[#This Row],[Price at hi of squeeze]]-Table13[[#This Row],[PM Hi]])/Table13[[#This Row],[PM Hi]]</f>
        <v>0.58011049723756891</v>
      </c>
      <c r="AF38" s="18">
        <f t="shared" si="2"/>
        <v>0.97241379310344822</v>
      </c>
      <c r="AG38" s="20">
        <f>Table13[[#This Row],[PM VOL]]/1000000/Table13[[#This Row],[FLOAT(M)]]</f>
        <v>5.5320970149253731E-2</v>
      </c>
      <c r="AH38" s="21">
        <f>(Table13[[#This Row],[Volume]]/1000000)/Table13[[#This Row],[FLOAT(M)]]</f>
        <v>0.84768289552238807</v>
      </c>
      <c r="AI38" s="18">
        <f>(Table13[[#This Row],[Hi of Spike after open before drop]]-Table13[[#This Row],[MKT Open Price]])/Table13[[#This Row],[MKT Open Price]]</f>
        <v>3.3112582781456984E-2</v>
      </c>
      <c r="AJ38" s="18">
        <f>(Table13[[#This Row],[PM Hi]]-Table13[[#This Row],[MKT Open Price]])/(Table13[[#This Row],[PM Hi]])</f>
        <v>0.16574585635359118</v>
      </c>
      <c r="AK38" s="16">
        <f>IF(Table13[[#This Row],[PM LO]]&gt;Table13[[#This Row],[Prior day close]],(Table13[[#This Row],[PM Hi]]-Table13[[#This Row],[MKT Open Price]])/(Table13[[#This Row],[PM Hi]]-Table13[[#This Row],[Prior day close]]),(Table13[[#This Row],[PM Hi]]-Table13[[#This Row],[MKT Open Price]])/(Table13[[#This Row],[PM Hi]]-Table13[[#This Row],[PM LO]]))</f>
        <v>0.4838709677419355</v>
      </c>
      <c r="AL38" s="16">
        <f>IF(Table13[[#This Row],[Prior day close]]&lt;Table13[[#This Row],[PM LO]],(J38-L38)/(J38-Table13[[#This Row],[Prior day close]]),(J38-L38)/(J38-Table13[[#This Row],[PM LO]]))</f>
        <v>0.18750000000000014</v>
      </c>
      <c r="AM38" s="16">
        <f>Table13[[#This Row],[Spike % on open before drop]]+AN38</f>
        <v>7.2847682119205365E-2</v>
      </c>
      <c r="AN38" s="16">
        <f t="shared" si="3"/>
        <v>3.9735099337748381E-2</v>
      </c>
      <c r="AO38" s="18">
        <f>IF($K38&gt;=$G38,($K38-$L38)/($K38),(IF($I38&lt;=$L38,($G38-$I38)/($G38),(Table13[[#This Row],[PM Hi]]-Table13[[#This Row],[Lowest lo from open to squeeze]])/(Table13[[#This Row],[PM Hi]]))))</f>
        <v>0.19889502762430944</v>
      </c>
      <c r="AP38" s="18">
        <f>IF(Table13[[#This Row],[Prior day close]]&lt;=Table13[[#This Row],[PM LO]],IF($K38&gt;=$G38,($K38-$L38)/($K38-Table13[[#This Row],[Prior day close]]),(IF($I38&lt;=$L38,($G38-$I38)/($G38-Table13[[#This Row],[Prior day close]]),(Table13[[#This Row],[PM Hi]]-Table13[[#This Row],[Lowest lo from open to squeeze]])/(Table13[[#This Row],[PM Hi]]-Table13[[#This Row],[Prior day close]])))),IF($K38&gt;=$G38,($K38-$L38)/($K38-Table13[[#This Row],[PM LO]]),(IF($I38&lt;=$L38,($G38-$I38)/($G38-Table13[[#This Row],[PM LO]]),(Table13[[#This Row],[PM Hi]]-Table13[[#This Row],[Lowest lo from open to squeeze]])/(Table13[[#This Row],[PM Hi]]-Table13[[#This Row],[PM LO]])))))</f>
        <v>0.58064516129032262</v>
      </c>
      <c r="AQ38" s="18">
        <f>IF(K38&gt;=G38,(K38-L38)/(K38-E38),(IF(I38&lt;=L38,(G38-I38)/(G38-E38),(Table13[[#This Row],[PM Hi]]-Table13[[#This Row],[Lowest lo from open to squeeze]])/(Table13[[#This Row],[PM Hi]]-Table13[[#This Row],[Prior day close]]))))</f>
        <v>0.58064516129032262</v>
      </c>
      <c r="AR38" s="17">
        <f>390+Table13[[#This Row],[Time until ideal entry point (mins) from open]]</f>
        <v>392</v>
      </c>
      <c r="AS38" s="51">
        <f>(Table13[[#This Row],[Time until ideal entry + 390 (6:30)]]+Table13[[#This Row],[Duration of frontside (mins)]])/1440</f>
        <v>0.30902777777777779</v>
      </c>
    </row>
    <row r="39" spans="1:45" x14ac:dyDescent="0.25">
      <c r="A39" s="10" t="s">
        <v>88</v>
      </c>
      <c r="B39" s="44">
        <v>43990</v>
      </c>
      <c r="C39" s="47" t="s">
        <v>78</v>
      </c>
      <c r="D39" t="s">
        <v>89</v>
      </c>
      <c r="E39" s="12">
        <v>1.41</v>
      </c>
      <c r="F39" s="13">
        <v>1.41</v>
      </c>
      <c r="G39" s="12">
        <v>2.25</v>
      </c>
      <c r="H39" s="12">
        <v>1.41</v>
      </c>
      <c r="I39" s="12">
        <v>1.85</v>
      </c>
      <c r="J39" s="12">
        <v>1.91</v>
      </c>
      <c r="K39" s="12">
        <v>2.0299999999999998</v>
      </c>
      <c r="L39" s="12">
        <v>1.88</v>
      </c>
      <c r="M39" s="12">
        <v>3.59</v>
      </c>
      <c r="N39" s="12">
        <v>3.59</v>
      </c>
      <c r="O39" s="13">
        <v>102442455</v>
      </c>
      <c r="P39" s="12">
        <v>345602834</v>
      </c>
      <c r="Q39" s="13">
        <v>78</v>
      </c>
      <c r="R39">
        <f>78/1.5</f>
        <v>52</v>
      </c>
      <c r="S39" s="14"/>
      <c r="T39" s="13">
        <v>3779866</v>
      </c>
      <c r="U39" s="13" t="s">
        <v>44</v>
      </c>
      <c r="V39" t="s">
        <v>44</v>
      </c>
      <c r="W39">
        <v>6</v>
      </c>
      <c r="X39">
        <v>7</v>
      </c>
      <c r="Y39">
        <v>1.93</v>
      </c>
      <c r="Z39">
        <v>44</v>
      </c>
      <c r="AA39" s="15">
        <f>Table13[[#This Row],[Time until ideal entry + 390 (6:30)]]/(1440)</f>
        <v>0.27569444444444446</v>
      </c>
      <c r="AB39" s="18">
        <f t="shared" si="4"/>
        <v>0.59574468085106391</v>
      </c>
      <c r="AC39" s="18">
        <f>IF(Table13[[#This Row],[HOD AFTER PM HI]]&gt;=Table13[[#This Row],[PM Hi]],((Table13[[#This Row],[HOD AFTER PM HI]]-Table13[[#This Row],[Prior day close]])/Table13[[#This Row],[Prior day close]]),Table13[[#This Row],[Prior Close to PM Hi %]])</f>
        <v>1.5460992907801416</v>
      </c>
      <c r="AD39" s="18">
        <f>(Table13[[#This Row],[Price at hi of squeeze]]-Table13[[#This Row],[MKT Open Price]])/Table13[[#This Row],[MKT Open Price]]</f>
        <v>0.87958115183246077</v>
      </c>
      <c r="AE39" s="18">
        <f>(Table13[[#This Row],[Price at hi of squeeze]]-Table13[[#This Row],[PM Hi]])/Table13[[#This Row],[PM Hi]]</f>
        <v>0.5955555555555555</v>
      </c>
      <c r="AF39" s="18">
        <f t="shared" si="2"/>
        <v>0.90957446808510645</v>
      </c>
      <c r="AG39" s="20">
        <f>Table13[[#This Row],[PM VOL]]/1000000/Table13[[#This Row],[FLOAT(M)]]</f>
        <v>7.268973076923077E-2</v>
      </c>
      <c r="AH39" s="21">
        <f>(Table13[[#This Row],[Volume]]/1000000)/Table13[[#This Row],[FLOAT(M)]]</f>
        <v>1.9700472115384615</v>
      </c>
      <c r="AI39" s="18">
        <f>(Table13[[#This Row],[Hi of Spike after open before drop]]-Table13[[#This Row],[MKT Open Price]])/Table13[[#This Row],[MKT Open Price]]</f>
        <v>6.2827225130889994E-2</v>
      </c>
      <c r="AJ39" s="18">
        <f>(Table13[[#This Row],[PM Hi]]-Table13[[#This Row],[MKT Open Price]])/(Table13[[#This Row],[PM Hi]])</f>
        <v>0.15111111111111114</v>
      </c>
      <c r="AK39" s="16">
        <f>IF(Table13[[#This Row],[PM LO]]&gt;Table13[[#This Row],[Prior day close]],(Table13[[#This Row],[PM Hi]]-Table13[[#This Row],[MKT Open Price]])/(Table13[[#This Row],[PM Hi]]-Table13[[#This Row],[Prior day close]]),(Table13[[#This Row],[PM Hi]]-Table13[[#This Row],[MKT Open Price]])/(Table13[[#This Row],[PM Hi]]-Table13[[#This Row],[PM LO]]))</f>
        <v>0.40476190476190482</v>
      </c>
      <c r="AL39" s="16">
        <f>IF(Table13[[#This Row],[Prior day close]]&lt;Table13[[#This Row],[PM LO]],(J39-L39)/(J39-Table13[[#This Row],[Prior day close]]),(J39-L39)/(J39-Table13[[#This Row],[PM LO]]))</f>
        <v>6.0000000000000053E-2</v>
      </c>
      <c r="AM39" s="16">
        <f>Table13[[#This Row],[Spike % on open before drop]]+AN39</f>
        <v>7.8534031413612523E-2</v>
      </c>
      <c r="AN39" s="16">
        <f t="shared" si="3"/>
        <v>1.5706806282722526E-2</v>
      </c>
      <c r="AO39" s="18">
        <f>IF($K39&gt;=$G39,($K39-$L39)/($K39),(IF($I39&lt;=$L39,($G39-$I39)/($G39),(Table13[[#This Row],[PM Hi]]-Table13[[#This Row],[Lowest lo from open to squeeze]])/(Table13[[#This Row],[PM Hi]]))))</f>
        <v>0.17777777777777773</v>
      </c>
      <c r="AP39" s="18">
        <f>IF(Table13[[#This Row],[Prior day close]]&lt;=Table13[[#This Row],[PM LO]],IF($K39&gt;=$G39,($K39-$L39)/($K39-Table13[[#This Row],[Prior day close]]),(IF($I39&lt;=$L39,($G39-$I39)/($G39-Table13[[#This Row],[Prior day close]]),(Table13[[#This Row],[PM Hi]]-Table13[[#This Row],[Lowest lo from open to squeeze]])/(Table13[[#This Row],[PM Hi]]-Table13[[#This Row],[Prior day close]])))),IF($K39&gt;=$G39,($K39-$L39)/($K39-Table13[[#This Row],[PM LO]]),(IF($I39&lt;=$L39,($G39-$I39)/($G39-Table13[[#This Row],[PM LO]]),(Table13[[#This Row],[PM Hi]]-Table13[[#This Row],[Lowest lo from open to squeeze]])/(Table13[[#This Row],[PM Hi]]-Table13[[#This Row],[PM LO]])))))</f>
        <v>0.47619047619047605</v>
      </c>
      <c r="AQ39" s="18">
        <f>IF(K39&gt;=G39,(K39-L39)/(K39-E39),(IF(I39&lt;=L39,(G39-I39)/(G39-E39),(Table13[[#This Row],[PM Hi]]-Table13[[#This Row],[Lowest lo from open to squeeze]])/(Table13[[#This Row],[PM Hi]]-Table13[[#This Row],[Prior day close]]))))</f>
        <v>0.47619047619047605</v>
      </c>
      <c r="AR39" s="17">
        <f>390+Table13[[#This Row],[Time until ideal entry point (mins) from open]]</f>
        <v>397</v>
      </c>
      <c r="AS39" s="51">
        <f>(Table13[[#This Row],[Time until ideal entry + 390 (6:30)]]+Table13[[#This Row],[Duration of frontside (mins)]])/1440</f>
        <v>0.30625000000000002</v>
      </c>
    </row>
    <row r="40" spans="1:45" x14ac:dyDescent="0.25">
      <c r="A40" s="10" t="s">
        <v>92</v>
      </c>
      <c r="B40" s="11">
        <v>43991</v>
      </c>
      <c r="C40" s="47" t="s">
        <v>78</v>
      </c>
      <c r="E40" s="12">
        <v>0.69</v>
      </c>
      <c r="F40" s="13">
        <v>0.69</v>
      </c>
      <c r="G40" s="12">
        <v>1.1499999999999999</v>
      </c>
      <c r="H40" s="12">
        <v>0.65</v>
      </c>
      <c r="I40" s="12">
        <v>0.9</v>
      </c>
      <c r="J40" s="12">
        <v>0.94</v>
      </c>
      <c r="K40" s="12">
        <v>0.94</v>
      </c>
      <c r="L40" s="12">
        <v>0.85</v>
      </c>
      <c r="M40" s="12">
        <v>2.62</v>
      </c>
      <c r="N40" s="12">
        <v>2.62</v>
      </c>
      <c r="O40" s="13">
        <v>155918020</v>
      </c>
      <c r="P40" s="12">
        <v>249468832</v>
      </c>
      <c r="Q40" s="13">
        <v>4.92</v>
      </c>
      <c r="R40">
        <v>6.72</v>
      </c>
      <c r="S40" s="14"/>
      <c r="T40" s="13">
        <v>7151620</v>
      </c>
      <c r="U40" s="13" t="s">
        <v>44</v>
      </c>
      <c r="V40" t="s">
        <v>44</v>
      </c>
      <c r="W40">
        <v>3</v>
      </c>
      <c r="X40">
        <v>4</v>
      </c>
      <c r="Y40">
        <v>0.87</v>
      </c>
      <c r="Z40">
        <v>297</v>
      </c>
      <c r="AA40" s="15">
        <f>Table13[[#This Row],[Time until ideal entry + 390 (6:30)]]/(1440)</f>
        <v>0.27361111111111114</v>
      </c>
      <c r="AB40" s="18">
        <f t="shared" si="4"/>
        <v>0.66666666666666663</v>
      </c>
      <c r="AC40" s="18">
        <f>IF(Table13[[#This Row],[HOD AFTER PM HI]]&gt;=Table13[[#This Row],[PM Hi]],((Table13[[#This Row],[HOD AFTER PM HI]]-Table13[[#This Row],[Prior day close]])/Table13[[#This Row],[Prior day close]]),Table13[[#This Row],[Prior Close to PM Hi %]])</f>
        <v>2.7971014492753628</v>
      </c>
      <c r="AD40" s="18">
        <f>(Table13[[#This Row],[Price at hi of squeeze]]-Table13[[#This Row],[MKT Open Price]])/Table13[[#This Row],[MKT Open Price]]</f>
        <v>1.7872340425531918</v>
      </c>
      <c r="AE40" s="18">
        <f>(Table13[[#This Row],[Price at hi of squeeze]]-Table13[[#This Row],[PM Hi]])/Table13[[#This Row],[PM Hi]]</f>
        <v>1.2782608695652176</v>
      </c>
      <c r="AF40" s="18">
        <f t="shared" ref="AF40:AF71" si="5">(N40-L40)/L40</f>
        <v>2.0823529411764707</v>
      </c>
      <c r="AG40" s="20">
        <f>Table13[[#This Row],[PM VOL]]/1000000/Table13[[#This Row],[FLOAT(M)]]</f>
        <v>1.0642291666666668</v>
      </c>
      <c r="AH40" s="21">
        <f>(Table13[[#This Row],[Volume]]/1000000)/Table13[[#This Row],[FLOAT(M)]]</f>
        <v>23.202086309523811</v>
      </c>
      <c r="AI40" s="18">
        <f>(Table13[[#This Row],[Hi of Spike after open before drop]]-Table13[[#This Row],[MKT Open Price]])/Table13[[#This Row],[MKT Open Price]]</f>
        <v>0</v>
      </c>
      <c r="AJ40" s="18">
        <f>(Table13[[#This Row],[PM Hi]]-Table13[[#This Row],[MKT Open Price]])/(Table13[[#This Row],[PM Hi]])</f>
        <v>0.18260869565217389</v>
      </c>
      <c r="AK40" s="16">
        <f>IF(Table13[[#This Row],[PM LO]]&gt;Table13[[#This Row],[Prior day close]],(Table13[[#This Row],[PM Hi]]-Table13[[#This Row],[MKT Open Price]])/(Table13[[#This Row],[PM Hi]]-Table13[[#This Row],[Prior day close]]),(Table13[[#This Row],[PM Hi]]-Table13[[#This Row],[MKT Open Price]])/(Table13[[#This Row],[PM Hi]]-Table13[[#This Row],[PM LO]]))</f>
        <v>0.42000000000000004</v>
      </c>
      <c r="AL40" s="16">
        <f>IF(Table13[[#This Row],[Prior day close]]&lt;Table13[[#This Row],[PM LO]],(J40-L40)/(J40-Table13[[#This Row],[Prior day close]]),(J40-L40)/(J40-Table13[[#This Row],[PM LO]]))</f>
        <v>0.31034482758620685</v>
      </c>
      <c r="AM40" s="16">
        <f>Table13[[#This Row],[Spike % on open before drop]]+AN40</f>
        <v>9.5744680851063801E-2</v>
      </c>
      <c r="AN40" s="16">
        <f t="shared" si="3"/>
        <v>9.5744680851063801E-2</v>
      </c>
      <c r="AO40" s="18">
        <f>IF($K40&gt;=$G40,($K40-$L40)/($K40),(IF($I40&lt;=$L40,($G40-$I40)/($G40),(Table13[[#This Row],[PM Hi]]-Table13[[#This Row],[Lowest lo from open to squeeze]])/(Table13[[#This Row],[PM Hi]]))))</f>
        <v>0.26086956521739124</v>
      </c>
      <c r="AP40" s="18">
        <f>IF(Table13[[#This Row],[Prior day close]]&lt;=Table13[[#This Row],[PM LO]],IF($K40&gt;=$G40,($K40-$L40)/($K40-Table13[[#This Row],[Prior day close]]),(IF($I40&lt;=$L40,($G40-$I40)/($G40-Table13[[#This Row],[Prior day close]]),(Table13[[#This Row],[PM Hi]]-Table13[[#This Row],[Lowest lo from open to squeeze]])/(Table13[[#This Row],[PM Hi]]-Table13[[#This Row],[Prior day close]])))),IF($K40&gt;=$G40,($K40-$L40)/($K40-Table13[[#This Row],[PM LO]]),(IF($I40&lt;=$L40,($G40-$I40)/($G40-Table13[[#This Row],[PM LO]]),(Table13[[#This Row],[PM Hi]]-Table13[[#This Row],[Lowest lo from open to squeeze]])/(Table13[[#This Row],[PM Hi]]-Table13[[#This Row],[PM LO]])))))</f>
        <v>0.6</v>
      </c>
      <c r="AQ40" s="18">
        <f>IF(K40&gt;=G40,(K40-L40)/(K40-E40),(IF(I40&lt;=L40,(G40-I40)/(G40-E40),(Table13[[#This Row],[PM Hi]]-Table13[[#This Row],[Lowest lo from open to squeeze]])/(Table13[[#This Row],[PM Hi]]-Table13[[#This Row],[Prior day close]]))))</f>
        <v>0.65217391304347816</v>
      </c>
      <c r="AR40" s="17">
        <f>390+Table13[[#This Row],[Time until ideal entry point (mins) from open]]</f>
        <v>394</v>
      </c>
      <c r="AS40" s="51">
        <f>(Table13[[#This Row],[Time until ideal entry + 390 (6:30)]]+Table13[[#This Row],[Duration of frontside (mins)]])/1440</f>
        <v>0.47986111111111113</v>
      </c>
    </row>
    <row r="41" spans="1:45" x14ac:dyDescent="0.25">
      <c r="A41" s="10" t="s">
        <v>93</v>
      </c>
      <c r="B41" s="44">
        <v>43992</v>
      </c>
      <c r="C41" s="47" t="s">
        <v>78</v>
      </c>
      <c r="E41" s="12">
        <v>1.22</v>
      </c>
      <c r="F41" s="13">
        <v>1.24</v>
      </c>
      <c r="G41" s="12">
        <v>2.78</v>
      </c>
      <c r="H41" s="12">
        <v>1.24</v>
      </c>
      <c r="I41" s="12">
        <v>1.89</v>
      </c>
      <c r="J41" s="12">
        <v>2.19</v>
      </c>
      <c r="K41" s="12">
        <v>2.4</v>
      </c>
      <c r="L41" s="12">
        <v>1.88</v>
      </c>
      <c r="M41" s="12">
        <v>3.59</v>
      </c>
      <c r="N41" s="12">
        <v>3.2</v>
      </c>
      <c r="O41" s="13">
        <v>166997013</v>
      </c>
      <c r="P41" s="12">
        <v>302343572</v>
      </c>
      <c r="Q41" s="13">
        <v>45.47</v>
      </c>
      <c r="R41">
        <v>30.91</v>
      </c>
      <c r="S41" s="14"/>
      <c r="T41" s="13">
        <v>7873710</v>
      </c>
      <c r="U41" s="13" t="s">
        <v>44</v>
      </c>
      <c r="V41" t="s">
        <v>42</v>
      </c>
      <c r="W41">
        <v>5</v>
      </c>
      <c r="X41">
        <v>6</v>
      </c>
      <c r="Y41">
        <v>2.0099999999999998</v>
      </c>
      <c r="Z41">
        <v>25</v>
      </c>
      <c r="AA41" s="15">
        <f>Table13[[#This Row],[Time until ideal entry + 390 (6:30)]]/(1440)</f>
        <v>0.27500000000000002</v>
      </c>
      <c r="AB41" s="18">
        <f t="shared" si="4"/>
        <v>1.2786885245901638</v>
      </c>
      <c r="AC41" s="18">
        <f>IF(Table13[[#This Row],[HOD AFTER PM HI]]&gt;=Table13[[#This Row],[PM Hi]],((Table13[[#This Row],[HOD AFTER PM HI]]-Table13[[#This Row],[Prior day close]])/Table13[[#This Row],[Prior day close]]),Table13[[#This Row],[Prior Close to PM Hi %]])</f>
        <v>1.9426229508196722</v>
      </c>
      <c r="AD41" s="18">
        <f>(Table13[[#This Row],[Price at hi of squeeze]]-Table13[[#This Row],[MKT Open Price]])/Table13[[#This Row],[MKT Open Price]]</f>
        <v>0.46118721461187229</v>
      </c>
      <c r="AE41" s="18">
        <f>(Table13[[#This Row],[Price at hi of squeeze]]-Table13[[#This Row],[PM Hi]])/Table13[[#This Row],[PM Hi]]</f>
        <v>0.15107913669064763</v>
      </c>
      <c r="AF41" s="18">
        <f t="shared" si="5"/>
        <v>0.70212765957446832</v>
      </c>
      <c r="AG41" s="20">
        <f>Table13[[#This Row],[PM VOL]]/1000000/Table13[[#This Row],[FLOAT(M)]]</f>
        <v>0.25473018440634099</v>
      </c>
      <c r="AH41" s="21">
        <f>(Table13[[#This Row],[Volume]]/1000000)/Table13[[#This Row],[FLOAT(M)]]</f>
        <v>5.4026856357165967</v>
      </c>
      <c r="AI41" s="18">
        <f>(Table13[[#This Row],[Hi of Spike after open before drop]]-Table13[[#This Row],[MKT Open Price]])/Table13[[#This Row],[MKT Open Price]]</f>
        <v>9.589041095890409E-2</v>
      </c>
      <c r="AJ41" s="18">
        <f>(Table13[[#This Row],[PM Hi]]-Table13[[#This Row],[MKT Open Price]])/(Table13[[#This Row],[PM Hi]])</f>
        <v>0.21223021582733809</v>
      </c>
      <c r="AK41" s="16">
        <f>IF(Table13[[#This Row],[PM LO]]&gt;Table13[[#This Row],[Prior day close]],(Table13[[#This Row],[PM Hi]]-Table13[[#This Row],[MKT Open Price]])/(Table13[[#This Row],[PM Hi]]-Table13[[#This Row],[Prior day close]]),(Table13[[#This Row],[PM Hi]]-Table13[[#This Row],[MKT Open Price]])/(Table13[[#This Row],[PM Hi]]-Table13[[#This Row],[PM LO]]))</f>
        <v>0.37820512820512814</v>
      </c>
      <c r="AL41" s="16">
        <f>IF(Table13[[#This Row],[Prior day close]]&lt;Table13[[#This Row],[PM LO]],(J41-L41)/(J41-Table13[[#This Row],[Prior day close]]),(J41-L41)/(J41-Table13[[#This Row],[PM LO]]))</f>
        <v>0.31958762886597947</v>
      </c>
      <c r="AM41" s="16">
        <f>Table13[[#This Row],[Spike % on open before drop]]+AN41</f>
        <v>0.23744292237442921</v>
      </c>
      <c r="AN41" s="16">
        <f t="shared" si="3"/>
        <v>0.14155251141552513</v>
      </c>
      <c r="AO41" s="18">
        <f>IF($K41&gt;=$G41,($K41-$L41)/($K41),(IF($I41&lt;=$L41,($G41-$I41)/($G41),(Table13[[#This Row],[PM Hi]]-Table13[[#This Row],[Lowest lo from open to squeeze]])/(Table13[[#This Row],[PM Hi]]))))</f>
        <v>0.32374100719424459</v>
      </c>
      <c r="AP41" s="18">
        <f>IF(Table13[[#This Row],[Prior day close]]&lt;=Table13[[#This Row],[PM LO]],IF($K41&gt;=$G41,($K41-$L41)/($K41-Table13[[#This Row],[Prior day close]]),(IF($I41&lt;=$L41,($G41-$I41)/($G41-Table13[[#This Row],[Prior day close]]),(Table13[[#This Row],[PM Hi]]-Table13[[#This Row],[Lowest lo from open to squeeze]])/(Table13[[#This Row],[PM Hi]]-Table13[[#This Row],[Prior day close]])))),IF($K41&gt;=$G41,($K41-$L41)/($K41-Table13[[#This Row],[PM LO]]),(IF($I41&lt;=$L41,($G41-$I41)/($G41-Table13[[#This Row],[PM LO]]),(Table13[[#This Row],[PM Hi]]-Table13[[#This Row],[Lowest lo from open to squeeze]])/(Table13[[#This Row],[PM Hi]]-Table13[[#This Row],[PM LO]])))))</f>
        <v>0.57692307692307698</v>
      </c>
      <c r="AQ41" s="18">
        <f>IF(K41&gt;=G41,(K41-L41)/(K41-E41),(IF(I41&lt;=L41,(G41-I41)/(G41-E41),(Table13[[#This Row],[PM Hi]]-Table13[[#This Row],[Lowest lo from open to squeeze]])/(Table13[[#This Row],[PM Hi]]-Table13[[#This Row],[Prior day close]]))))</f>
        <v>0.57692307692307698</v>
      </c>
      <c r="AR41" s="17">
        <f>390+Table13[[#This Row],[Time until ideal entry point (mins) from open]]</f>
        <v>396</v>
      </c>
      <c r="AS41" s="51">
        <f>(Table13[[#This Row],[Time until ideal entry + 390 (6:30)]]+Table13[[#This Row],[Duration of frontside (mins)]])/1440</f>
        <v>0.29236111111111113</v>
      </c>
    </row>
    <row r="42" spans="1:45" x14ac:dyDescent="0.25">
      <c r="A42" s="10" t="s">
        <v>69</v>
      </c>
      <c r="B42" s="11">
        <v>43992</v>
      </c>
      <c r="C42" s="47" t="s">
        <v>78</v>
      </c>
      <c r="E42" s="12">
        <v>1.42</v>
      </c>
      <c r="F42" s="13">
        <v>1.42</v>
      </c>
      <c r="G42" s="12">
        <v>5.23</v>
      </c>
      <c r="H42" s="12">
        <v>1.42</v>
      </c>
      <c r="I42" s="12">
        <v>4.62</v>
      </c>
      <c r="J42" s="12">
        <v>4.72</v>
      </c>
      <c r="K42" s="12">
        <v>5.0999999999999996</v>
      </c>
      <c r="L42" s="12">
        <v>4.12</v>
      </c>
      <c r="M42" s="12">
        <v>6.55</v>
      </c>
      <c r="N42" s="12">
        <v>6.55</v>
      </c>
      <c r="O42" s="13">
        <v>125756972</v>
      </c>
      <c r="P42" s="12">
        <v>373886123</v>
      </c>
      <c r="Q42" s="13">
        <v>9.26</v>
      </c>
      <c r="R42">
        <v>4.79</v>
      </c>
      <c r="S42" s="14"/>
      <c r="T42" s="13">
        <v>17567139</v>
      </c>
      <c r="U42" s="13" t="s">
        <v>44</v>
      </c>
      <c r="V42" t="s">
        <v>44</v>
      </c>
      <c r="W42">
        <v>6</v>
      </c>
      <c r="X42">
        <v>7</v>
      </c>
      <c r="Y42">
        <v>4.25</v>
      </c>
      <c r="Z42">
        <v>11</v>
      </c>
      <c r="AA42" s="15">
        <f>Table13[[#This Row],[Time until ideal entry + 390 (6:30)]]/(1440)</f>
        <v>0.27569444444444446</v>
      </c>
      <c r="AB42" s="18">
        <f t="shared" si="4"/>
        <v>2.6830985915492964</v>
      </c>
      <c r="AC42" s="18">
        <f>IF(Table13[[#This Row],[HOD AFTER PM HI]]&gt;=Table13[[#This Row],[PM Hi]],((Table13[[#This Row],[HOD AFTER PM HI]]-Table13[[#This Row],[Prior day close]])/Table13[[#This Row],[Prior day close]]),Table13[[#This Row],[Prior Close to PM Hi %]])</f>
        <v>3.6126760563380285</v>
      </c>
      <c r="AD42" s="18">
        <f>(Table13[[#This Row],[Price at hi of squeeze]]-Table13[[#This Row],[MKT Open Price]])/Table13[[#This Row],[MKT Open Price]]</f>
        <v>0.38771186440677968</v>
      </c>
      <c r="AE42" s="18">
        <f>(Table13[[#This Row],[Price at hi of squeeze]]-Table13[[#This Row],[PM Hi]])/Table13[[#This Row],[PM Hi]]</f>
        <v>0.25239005736137654</v>
      </c>
      <c r="AF42" s="18">
        <f t="shared" si="5"/>
        <v>0.58980582524271841</v>
      </c>
      <c r="AG42" s="20">
        <f>Table13[[#This Row],[PM VOL]]/1000000/Table13[[#This Row],[FLOAT(M)]]</f>
        <v>3.6674611691022965</v>
      </c>
      <c r="AH42" s="21">
        <f>(Table13[[#This Row],[Volume]]/1000000)/Table13[[#This Row],[FLOAT(M)]]</f>
        <v>26.254065135699374</v>
      </c>
      <c r="AI42" s="18">
        <f>(Table13[[#This Row],[Hi of Spike after open before drop]]-Table13[[#This Row],[MKT Open Price]])/Table13[[#This Row],[MKT Open Price]]</f>
        <v>8.0508474576271166E-2</v>
      </c>
      <c r="AJ42" s="18">
        <f>(Table13[[#This Row],[PM Hi]]-Table13[[#This Row],[MKT Open Price]])/(Table13[[#This Row],[PM Hi]])</f>
        <v>9.7514340344168379E-2</v>
      </c>
      <c r="AK42" s="16">
        <f>IF(Table13[[#This Row],[PM LO]]&gt;Table13[[#This Row],[Prior day close]],(Table13[[#This Row],[PM Hi]]-Table13[[#This Row],[MKT Open Price]])/(Table13[[#This Row],[PM Hi]]-Table13[[#This Row],[Prior day close]]),(Table13[[#This Row],[PM Hi]]-Table13[[#This Row],[MKT Open Price]])/(Table13[[#This Row],[PM Hi]]-Table13[[#This Row],[PM LO]]))</f>
        <v>0.13385826771653558</v>
      </c>
      <c r="AL42" s="16">
        <f>IF(Table13[[#This Row],[Prior day close]]&lt;Table13[[#This Row],[PM LO]],(J42-L42)/(J42-Table13[[#This Row],[Prior day close]]),(J42-L42)/(J42-Table13[[#This Row],[PM LO]]))</f>
        <v>0.18181818181818171</v>
      </c>
      <c r="AM42" s="16">
        <f>Table13[[#This Row],[Spike % on open before drop]]+AN42</f>
        <v>0.20762711864406772</v>
      </c>
      <c r="AN42" s="16">
        <f t="shared" si="3"/>
        <v>0.12711864406779655</v>
      </c>
      <c r="AO42" s="18">
        <f>IF($K42&gt;=$G42,($K42-$L42)/($K42),(IF($I42&lt;=$L42,($G42-$I42)/($G42),(Table13[[#This Row],[PM Hi]]-Table13[[#This Row],[Lowest lo from open to squeeze]])/(Table13[[#This Row],[PM Hi]]))))</f>
        <v>0.2122370936902486</v>
      </c>
      <c r="AP42" s="18">
        <f>IF(Table13[[#This Row],[Prior day close]]&lt;=Table13[[#This Row],[PM LO]],IF($K42&gt;=$G42,($K42-$L42)/($K42-Table13[[#This Row],[Prior day close]]),(IF($I42&lt;=$L42,($G42-$I42)/($G42-Table13[[#This Row],[Prior day close]]),(Table13[[#This Row],[PM Hi]]-Table13[[#This Row],[Lowest lo from open to squeeze]])/(Table13[[#This Row],[PM Hi]]-Table13[[#This Row],[Prior day close]])))),IF($K42&gt;=$G42,($K42-$L42)/($K42-Table13[[#This Row],[PM LO]]),(IF($I42&lt;=$L42,($G42-$I42)/($G42-Table13[[#This Row],[PM LO]]),(Table13[[#This Row],[PM Hi]]-Table13[[#This Row],[Lowest lo from open to squeeze]])/(Table13[[#This Row],[PM Hi]]-Table13[[#This Row],[PM LO]])))))</f>
        <v>0.29133858267716539</v>
      </c>
      <c r="AQ42" s="18">
        <f>IF(K42&gt;=G42,(K42-L42)/(K42-E42),(IF(I42&lt;=L42,(G42-I42)/(G42-E42),(Table13[[#This Row],[PM Hi]]-Table13[[#This Row],[Lowest lo from open to squeeze]])/(Table13[[#This Row],[PM Hi]]-Table13[[#This Row],[Prior day close]]))))</f>
        <v>0.29133858267716539</v>
      </c>
      <c r="AR42" s="17">
        <f>390+Table13[[#This Row],[Time until ideal entry point (mins) from open]]</f>
        <v>397</v>
      </c>
      <c r="AS42" s="51">
        <f>(Table13[[#This Row],[Time until ideal entry + 390 (6:30)]]+Table13[[#This Row],[Duration of frontside (mins)]])/1440</f>
        <v>0.28333333333333333</v>
      </c>
    </row>
    <row r="43" spans="1:45" ht="30" x14ac:dyDescent="0.25">
      <c r="A43" s="10" t="s">
        <v>94</v>
      </c>
      <c r="B43" s="11">
        <v>43993</v>
      </c>
      <c r="C43" s="47" t="s">
        <v>78</v>
      </c>
      <c r="D43" s="3" t="s">
        <v>95</v>
      </c>
      <c r="E43" s="12">
        <v>4.53</v>
      </c>
      <c r="F43" s="13">
        <v>4.5</v>
      </c>
      <c r="G43" s="12">
        <v>15.5</v>
      </c>
      <c r="H43" s="12">
        <v>3.03</v>
      </c>
      <c r="I43" s="12">
        <v>8.52</v>
      </c>
      <c r="J43" s="12">
        <v>11</v>
      </c>
      <c r="K43" s="12">
        <v>12.5</v>
      </c>
      <c r="L43" s="12">
        <v>7.5</v>
      </c>
      <c r="M43" s="12">
        <v>15.39</v>
      </c>
      <c r="N43" s="12">
        <v>15.39</v>
      </c>
      <c r="O43" s="13">
        <v>64708377</v>
      </c>
      <c r="P43" s="12">
        <v>445008023</v>
      </c>
      <c r="Q43" s="13">
        <v>9.66</v>
      </c>
      <c r="R43">
        <v>1.18</v>
      </c>
      <c r="S43" s="14"/>
      <c r="T43" s="13">
        <v>4484811</v>
      </c>
      <c r="U43" s="13" t="s">
        <v>42</v>
      </c>
      <c r="V43" t="s">
        <v>44</v>
      </c>
      <c r="W43">
        <v>38</v>
      </c>
      <c r="X43">
        <v>39</v>
      </c>
      <c r="Y43">
        <v>7.79</v>
      </c>
      <c r="Z43">
        <v>20</v>
      </c>
      <c r="AA43" s="15">
        <f>Table13[[#This Row],[Time until ideal entry + 390 (6:30)]]/(1440)</f>
        <v>0.29791666666666666</v>
      </c>
      <c r="AB43" s="18">
        <f t="shared" si="4"/>
        <v>2.4216335540838849</v>
      </c>
      <c r="AC43" s="18">
        <f>IF(Table13[[#This Row],[HOD AFTER PM HI]]&gt;=Table13[[#This Row],[PM Hi]],((Table13[[#This Row],[HOD AFTER PM HI]]-Table13[[#This Row],[Prior day close]])/Table13[[#This Row],[Prior day close]]),Table13[[#This Row],[Prior Close to PM Hi %]])</f>
        <v>2.4216335540838849</v>
      </c>
      <c r="AD43" s="18">
        <f>(Table13[[#This Row],[Price at hi of squeeze]]-Table13[[#This Row],[MKT Open Price]])/Table13[[#This Row],[MKT Open Price]]</f>
        <v>0.39909090909090916</v>
      </c>
      <c r="AE43" s="18">
        <f>(Table13[[#This Row],[Price at hi of squeeze]]-Table13[[#This Row],[PM Hi]])/Table13[[#This Row],[PM Hi]]</f>
        <v>-7.0967741935483502E-3</v>
      </c>
      <c r="AF43" s="18">
        <f t="shared" si="5"/>
        <v>1.052</v>
      </c>
      <c r="AG43" s="20">
        <f>Table13[[#This Row],[PM VOL]]/1000000/Table13[[#This Row],[FLOAT(M)]]</f>
        <v>3.8006872881355931</v>
      </c>
      <c r="AH43" s="21">
        <f>(Table13[[#This Row],[Volume]]/1000000)/Table13[[#This Row],[FLOAT(M)]]</f>
        <v>54.837607627118643</v>
      </c>
      <c r="AI43" s="18">
        <f>(Table13[[#This Row],[Hi of Spike after open before drop]]-Table13[[#This Row],[MKT Open Price]])/Table13[[#This Row],[MKT Open Price]]</f>
        <v>0.13636363636363635</v>
      </c>
      <c r="AJ43" s="18">
        <f>(Table13[[#This Row],[PM Hi]]-Table13[[#This Row],[MKT Open Price]])/(Table13[[#This Row],[PM Hi]])</f>
        <v>0.29032258064516131</v>
      </c>
      <c r="AK43" s="16">
        <f>IF(Table13[[#This Row],[PM LO]]&gt;Table13[[#This Row],[Prior day close]],(Table13[[#This Row],[PM Hi]]-Table13[[#This Row],[MKT Open Price]])/(Table13[[#This Row],[PM Hi]]-Table13[[#This Row],[Prior day close]]),(Table13[[#This Row],[PM Hi]]-Table13[[#This Row],[MKT Open Price]])/(Table13[[#This Row],[PM Hi]]-Table13[[#This Row],[PM LO]]))</f>
        <v>0.36086607858861264</v>
      </c>
      <c r="AL43" s="16">
        <f>IF(Table13[[#This Row],[Prior day close]]&lt;Table13[[#This Row],[PM LO]],(J43-L43)/(J43-Table13[[#This Row],[Prior day close]]),(J43-L43)/(J43-Table13[[#This Row],[PM LO]]))</f>
        <v>0.43914680050188204</v>
      </c>
      <c r="AM43" s="16">
        <f>Table13[[#This Row],[Spike % on open before drop]]+AN43</f>
        <v>0.45454545454545453</v>
      </c>
      <c r="AN43" s="16">
        <f t="shared" si="3"/>
        <v>0.31818181818181818</v>
      </c>
      <c r="AO43" s="18">
        <f>IF($K43&gt;=$G43,($K43-$L43)/($K43),(IF($I43&lt;=$L43,($G43-$I43)/($G43),(Table13[[#This Row],[PM Hi]]-Table13[[#This Row],[Lowest lo from open to squeeze]])/(Table13[[#This Row],[PM Hi]]))))</f>
        <v>0.5161290322580645</v>
      </c>
      <c r="AP43" s="18">
        <f>IF(Table13[[#This Row],[Prior day close]]&lt;=Table13[[#This Row],[PM LO]],IF($K43&gt;=$G43,($K43-$L43)/($K43-Table13[[#This Row],[Prior day close]]),(IF($I43&lt;=$L43,($G43-$I43)/($G43-Table13[[#This Row],[Prior day close]]),(Table13[[#This Row],[PM Hi]]-Table13[[#This Row],[Lowest lo from open to squeeze]])/(Table13[[#This Row],[PM Hi]]-Table13[[#This Row],[Prior day close]])))),IF($K43&gt;=$G43,($K43-$L43)/($K43-Table13[[#This Row],[PM LO]]),(IF($I43&lt;=$L43,($G43-$I43)/($G43-Table13[[#This Row],[PM LO]]),(Table13[[#This Row],[PM Hi]]-Table13[[#This Row],[Lowest lo from open to squeeze]])/(Table13[[#This Row],[PM Hi]]-Table13[[#This Row],[PM LO]])))))</f>
        <v>0.64153969526864474</v>
      </c>
      <c r="AQ43" s="18">
        <f>IF(K43&gt;=G43,(K43-L43)/(K43-E43),(IF(I43&lt;=L43,(G43-I43)/(G43-E43),(Table13[[#This Row],[PM Hi]]-Table13[[#This Row],[Lowest lo from open to squeeze]])/(Table13[[#This Row],[PM Hi]]-Table13[[#This Row],[Prior day close]]))))</f>
        <v>0.72926162260711036</v>
      </c>
      <c r="AR43" s="17">
        <f>390+Table13[[#This Row],[Time until ideal entry point (mins) from open]]</f>
        <v>429</v>
      </c>
      <c r="AS43" s="51">
        <f>(Table13[[#This Row],[Time until ideal entry + 390 (6:30)]]+Table13[[#This Row],[Duration of frontside (mins)]])/1440</f>
        <v>0.31180555555555556</v>
      </c>
    </row>
    <row r="44" spans="1:45" x14ac:dyDescent="0.25">
      <c r="A44" s="10" t="s">
        <v>96</v>
      </c>
      <c r="B44" s="11">
        <v>43999</v>
      </c>
      <c r="C44" s="47" t="s">
        <v>78</v>
      </c>
      <c r="E44" s="12">
        <v>1.1200000000000001</v>
      </c>
      <c r="F44" s="13">
        <v>1.1499999999999999</v>
      </c>
      <c r="G44" s="12">
        <v>3.57</v>
      </c>
      <c r="H44" s="12">
        <v>1.1399999999999999</v>
      </c>
      <c r="I44" s="12">
        <v>2.2999999999999998</v>
      </c>
      <c r="J44" s="12">
        <v>2.74</v>
      </c>
      <c r="K44" s="12">
        <v>3.12</v>
      </c>
      <c r="L44" s="12">
        <v>2.5</v>
      </c>
      <c r="M44" s="12">
        <v>4.8899999999999997</v>
      </c>
      <c r="N44" s="12">
        <v>4.8899999999999997</v>
      </c>
      <c r="O44" s="13">
        <v>47681656</v>
      </c>
      <c r="P44" s="12">
        <v>86416284</v>
      </c>
      <c r="Q44" s="13">
        <v>4.34</v>
      </c>
      <c r="R44">
        <v>1.93</v>
      </c>
      <c r="S44" s="14"/>
      <c r="T44" s="13">
        <v>1868143</v>
      </c>
      <c r="U44" s="13"/>
      <c r="V44" t="s">
        <v>44</v>
      </c>
      <c r="W44">
        <v>1</v>
      </c>
      <c r="X44">
        <v>2</v>
      </c>
      <c r="Y44">
        <v>2.96</v>
      </c>
      <c r="Z44">
        <v>40</v>
      </c>
      <c r="AA44" s="15">
        <f>Table13[[#This Row],[Time until ideal entry + 390 (6:30)]]/(1440)</f>
        <v>0.2722222222222222</v>
      </c>
      <c r="AB44" s="18">
        <f t="shared" si="4"/>
        <v>2.1874999999999996</v>
      </c>
      <c r="AC44" s="18">
        <f>IF(Table13[[#This Row],[HOD AFTER PM HI]]&gt;=Table13[[#This Row],[PM Hi]],((Table13[[#This Row],[HOD AFTER PM HI]]-Table13[[#This Row],[Prior day close]])/Table13[[#This Row],[Prior day close]]),Table13[[#This Row],[Prior Close to PM Hi %]])</f>
        <v>3.3660714285714279</v>
      </c>
      <c r="AD44" s="18">
        <f>(Table13[[#This Row],[Price at hi of squeeze]]-Table13[[#This Row],[MKT Open Price]])/Table13[[#This Row],[MKT Open Price]]</f>
        <v>0.78467153284671509</v>
      </c>
      <c r="AE44" s="18">
        <f>(Table13[[#This Row],[Price at hi of squeeze]]-Table13[[#This Row],[PM Hi]])/Table13[[#This Row],[PM Hi]]</f>
        <v>0.36974789915966383</v>
      </c>
      <c r="AF44" s="18">
        <f t="shared" si="5"/>
        <v>0.95599999999999985</v>
      </c>
      <c r="AG44" s="20">
        <f>Table13[[#This Row],[PM VOL]]/1000000/Table13[[#This Row],[FLOAT(M)]]</f>
        <v>0.96794974093264252</v>
      </c>
      <c r="AH44" s="21">
        <f>(Table13[[#This Row],[Volume]]/1000000)/Table13[[#This Row],[FLOAT(M)]]</f>
        <v>24.705521243523314</v>
      </c>
      <c r="AI44" s="18">
        <f>(Table13[[#This Row],[Hi of Spike after open before drop]]-Table13[[#This Row],[MKT Open Price]])/Table13[[#This Row],[MKT Open Price]]</f>
        <v>0.13868613138686126</v>
      </c>
      <c r="AJ44" s="18">
        <f>(Table13[[#This Row],[PM Hi]]-Table13[[#This Row],[MKT Open Price]])/(Table13[[#This Row],[PM Hi]])</f>
        <v>0.23249299719887945</v>
      </c>
      <c r="AK44" s="16">
        <f>IF(Table13[[#This Row],[PM LO]]&gt;Table13[[#This Row],[Prior day close]],(Table13[[#This Row],[PM Hi]]-Table13[[#This Row],[MKT Open Price]])/(Table13[[#This Row],[PM Hi]]-Table13[[#This Row],[Prior day close]]),(Table13[[#This Row],[PM Hi]]-Table13[[#This Row],[MKT Open Price]])/(Table13[[#This Row],[PM Hi]]-Table13[[#This Row],[PM LO]]))</f>
        <v>0.33877551020408153</v>
      </c>
      <c r="AL44" s="16">
        <f>IF(Table13[[#This Row],[Prior day close]]&lt;Table13[[#This Row],[PM LO]],(J44-L44)/(J44-Table13[[#This Row],[Prior day close]]),(J44-L44)/(J44-Table13[[#This Row],[PM LO]]))</f>
        <v>0.14814814814814828</v>
      </c>
      <c r="AM44" s="16">
        <f>Table13[[#This Row],[Spike % on open before drop]]+AN44</f>
        <v>0.22627737226277372</v>
      </c>
      <c r="AN44" s="16">
        <f t="shared" si="3"/>
        <v>8.7591240875912482E-2</v>
      </c>
      <c r="AO44" s="18">
        <f>IF($K44&gt;=$G44,($K44-$L44)/($K44),(IF($I44&lt;=$L44,($G44-$I44)/($G44),(Table13[[#This Row],[PM Hi]]-Table13[[#This Row],[Lowest lo from open to squeeze]])/(Table13[[#This Row],[PM Hi]]))))</f>
        <v>0.35574229691876752</v>
      </c>
      <c r="AP44" s="18">
        <f>IF(Table13[[#This Row],[Prior day close]]&lt;=Table13[[#This Row],[PM LO]],IF($K44&gt;=$G44,($K44-$L44)/($K44-Table13[[#This Row],[Prior day close]]),(IF($I44&lt;=$L44,($G44-$I44)/($G44-Table13[[#This Row],[Prior day close]]),(Table13[[#This Row],[PM Hi]]-Table13[[#This Row],[Lowest lo from open to squeeze]])/(Table13[[#This Row],[PM Hi]]-Table13[[#This Row],[Prior day close]])))),IF($K44&gt;=$G44,($K44-$L44)/($K44-Table13[[#This Row],[PM LO]]),(IF($I44&lt;=$L44,($G44-$I44)/($G44-Table13[[#This Row],[PM LO]]),(Table13[[#This Row],[PM Hi]]-Table13[[#This Row],[Lowest lo from open to squeeze]])/(Table13[[#This Row],[PM Hi]]-Table13[[#This Row],[PM LO]])))))</f>
        <v>0.51836734693877562</v>
      </c>
      <c r="AQ44" s="18">
        <f>IF(K44&gt;=G44,(K44-L44)/(K44-E44),(IF(I44&lt;=L44,(G44-I44)/(G44-E44),(Table13[[#This Row],[PM Hi]]-Table13[[#This Row],[Lowest lo from open to squeeze]])/(Table13[[#This Row],[PM Hi]]-Table13[[#This Row],[Prior day close]]))))</f>
        <v>0.51836734693877562</v>
      </c>
      <c r="AR44" s="17">
        <f>390+Table13[[#This Row],[Time until ideal entry point (mins) from open]]</f>
        <v>392</v>
      </c>
      <c r="AS44" s="51">
        <f>(Table13[[#This Row],[Time until ideal entry + 390 (6:30)]]+Table13[[#This Row],[Duration of frontside (mins)]])/1440</f>
        <v>0.3</v>
      </c>
    </row>
    <row r="45" spans="1:45" x14ac:dyDescent="0.25">
      <c r="A45" s="10" t="s">
        <v>97</v>
      </c>
      <c r="B45" s="44">
        <v>44004</v>
      </c>
      <c r="C45" s="47" t="s">
        <v>78</v>
      </c>
      <c r="E45" s="12">
        <v>2.39</v>
      </c>
      <c r="F45" s="13">
        <v>2.4900000000000002</v>
      </c>
      <c r="G45" s="12">
        <v>2.96</v>
      </c>
      <c r="H45" s="12">
        <v>2.39</v>
      </c>
      <c r="I45" s="12">
        <v>2.66</v>
      </c>
      <c r="J45" s="12">
        <v>2.81</v>
      </c>
      <c r="K45" s="12">
        <v>2.87</v>
      </c>
      <c r="L45" s="12">
        <v>2.6</v>
      </c>
      <c r="M45" s="12">
        <v>3.98</v>
      </c>
      <c r="N45" s="12">
        <v>3.98</v>
      </c>
      <c r="O45" s="13">
        <v>341002784</v>
      </c>
      <c r="P45" s="12">
        <v>1120194145</v>
      </c>
      <c r="Q45" s="13">
        <v>345.01</v>
      </c>
      <c r="R45">
        <v>128.32</v>
      </c>
      <c r="S45" s="14"/>
      <c r="T45" s="13">
        <v>9079049</v>
      </c>
      <c r="U45" s="13"/>
      <c r="V45" t="s">
        <v>42</v>
      </c>
      <c r="W45">
        <v>2</v>
      </c>
      <c r="X45">
        <v>3</v>
      </c>
      <c r="Y45">
        <v>2.73</v>
      </c>
      <c r="Z45">
        <v>34</v>
      </c>
      <c r="AA45" s="15">
        <f>Table13[[#This Row],[Time until ideal entry + 390 (6:30)]]/(1440)</f>
        <v>0.27291666666666664</v>
      </c>
      <c r="AB45" s="18">
        <f t="shared" si="4"/>
        <v>0.23849372384937231</v>
      </c>
      <c r="AC45" s="18">
        <f>IF(Table13[[#This Row],[HOD AFTER PM HI]]&gt;=Table13[[#This Row],[PM Hi]],((Table13[[#This Row],[HOD AFTER PM HI]]-Table13[[#This Row],[Prior day close]])/Table13[[#This Row],[Prior day close]]),Table13[[#This Row],[Prior Close to PM Hi %]])</f>
        <v>0.66527196652719656</v>
      </c>
      <c r="AD45" s="18">
        <f>(Table13[[#This Row],[Price at hi of squeeze]]-Table13[[#This Row],[MKT Open Price]])/Table13[[#This Row],[MKT Open Price]]</f>
        <v>0.41637010676156583</v>
      </c>
      <c r="AE45" s="18">
        <f>(Table13[[#This Row],[Price at hi of squeeze]]-Table13[[#This Row],[PM Hi]])/Table13[[#This Row],[PM Hi]]</f>
        <v>0.34459459459459463</v>
      </c>
      <c r="AF45" s="18">
        <f t="shared" si="5"/>
        <v>0.53076923076923066</v>
      </c>
      <c r="AG45" s="20">
        <f>Table13[[#This Row],[PM VOL]]/1000000/Table13[[#This Row],[FLOAT(M)]]</f>
        <v>7.0753187344139656E-2</v>
      </c>
      <c r="AH45" s="21">
        <f>(Table13[[#This Row],[Volume]]/1000000)/Table13[[#This Row],[FLOAT(M)]]</f>
        <v>2.6574406483790525</v>
      </c>
      <c r="AI45" s="18">
        <f>(Table13[[#This Row],[Hi of Spike after open before drop]]-Table13[[#This Row],[MKT Open Price]])/Table13[[#This Row],[MKT Open Price]]</f>
        <v>2.1352313167259804E-2</v>
      </c>
      <c r="AJ45" s="18">
        <f>(Table13[[#This Row],[PM Hi]]-Table13[[#This Row],[MKT Open Price]])/(Table13[[#This Row],[PM Hi]])</f>
        <v>5.0675675675675644E-2</v>
      </c>
      <c r="AK45" s="16">
        <f>IF(Table13[[#This Row],[PM LO]]&gt;Table13[[#This Row],[Prior day close]],(Table13[[#This Row],[PM Hi]]-Table13[[#This Row],[MKT Open Price]])/(Table13[[#This Row],[PM Hi]]-Table13[[#This Row],[Prior day close]]),(Table13[[#This Row],[PM Hi]]-Table13[[#This Row],[MKT Open Price]])/(Table13[[#This Row],[PM Hi]]-Table13[[#This Row],[PM LO]]))</f>
        <v>0.26315789473684204</v>
      </c>
      <c r="AL45" s="16">
        <f>IF(Table13[[#This Row],[Prior day close]]&lt;Table13[[#This Row],[PM LO]],(J45-L45)/(J45-Table13[[#This Row],[Prior day close]]),(J45-L45)/(J45-Table13[[#This Row],[PM LO]]))</f>
        <v>0.5</v>
      </c>
      <c r="AM45" s="16">
        <f>Table13[[#This Row],[Spike % on open before drop]]+AN45</f>
        <v>9.6085409252669035E-2</v>
      </c>
      <c r="AN45" s="16">
        <f t="shared" si="3"/>
        <v>7.4733096085409234E-2</v>
      </c>
      <c r="AO45" s="18">
        <f>IF($K45&gt;=$G45,($K45-$L45)/($K45),(IF($I45&lt;=$L45,($G45-$I45)/($G45),(Table13[[#This Row],[PM Hi]]-Table13[[#This Row],[Lowest lo from open to squeeze]])/(Table13[[#This Row],[PM Hi]]))))</f>
        <v>0.12162162162162159</v>
      </c>
      <c r="AP45" s="18">
        <f>IF(Table13[[#This Row],[Prior day close]]&lt;=Table13[[#This Row],[PM LO]],IF($K45&gt;=$G45,($K45-$L45)/($K45-Table13[[#This Row],[Prior day close]]),(IF($I45&lt;=$L45,($G45-$I45)/($G45-Table13[[#This Row],[Prior day close]]),(Table13[[#This Row],[PM Hi]]-Table13[[#This Row],[Lowest lo from open to squeeze]])/(Table13[[#This Row],[PM Hi]]-Table13[[#This Row],[Prior day close]])))),IF($K45&gt;=$G45,($K45-$L45)/($K45-Table13[[#This Row],[PM LO]]),(IF($I45&lt;=$L45,($G45-$I45)/($G45-Table13[[#This Row],[PM LO]]),(Table13[[#This Row],[PM Hi]]-Table13[[#This Row],[Lowest lo from open to squeeze]])/(Table13[[#This Row],[PM Hi]]-Table13[[#This Row],[PM LO]])))))</f>
        <v>0.63157894736842102</v>
      </c>
      <c r="AQ45" s="18">
        <f>IF(K45&gt;=G45,(K45-L45)/(K45-E45),(IF(I45&lt;=L45,(G45-I45)/(G45-E45),(Table13[[#This Row],[PM Hi]]-Table13[[#This Row],[Lowest lo from open to squeeze]])/(Table13[[#This Row],[PM Hi]]-Table13[[#This Row],[Prior day close]]))))</f>
        <v>0.63157894736842102</v>
      </c>
      <c r="AR45" s="17">
        <f>390+Table13[[#This Row],[Time until ideal entry point (mins) from open]]</f>
        <v>393</v>
      </c>
      <c r="AS45" s="51">
        <f>(Table13[[#This Row],[Time until ideal entry + 390 (6:30)]]+Table13[[#This Row],[Duration of frontside (mins)]])/1440</f>
        <v>0.29652777777777778</v>
      </c>
    </row>
    <row r="46" spans="1:45" x14ac:dyDescent="0.25">
      <c r="A46" s="10" t="s">
        <v>99</v>
      </c>
      <c r="B46" s="11">
        <v>44006</v>
      </c>
      <c r="C46" s="47" t="s">
        <v>78</v>
      </c>
      <c r="D46" t="s">
        <v>100</v>
      </c>
      <c r="E46" s="12">
        <v>1.43</v>
      </c>
      <c r="F46" s="13">
        <v>1.43</v>
      </c>
      <c r="G46" s="12">
        <v>1.69</v>
      </c>
      <c r="H46" s="12">
        <v>1.35</v>
      </c>
      <c r="I46" s="12">
        <v>1.53</v>
      </c>
      <c r="J46" s="12">
        <v>1.62</v>
      </c>
      <c r="K46" s="12">
        <v>1.68</v>
      </c>
      <c r="L46" s="12">
        <v>1.53</v>
      </c>
      <c r="M46" s="12">
        <v>2.57</v>
      </c>
      <c r="N46" s="12">
        <v>2.57</v>
      </c>
      <c r="O46" s="13">
        <v>133831031</v>
      </c>
      <c r="P46" s="12">
        <v>280010853</v>
      </c>
      <c r="Q46" s="13">
        <v>8.89</v>
      </c>
      <c r="R46" s="13">
        <v>10.3</v>
      </c>
      <c r="S46" s="13"/>
      <c r="T46" s="13">
        <v>1953230</v>
      </c>
      <c r="U46" s="13"/>
      <c r="V46" t="s">
        <v>44</v>
      </c>
      <c r="W46">
        <v>2</v>
      </c>
      <c r="X46">
        <v>3</v>
      </c>
      <c r="Y46">
        <v>1.61</v>
      </c>
      <c r="Z46">
        <v>37</v>
      </c>
      <c r="AA46" s="15">
        <f>Table13[[#This Row],[Time until ideal entry + 390 (6:30)]]/(1440)</f>
        <v>0.27291666666666664</v>
      </c>
      <c r="AB46" s="18">
        <f t="shared" si="4"/>
        <v>0.18181818181818182</v>
      </c>
      <c r="AC46" s="18">
        <f>IF(Table13[[#This Row],[HOD AFTER PM HI]]&gt;=Table13[[#This Row],[PM Hi]],((Table13[[#This Row],[HOD AFTER PM HI]]-Table13[[#This Row],[Prior day close]])/Table13[[#This Row],[Prior day close]]),Table13[[#This Row],[Prior Close to PM Hi %]])</f>
        <v>0.79720279720279719</v>
      </c>
      <c r="AD46" s="18">
        <f>(Table13[[#This Row],[Price at hi of squeeze]]-Table13[[#This Row],[MKT Open Price]])/Table13[[#This Row],[MKT Open Price]]</f>
        <v>0.58641975308641958</v>
      </c>
      <c r="AE46" s="18">
        <f>(Table13[[#This Row],[Price at hi of squeeze]]-Table13[[#This Row],[PM Hi]])/Table13[[#This Row],[PM Hi]]</f>
        <v>0.52071005917159763</v>
      </c>
      <c r="AF46" s="18">
        <f t="shared" si="5"/>
        <v>0.67973856209150318</v>
      </c>
      <c r="AG46" s="20">
        <f>Table13[[#This Row],[PM VOL]]/1000000/Table13[[#This Row],[FLOAT(M)]]</f>
        <v>0.18963398058252426</v>
      </c>
      <c r="AH46" s="23">
        <f>(Table13[[#This Row],[Volume]]/1000000)/Table13[[#This Row],[FLOAT(M)]]</f>
        <v>12.993303980582523</v>
      </c>
      <c r="AI46" s="18">
        <f>(Table13[[#This Row],[Hi of Spike after open before drop]]-Table13[[#This Row],[MKT Open Price]])/Table13[[#This Row],[MKT Open Price]]</f>
        <v>3.7037037037036931E-2</v>
      </c>
      <c r="AJ46" s="18">
        <f>(Table13[[#This Row],[PM Hi]]-Table13[[#This Row],[MKT Open Price]])/(Table13[[#This Row],[PM Hi]])</f>
        <v>4.1420118343195172E-2</v>
      </c>
      <c r="AK46" s="16">
        <f>IF(Table13[[#This Row],[PM LO]]&gt;Table13[[#This Row],[Prior day close]],(Table13[[#This Row],[PM Hi]]-Table13[[#This Row],[MKT Open Price]])/(Table13[[#This Row],[PM Hi]]-Table13[[#This Row],[Prior day close]]),(Table13[[#This Row],[PM Hi]]-Table13[[#This Row],[MKT Open Price]])/(Table13[[#This Row],[PM Hi]]-Table13[[#This Row],[PM LO]]))</f>
        <v>0.2058823529411761</v>
      </c>
      <c r="AL46" s="16">
        <f>IF(Table13[[#This Row],[Prior day close]]&lt;Table13[[#This Row],[PM LO]],(J46-L46)/(J46-Table13[[#This Row],[Prior day close]]),(J46-L46)/(J46-Table13[[#This Row],[PM LO]]))</f>
        <v>0.33333333333333359</v>
      </c>
      <c r="AM46" s="16">
        <f>Table13[[#This Row],[Spike % on open before drop]]+AN46</f>
        <v>9.2592592592592532E-2</v>
      </c>
      <c r="AN46" s="16">
        <f t="shared" si="3"/>
        <v>5.5555555555555601E-2</v>
      </c>
      <c r="AO46" s="18">
        <f>IF($K46&gt;=$G46,($K46-$L46)/($K46),(IF($I46&lt;=$L46,($G46-$I46)/($G46),(Table13[[#This Row],[PM Hi]]-Table13[[#This Row],[Lowest lo from open to squeeze]])/(Table13[[#This Row],[PM Hi]]))))</f>
        <v>9.4674556213017708E-2</v>
      </c>
      <c r="AP46" s="18">
        <f>IF(Table13[[#This Row],[Prior day close]]&lt;=Table13[[#This Row],[PM LO]],IF($K46&gt;=$G46,($K46-$L46)/($K46-Table13[[#This Row],[Prior day close]]),(IF($I46&lt;=$L46,($G46-$I46)/($G46-Table13[[#This Row],[Prior day close]]),(Table13[[#This Row],[PM Hi]]-Table13[[#This Row],[Lowest lo from open to squeeze]])/(Table13[[#This Row],[PM Hi]]-Table13[[#This Row],[Prior day close]])))),IF($K46&gt;=$G46,($K46-$L46)/($K46-Table13[[#This Row],[PM LO]]),(IF($I46&lt;=$L46,($G46-$I46)/($G46-Table13[[#This Row],[PM LO]]),(Table13[[#This Row],[PM Hi]]-Table13[[#This Row],[Lowest lo from open to squeeze]])/(Table13[[#This Row],[PM Hi]]-Table13[[#This Row],[PM LO]])))))</f>
        <v>0.47058823529411759</v>
      </c>
      <c r="AQ46" s="18">
        <f>IF(K46&gt;=G46,(K46-L46)/(K46-E46),(IF(I46&lt;=L46,(G46-I46)/(G46-E46),(Table13[[#This Row],[PM Hi]]-Table13[[#This Row],[Lowest lo from open to squeeze]])/(Table13[[#This Row],[PM Hi]]-Table13[[#This Row],[Prior day close]]))))</f>
        <v>0.61538461538461509</v>
      </c>
      <c r="AR46" s="17">
        <f>390+Table13[[#This Row],[Time until ideal entry point (mins) from open]]</f>
        <v>393</v>
      </c>
      <c r="AS46" s="51">
        <f>(Table13[[#This Row],[Time until ideal entry + 390 (6:30)]]+Table13[[#This Row],[Duration of frontside (mins)]])/1440</f>
        <v>0.2986111111111111</v>
      </c>
    </row>
    <row r="47" spans="1:45" x14ac:dyDescent="0.25">
      <c r="A47" s="10" t="s">
        <v>98</v>
      </c>
      <c r="B47" s="11">
        <v>44006</v>
      </c>
      <c r="C47" s="47" t="s">
        <v>78</v>
      </c>
      <c r="E47" s="12">
        <v>1.29</v>
      </c>
      <c r="F47" s="13">
        <v>1.29</v>
      </c>
      <c r="G47" s="12">
        <v>1.71</v>
      </c>
      <c r="H47" s="12">
        <v>1.1499999999999999</v>
      </c>
      <c r="I47" s="12">
        <v>1.48</v>
      </c>
      <c r="J47" s="12">
        <v>1.56</v>
      </c>
      <c r="K47" s="12">
        <v>1.64</v>
      </c>
      <c r="L47" s="12">
        <v>1.38</v>
      </c>
      <c r="M47" s="12">
        <v>2.4900000000000002</v>
      </c>
      <c r="N47" s="12">
        <v>2.4900000000000002</v>
      </c>
      <c r="O47" s="13">
        <v>266520566</v>
      </c>
      <c r="P47" s="12">
        <v>460682388</v>
      </c>
      <c r="Q47" s="13">
        <v>176</v>
      </c>
      <c r="R47">
        <v>141.80000000000001</v>
      </c>
      <c r="S47" s="14"/>
      <c r="T47" s="13">
        <v>6163104</v>
      </c>
      <c r="U47" s="13"/>
      <c r="V47" t="s">
        <v>44</v>
      </c>
      <c r="W47">
        <v>20</v>
      </c>
      <c r="X47">
        <v>21</v>
      </c>
      <c r="Y47">
        <v>1.4</v>
      </c>
      <c r="Z47">
        <v>43</v>
      </c>
      <c r="AA47" s="15">
        <f>Table13[[#This Row],[Time until ideal entry + 390 (6:30)]]/(1440)</f>
        <v>0.28541666666666665</v>
      </c>
      <c r="AB47" s="18">
        <f t="shared" si="4"/>
        <v>0.32558139534883712</v>
      </c>
      <c r="AC47" s="18">
        <f>IF(Table13[[#This Row],[HOD AFTER PM HI]]&gt;=Table13[[#This Row],[PM Hi]],((Table13[[#This Row],[HOD AFTER PM HI]]-Table13[[#This Row],[Prior day close]])/Table13[[#This Row],[Prior day close]]),Table13[[#This Row],[Prior Close to PM Hi %]])</f>
        <v>0.93023255813953498</v>
      </c>
      <c r="AD47" s="18">
        <f>(Table13[[#This Row],[Price at hi of squeeze]]-Table13[[#This Row],[MKT Open Price]])/Table13[[#This Row],[MKT Open Price]]</f>
        <v>0.59615384615384626</v>
      </c>
      <c r="AE47" s="18">
        <f>(Table13[[#This Row],[Price at hi of squeeze]]-Table13[[#This Row],[PM Hi]])/Table13[[#This Row],[PM Hi]]</f>
        <v>0.45614035087719312</v>
      </c>
      <c r="AF47" s="18">
        <f t="shared" si="5"/>
        <v>0.80434782608695676</v>
      </c>
      <c r="AG47" s="20">
        <f>Table13[[#This Row],[PM VOL]]/1000000/Table13[[#This Row],[FLOAT(M)]]</f>
        <v>4.3463356840620589E-2</v>
      </c>
      <c r="AH47" s="21">
        <f>(Table13[[#This Row],[Volume]]/1000000)/Table13[[#This Row],[FLOAT(M)]]</f>
        <v>1.8795526516220025</v>
      </c>
      <c r="AI47" s="18">
        <f>(Table13[[#This Row],[Hi of Spike after open before drop]]-Table13[[#This Row],[MKT Open Price]])/Table13[[#This Row],[MKT Open Price]]</f>
        <v>5.1282051282051183E-2</v>
      </c>
      <c r="AJ47" s="18">
        <f>(Table13[[#This Row],[PM Hi]]-Table13[[#This Row],[MKT Open Price]])/(Table13[[#This Row],[PM Hi]])</f>
        <v>8.7719298245613989E-2</v>
      </c>
      <c r="AK47" s="16">
        <f>IF(Table13[[#This Row],[PM LO]]&gt;Table13[[#This Row],[Prior day close]],(Table13[[#This Row],[PM Hi]]-Table13[[#This Row],[MKT Open Price]])/(Table13[[#This Row],[PM Hi]]-Table13[[#This Row],[Prior day close]]),(Table13[[#This Row],[PM Hi]]-Table13[[#This Row],[MKT Open Price]])/(Table13[[#This Row],[PM Hi]]-Table13[[#This Row],[PM LO]]))</f>
        <v>0.26785714285714268</v>
      </c>
      <c r="AL47" s="16">
        <f>IF(Table13[[#This Row],[Prior day close]]&lt;Table13[[#This Row],[PM LO]],(J47-L47)/(J47-Table13[[#This Row],[Prior day close]]),(J47-L47)/(J47-Table13[[#This Row],[PM LO]]))</f>
        <v>0.43902439024390266</v>
      </c>
      <c r="AM47" s="16">
        <f>Table13[[#This Row],[Spike % on open before drop]]+AN47</f>
        <v>0.16666666666666669</v>
      </c>
      <c r="AN47" s="16">
        <f t="shared" si="3"/>
        <v>0.11538461538461549</v>
      </c>
      <c r="AO47" s="18">
        <f>IF($K47&gt;=$G47,($K47-$L47)/($K47),(IF($I47&lt;=$L47,($G47-$I47)/($G47),(Table13[[#This Row],[PM Hi]]-Table13[[#This Row],[Lowest lo from open to squeeze]])/(Table13[[#This Row],[PM Hi]]))))</f>
        <v>0.19298245614035092</v>
      </c>
      <c r="AP47" s="18">
        <f>IF(Table13[[#This Row],[Prior day close]]&lt;=Table13[[#This Row],[PM LO]],IF($K47&gt;=$G47,($K47-$L47)/($K47-Table13[[#This Row],[Prior day close]]),(IF($I47&lt;=$L47,($G47-$I47)/($G47-Table13[[#This Row],[Prior day close]]),(Table13[[#This Row],[PM Hi]]-Table13[[#This Row],[Lowest lo from open to squeeze]])/(Table13[[#This Row],[PM Hi]]-Table13[[#This Row],[Prior day close]])))),IF($K47&gt;=$G47,($K47-$L47)/($K47-Table13[[#This Row],[PM LO]]),(IF($I47&lt;=$L47,($G47-$I47)/($G47-Table13[[#This Row],[PM LO]]),(Table13[[#This Row],[PM Hi]]-Table13[[#This Row],[Lowest lo from open to squeeze]])/(Table13[[#This Row],[PM Hi]]-Table13[[#This Row],[PM LO]])))))</f>
        <v>0.5892857142857143</v>
      </c>
      <c r="AQ47" s="18">
        <f>IF(K47&gt;=G47,(K47-L47)/(K47-E47),(IF(I47&lt;=L47,(G47-I47)/(G47-E47),(Table13[[#This Row],[PM Hi]]-Table13[[#This Row],[Lowest lo from open to squeeze]])/(Table13[[#This Row],[PM Hi]]-Table13[[#This Row],[Prior day close]]))))</f>
        <v>0.78571428571428603</v>
      </c>
      <c r="AR47" s="17">
        <f>390+Table13[[#This Row],[Time until ideal entry point (mins) from open]]</f>
        <v>411</v>
      </c>
      <c r="AS47" s="51">
        <f>(Table13[[#This Row],[Time until ideal entry + 390 (6:30)]]+Table13[[#This Row],[Duration of frontside (mins)]])/1440</f>
        <v>0.31527777777777777</v>
      </c>
    </row>
    <row r="48" spans="1:45" x14ac:dyDescent="0.25">
      <c r="A48" s="10" t="s">
        <v>101</v>
      </c>
      <c r="B48" s="11">
        <v>44007</v>
      </c>
      <c r="C48" s="47" t="s">
        <v>78</v>
      </c>
      <c r="E48" s="12">
        <v>3.15</v>
      </c>
      <c r="F48" s="13">
        <v>3.06</v>
      </c>
      <c r="G48" s="12">
        <v>5.95</v>
      </c>
      <c r="H48" s="12">
        <v>3</v>
      </c>
      <c r="I48" s="12">
        <v>5.27</v>
      </c>
      <c r="J48" s="12">
        <v>5.55</v>
      </c>
      <c r="K48" s="12">
        <v>6.9</v>
      </c>
      <c r="L48" s="12">
        <v>5.0599999999999996</v>
      </c>
      <c r="M48" s="12">
        <v>8.76</v>
      </c>
      <c r="N48" s="12">
        <v>8.76</v>
      </c>
      <c r="O48" s="13">
        <v>119673198</v>
      </c>
      <c r="P48" s="12">
        <v>873284391</v>
      </c>
      <c r="Q48" s="13">
        <v>23.56</v>
      </c>
      <c r="R48">
        <v>4.59</v>
      </c>
      <c r="S48" s="14"/>
      <c r="T48" s="13">
        <v>8440043</v>
      </c>
      <c r="U48" s="13"/>
      <c r="V48" t="s">
        <v>44</v>
      </c>
      <c r="W48">
        <v>63</v>
      </c>
      <c r="X48">
        <v>64</v>
      </c>
      <c r="Y48">
        <v>5.14</v>
      </c>
      <c r="Z48">
        <v>76</v>
      </c>
      <c r="AA48" s="15">
        <f>Table13[[#This Row],[Time until ideal entry + 390 (6:30)]]/(1440)</f>
        <v>0.31527777777777777</v>
      </c>
      <c r="AB48" s="18">
        <f t="shared" si="4"/>
        <v>0.88888888888888895</v>
      </c>
      <c r="AC48" s="18">
        <f>IF(Table13[[#This Row],[HOD AFTER PM HI]]&gt;=Table13[[#This Row],[PM Hi]],((Table13[[#This Row],[HOD AFTER PM HI]]-Table13[[#This Row],[Prior day close]])/Table13[[#This Row],[Prior day close]]),Table13[[#This Row],[Prior Close to PM Hi %]])</f>
        <v>1.7809523809523808</v>
      </c>
      <c r="AD48" s="18">
        <f>(Table13[[#This Row],[Price at hi of squeeze]]-Table13[[#This Row],[MKT Open Price]])/Table13[[#This Row],[MKT Open Price]]</f>
        <v>0.57837837837837835</v>
      </c>
      <c r="AE48" s="18">
        <f>(Table13[[#This Row],[Price at hi of squeeze]]-Table13[[#This Row],[PM Hi]])/Table13[[#This Row],[PM Hi]]</f>
        <v>0.47226890756302514</v>
      </c>
      <c r="AF48" s="18">
        <f t="shared" si="5"/>
        <v>0.73122529644268786</v>
      </c>
      <c r="AG48" s="20">
        <f>Table13[[#This Row],[PM VOL]]/1000000/Table13[[#This Row],[FLOAT(M)]]</f>
        <v>1.8387893246187363</v>
      </c>
      <c r="AH48" s="21">
        <f>(Table13[[#This Row],[Volume]]/1000000)/Table13[[#This Row],[FLOAT(M)]]</f>
        <v>26.072592156862747</v>
      </c>
      <c r="AI48" s="18">
        <f>(Table13[[#This Row],[Hi of Spike after open before drop]]-Table13[[#This Row],[MKT Open Price]])/Table13[[#This Row],[MKT Open Price]]</f>
        <v>0.24324324324324334</v>
      </c>
      <c r="AJ48" s="18">
        <f>(Table13[[#This Row],[PM Hi]]-Table13[[#This Row],[MKT Open Price]])/(Table13[[#This Row],[PM Hi]])</f>
        <v>6.7226890756302574E-2</v>
      </c>
      <c r="AK48" s="16">
        <f>IF(Table13[[#This Row],[PM LO]]&gt;Table13[[#This Row],[Prior day close]],(Table13[[#This Row],[PM Hi]]-Table13[[#This Row],[MKT Open Price]])/(Table13[[#This Row],[PM Hi]]-Table13[[#This Row],[Prior day close]]),(Table13[[#This Row],[PM Hi]]-Table13[[#This Row],[MKT Open Price]])/(Table13[[#This Row],[PM Hi]]-Table13[[#This Row],[PM LO]]))</f>
        <v>0.13559322033898316</v>
      </c>
      <c r="AL48" s="16">
        <f>IF(Table13[[#This Row],[Prior day close]]&lt;Table13[[#This Row],[PM LO]],(J48-L48)/(J48-Table13[[#This Row],[Prior day close]]),(J48-L48)/(J48-Table13[[#This Row],[PM LO]]))</f>
        <v>0.19215686274509813</v>
      </c>
      <c r="AM48" s="16">
        <f>Table13[[#This Row],[Spike % on open before drop]]+AN48</f>
        <v>0.3315315315315317</v>
      </c>
      <c r="AN48" s="16">
        <f t="shared" si="3"/>
        <v>8.828828828828833E-2</v>
      </c>
      <c r="AO48" s="18">
        <f>IF($K48&gt;=$G48,($K48-$L48)/($K48),(IF($I48&lt;=$L48,($G48-$I48)/($G48),(Table13[[#This Row],[PM Hi]]-Table13[[#This Row],[Lowest lo from open to squeeze]])/(Table13[[#This Row],[PM Hi]]))))</f>
        <v>0.26666666666666677</v>
      </c>
      <c r="AP48" s="18">
        <f>IF(Table13[[#This Row],[Prior day close]]&lt;=Table13[[#This Row],[PM LO]],IF($K48&gt;=$G48,($K48-$L48)/($K48-Table13[[#This Row],[Prior day close]]),(IF($I48&lt;=$L48,($G48-$I48)/($G48-Table13[[#This Row],[Prior day close]]),(Table13[[#This Row],[PM Hi]]-Table13[[#This Row],[Lowest lo from open to squeeze]])/(Table13[[#This Row],[PM Hi]]-Table13[[#This Row],[Prior day close]])))),IF($K48&gt;=$G48,($K48-$L48)/($K48-Table13[[#This Row],[PM LO]]),(IF($I48&lt;=$L48,($G48-$I48)/($G48-Table13[[#This Row],[PM LO]]),(Table13[[#This Row],[PM Hi]]-Table13[[#This Row],[Lowest lo from open to squeeze]])/(Table13[[#This Row],[PM Hi]]-Table13[[#This Row],[PM LO]])))))</f>
        <v>0.47179487179487195</v>
      </c>
      <c r="AQ48" s="18">
        <f>IF(K48&gt;=G48,(K48-L48)/(K48-E48),(IF(I48&lt;=L48,(G48-I48)/(G48-E48),(Table13[[#This Row],[PM Hi]]-Table13[[#This Row],[Lowest lo from open to squeeze]])/(Table13[[#This Row],[PM Hi]]-Table13[[#This Row],[Prior day close]]))))</f>
        <v>0.49066666666666681</v>
      </c>
      <c r="AR48" s="17">
        <f>390+Table13[[#This Row],[Time until ideal entry point (mins) from open]]</f>
        <v>454</v>
      </c>
      <c r="AS48" s="51">
        <f>(Table13[[#This Row],[Time until ideal entry + 390 (6:30)]]+Table13[[#This Row],[Duration of frontside (mins)]])/1440</f>
        <v>0.36805555555555558</v>
      </c>
    </row>
    <row r="49" spans="1:45" x14ac:dyDescent="0.25">
      <c r="A49" s="10" t="s">
        <v>102</v>
      </c>
      <c r="B49" s="11">
        <v>44011</v>
      </c>
      <c r="C49" s="47" t="s">
        <v>78</v>
      </c>
      <c r="E49" s="12">
        <v>9.9499999999999993</v>
      </c>
      <c r="F49" s="13">
        <v>10.220000000000001</v>
      </c>
      <c r="G49" s="12">
        <v>12.6</v>
      </c>
      <c r="H49" s="12">
        <v>10.220000000000001</v>
      </c>
      <c r="I49" s="12">
        <v>11.5</v>
      </c>
      <c r="J49" s="12">
        <v>12.2</v>
      </c>
      <c r="K49" s="12">
        <v>12.4</v>
      </c>
      <c r="L49" s="12">
        <v>11</v>
      </c>
      <c r="M49" s="12">
        <v>15.41</v>
      </c>
      <c r="N49" s="12">
        <v>15.2</v>
      </c>
      <c r="O49" s="13">
        <v>126119302</v>
      </c>
      <c r="P49" s="12">
        <v>1745688832</v>
      </c>
      <c r="Q49" s="13">
        <v>559.29</v>
      </c>
      <c r="R49">
        <v>55.45</v>
      </c>
      <c r="S49" s="14"/>
      <c r="T49" s="13">
        <v>2996888</v>
      </c>
      <c r="U49" s="13"/>
      <c r="V49" t="s">
        <v>44</v>
      </c>
      <c r="W49">
        <v>2</v>
      </c>
      <c r="X49">
        <v>3</v>
      </c>
      <c r="Y49">
        <v>11.58</v>
      </c>
      <c r="Z49">
        <v>94</v>
      </c>
      <c r="AA49" s="15">
        <f>Table13[[#This Row],[Time until ideal entry + 390 (6:30)]]/(1440)</f>
        <v>0.27291666666666664</v>
      </c>
      <c r="AB49" s="18">
        <f t="shared" si="4"/>
        <v>0.26633165829145733</v>
      </c>
      <c r="AC49" s="18">
        <f>IF(Table13[[#This Row],[HOD AFTER PM HI]]&gt;=Table13[[#This Row],[PM Hi]],((Table13[[#This Row],[HOD AFTER PM HI]]-Table13[[#This Row],[Prior day close]])/Table13[[#This Row],[Prior day close]]),Table13[[#This Row],[Prior Close to PM Hi %]])</f>
        <v>0.548743718592965</v>
      </c>
      <c r="AD49" s="18">
        <f>(Table13[[#This Row],[Price at hi of squeeze]]-Table13[[#This Row],[MKT Open Price]])/Table13[[#This Row],[MKT Open Price]]</f>
        <v>0.24590163934426232</v>
      </c>
      <c r="AE49" s="18">
        <f>(Table13[[#This Row],[Price at hi of squeeze]]-Table13[[#This Row],[PM Hi]])/Table13[[#This Row],[PM Hi]]</f>
        <v>0.20634920634920634</v>
      </c>
      <c r="AF49" s="18">
        <f t="shared" si="5"/>
        <v>0.38181818181818178</v>
      </c>
      <c r="AG49" s="20">
        <f>Table13[[#This Row],[PM VOL]]/1000000/Table13[[#This Row],[FLOAT(M)]]</f>
        <v>5.4046672678088367E-2</v>
      </c>
      <c r="AH49" s="21">
        <f>(Table13[[#This Row],[Volume]]/1000000)/Table13[[#This Row],[FLOAT(M)]]</f>
        <v>2.2744689269612262</v>
      </c>
      <c r="AI49" s="18">
        <f>(Table13[[#This Row],[Hi of Spike after open before drop]]-Table13[[#This Row],[MKT Open Price]])/Table13[[#This Row],[MKT Open Price]]</f>
        <v>1.6393442622950907E-2</v>
      </c>
      <c r="AJ49" s="18">
        <f>(Table13[[#This Row],[PM Hi]]-Table13[[#This Row],[MKT Open Price]])/(Table13[[#This Row],[PM Hi]])</f>
        <v>3.1746031746031772E-2</v>
      </c>
      <c r="AK49" s="16">
        <f>IF(Table13[[#This Row],[PM LO]]&gt;Table13[[#This Row],[Prior day close]],(Table13[[#This Row],[PM Hi]]-Table13[[#This Row],[MKT Open Price]])/(Table13[[#This Row],[PM Hi]]-Table13[[#This Row],[Prior day close]]),(Table13[[#This Row],[PM Hi]]-Table13[[#This Row],[MKT Open Price]])/(Table13[[#This Row],[PM Hi]]-Table13[[#This Row],[PM LO]]))</f>
        <v>0.1509433962264152</v>
      </c>
      <c r="AL49" s="16">
        <f>IF(Table13[[#This Row],[Prior day close]]&lt;Table13[[#This Row],[PM LO]],(J49-L49)/(J49-Table13[[#This Row],[Prior day close]]),(J49-L49)/(J49-Table13[[#This Row],[PM LO]]))</f>
        <v>0.53333333333333299</v>
      </c>
      <c r="AM49" s="16">
        <f>Table13[[#This Row],[Spike % on open before drop]]+AN49</f>
        <v>0.11475409836065577</v>
      </c>
      <c r="AN49" s="16">
        <f t="shared" si="3"/>
        <v>9.8360655737704861E-2</v>
      </c>
      <c r="AO49" s="18">
        <f>IF($K49&gt;=$G49,($K49-$L49)/($K49),(IF($I49&lt;=$L49,($G49-$I49)/($G49),(Table13[[#This Row],[PM Hi]]-Table13[[#This Row],[Lowest lo from open to squeeze]])/(Table13[[#This Row],[PM Hi]]))))</f>
        <v>0.12698412698412695</v>
      </c>
      <c r="AP49" s="18">
        <f>IF(Table13[[#This Row],[Prior day close]]&lt;=Table13[[#This Row],[PM LO]],IF($K49&gt;=$G49,($K49-$L49)/($K49-Table13[[#This Row],[Prior day close]]),(IF($I49&lt;=$L49,($G49-$I49)/($G49-Table13[[#This Row],[Prior day close]]),(Table13[[#This Row],[PM Hi]]-Table13[[#This Row],[Lowest lo from open to squeeze]])/(Table13[[#This Row],[PM Hi]]-Table13[[#This Row],[Prior day close]])))),IF($K49&gt;=$G49,($K49-$L49)/($K49-Table13[[#This Row],[PM LO]]),(IF($I49&lt;=$L49,($G49-$I49)/($G49-Table13[[#This Row],[PM LO]]),(Table13[[#This Row],[PM Hi]]-Table13[[#This Row],[Lowest lo from open to squeeze]])/(Table13[[#This Row],[PM Hi]]-Table13[[#This Row],[PM LO]])))))</f>
        <v>0.60377358490566013</v>
      </c>
      <c r="AQ49" s="18">
        <f>IF(K49&gt;=G49,(K49-L49)/(K49-E49),(IF(I49&lt;=L49,(G49-I49)/(G49-E49),(Table13[[#This Row],[PM Hi]]-Table13[[#This Row],[Lowest lo from open to squeeze]])/(Table13[[#This Row],[PM Hi]]-Table13[[#This Row],[Prior day close]]))))</f>
        <v>0.60377358490566013</v>
      </c>
      <c r="AR49" s="17">
        <f>390+Table13[[#This Row],[Time until ideal entry point (mins) from open]]</f>
        <v>393</v>
      </c>
      <c r="AS49" s="51">
        <f>(Table13[[#This Row],[Time until ideal entry + 390 (6:30)]]+Table13[[#This Row],[Duration of frontside (mins)]])/1440</f>
        <v>0.33819444444444446</v>
      </c>
    </row>
    <row r="50" spans="1:45" x14ac:dyDescent="0.25">
      <c r="A50" s="10" t="s">
        <v>103</v>
      </c>
      <c r="B50" s="44">
        <v>44012</v>
      </c>
      <c r="C50" s="47" t="s">
        <v>78</v>
      </c>
      <c r="E50" s="12">
        <v>1.75</v>
      </c>
      <c r="F50" s="13">
        <v>1.7</v>
      </c>
      <c r="G50" s="12">
        <v>2.46</v>
      </c>
      <c r="H50" s="12">
        <v>1.4</v>
      </c>
      <c r="I50" s="12">
        <v>1.9</v>
      </c>
      <c r="J50" s="12">
        <v>2.0299999999999998</v>
      </c>
      <c r="K50" s="12">
        <v>2.0299999999999998</v>
      </c>
      <c r="L50" s="12">
        <v>1.85</v>
      </c>
      <c r="M50" s="12">
        <v>5.47</v>
      </c>
      <c r="N50" s="12">
        <v>3.06</v>
      </c>
      <c r="O50" s="13">
        <v>139686630</v>
      </c>
      <c r="P50" s="12">
        <v>673567099</v>
      </c>
      <c r="Q50" s="13">
        <v>14</v>
      </c>
      <c r="R50">
        <v>3.87</v>
      </c>
      <c r="S50" s="14"/>
      <c r="T50" s="13">
        <v>2643951</v>
      </c>
      <c r="U50" s="13"/>
      <c r="V50" t="s">
        <v>44</v>
      </c>
      <c r="W50">
        <v>4</v>
      </c>
      <c r="X50">
        <v>5</v>
      </c>
      <c r="Y50">
        <v>1.91</v>
      </c>
      <c r="Z50">
        <v>56</v>
      </c>
      <c r="AA50" s="15">
        <f>Table13[[#This Row],[Time until ideal entry + 390 (6:30)]]/(1440)</f>
        <v>0.27430555555555558</v>
      </c>
      <c r="AB50" s="18">
        <f t="shared" si="4"/>
        <v>0.40571428571428569</v>
      </c>
      <c r="AC50" s="18">
        <f>IF(Table13[[#This Row],[HOD AFTER PM HI]]&gt;=Table13[[#This Row],[PM Hi]],((Table13[[#This Row],[HOD AFTER PM HI]]-Table13[[#This Row],[Prior day close]])/Table13[[#This Row],[Prior day close]]),Table13[[#This Row],[Prior Close to PM Hi %]])</f>
        <v>2.1257142857142854</v>
      </c>
      <c r="AD50" s="18">
        <f>(Table13[[#This Row],[Price at hi of squeeze]]-Table13[[#This Row],[MKT Open Price]])/Table13[[#This Row],[MKT Open Price]]</f>
        <v>0.50738916256157651</v>
      </c>
      <c r="AE50" s="18">
        <f>(Table13[[#This Row],[Price at hi of squeeze]]-Table13[[#This Row],[PM Hi]])/Table13[[#This Row],[PM Hi]]</f>
        <v>0.24390243902439029</v>
      </c>
      <c r="AF50" s="18">
        <f t="shared" si="5"/>
        <v>0.65405405405405403</v>
      </c>
      <c r="AG50" s="20">
        <f>Table13[[#This Row],[PM VOL]]/1000000/Table13[[#This Row],[FLOAT(M)]]</f>
        <v>0.68319147286821702</v>
      </c>
      <c r="AH50" s="21">
        <f>(Table13[[#This Row],[Volume]]/1000000)/Table13[[#This Row],[FLOAT(M)]]</f>
        <v>36.094736434108526</v>
      </c>
      <c r="AI50" s="18">
        <f>(Table13[[#This Row],[Hi of Spike after open before drop]]-Table13[[#This Row],[MKT Open Price]])/Table13[[#This Row],[MKT Open Price]]</f>
        <v>0</v>
      </c>
      <c r="AJ50" s="18">
        <f>(Table13[[#This Row],[PM Hi]]-Table13[[#This Row],[MKT Open Price]])/(Table13[[#This Row],[PM Hi]])</f>
        <v>0.17479674796747974</v>
      </c>
      <c r="AK50" s="16">
        <f>IF(Table13[[#This Row],[PM LO]]&gt;Table13[[#This Row],[Prior day close]],(Table13[[#This Row],[PM Hi]]-Table13[[#This Row],[MKT Open Price]])/(Table13[[#This Row],[PM Hi]]-Table13[[#This Row],[Prior day close]]),(Table13[[#This Row],[PM Hi]]-Table13[[#This Row],[MKT Open Price]])/(Table13[[#This Row],[PM Hi]]-Table13[[#This Row],[PM LO]]))</f>
        <v>0.4056603773584907</v>
      </c>
      <c r="AL50" s="16">
        <f>IF(Table13[[#This Row],[Prior day close]]&lt;Table13[[#This Row],[PM LO]],(J50-L50)/(J50-Table13[[#This Row],[Prior day close]]),(J50-L50)/(J50-Table13[[#This Row],[PM LO]]))</f>
        <v>0.28571428571428531</v>
      </c>
      <c r="AM50" s="16">
        <f>Table13[[#This Row],[Spike % on open before drop]]+AN50</f>
        <v>8.866995073891612E-2</v>
      </c>
      <c r="AN50" s="16">
        <f t="shared" si="3"/>
        <v>8.866995073891612E-2</v>
      </c>
      <c r="AO50" s="18">
        <f>IF($K50&gt;=$G50,($K50-$L50)/($K50),(IF($I50&lt;=$L50,($G50-$I50)/($G50),(Table13[[#This Row],[PM Hi]]-Table13[[#This Row],[Lowest lo from open to squeeze]])/(Table13[[#This Row],[PM Hi]]))))</f>
        <v>0.24796747967479671</v>
      </c>
      <c r="AP50" s="18">
        <f>IF(Table13[[#This Row],[Prior day close]]&lt;=Table13[[#This Row],[PM LO]],IF($K50&gt;=$G50,($K50-$L50)/($K50-Table13[[#This Row],[Prior day close]]),(IF($I50&lt;=$L50,($G50-$I50)/($G50-Table13[[#This Row],[Prior day close]]),(Table13[[#This Row],[PM Hi]]-Table13[[#This Row],[Lowest lo from open to squeeze]])/(Table13[[#This Row],[PM Hi]]-Table13[[#This Row],[Prior day close]])))),IF($K50&gt;=$G50,($K50-$L50)/($K50-Table13[[#This Row],[PM LO]]),(IF($I50&lt;=$L50,($G50-$I50)/($G50-Table13[[#This Row],[PM LO]]),(Table13[[#This Row],[PM Hi]]-Table13[[#This Row],[Lowest lo from open to squeeze]])/(Table13[[#This Row],[PM Hi]]-Table13[[#This Row],[PM LO]])))))</f>
        <v>0.57547169811320742</v>
      </c>
      <c r="AQ50" s="18">
        <f>IF(K50&gt;=G50,(K50-L50)/(K50-E50),(IF(I50&lt;=L50,(G50-I50)/(G50-E50),(Table13[[#This Row],[PM Hi]]-Table13[[#This Row],[Lowest lo from open to squeeze]])/(Table13[[#This Row],[PM Hi]]-Table13[[#This Row],[Prior day close]]))))</f>
        <v>0.85915492957746464</v>
      </c>
      <c r="AR50" s="17">
        <f>390+Table13[[#This Row],[Time until ideal entry point (mins) from open]]</f>
        <v>395</v>
      </c>
      <c r="AS50" s="51">
        <f>(Table13[[#This Row],[Time until ideal entry + 390 (6:30)]]+Table13[[#This Row],[Duration of frontside (mins)]])/1440</f>
        <v>0.31319444444444444</v>
      </c>
    </row>
    <row r="51" spans="1:45" s="36" customFormat="1" x14ac:dyDescent="0.25">
      <c r="A51" s="10" t="s">
        <v>104</v>
      </c>
      <c r="B51" s="44">
        <v>44013</v>
      </c>
      <c r="C51" s="47" t="s">
        <v>78</v>
      </c>
      <c r="D51"/>
      <c r="E51" s="12">
        <v>1.1299999999999999</v>
      </c>
      <c r="F51" s="13">
        <v>1.18</v>
      </c>
      <c r="G51" s="12">
        <v>3.73</v>
      </c>
      <c r="H51" s="12">
        <v>1.1499999999999999</v>
      </c>
      <c r="I51" s="12">
        <v>1.71</v>
      </c>
      <c r="J51" s="12">
        <v>2.11</v>
      </c>
      <c r="K51" s="12">
        <v>2.11</v>
      </c>
      <c r="L51" s="12">
        <v>1.96</v>
      </c>
      <c r="M51" s="12">
        <v>3.85</v>
      </c>
      <c r="N51" s="12">
        <v>3.63</v>
      </c>
      <c r="O51" s="13">
        <v>223606230</v>
      </c>
      <c r="P51" s="12">
        <v>562723906</v>
      </c>
      <c r="Q51" s="13">
        <v>8</v>
      </c>
      <c r="R51">
        <v>6.42</v>
      </c>
      <c r="S51" s="14"/>
      <c r="T51" s="13">
        <v>6004157</v>
      </c>
      <c r="U51" s="13" t="s">
        <v>42</v>
      </c>
      <c r="V51" t="s">
        <v>44</v>
      </c>
      <c r="W51">
        <v>1</v>
      </c>
      <c r="X51">
        <v>2</v>
      </c>
      <c r="Y51">
        <v>2.15</v>
      </c>
      <c r="Z51">
        <v>66</v>
      </c>
      <c r="AA51" s="15">
        <f>Table13[[#This Row],[Time until ideal entry + 390 (6:30)]]/(1440)</f>
        <v>0.2722222222222222</v>
      </c>
      <c r="AB51" s="18">
        <f t="shared" si="4"/>
        <v>2.3008849557522129</v>
      </c>
      <c r="AC51" s="18">
        <f>IF(Table13[[#This Row],[HOD AFTER PM HI]]&gt;=Table13[[#This Row],[PM Hi]],((Table13[[#This Row],[HOD AFTER PM HI]]-Table13[[#This Row],[Prior day close]])/Table13[[#This Row],[Prior day close]]),Table13[[#This Row],[Prior Close to PM Hi %]])</f>
        <v>2.4070796460176993</v>
      </c>
      <c r="AD51" s="18">
        <f>(Table13[[#This Row],[Price at hi of squeeze]]-Table13[[#This Row],[MKT Open Price]])/Table13[[#This Row],[MKT Open Price]]</f>
        <v>0.72037914691943128</v>
      </c>
      <c r="AE51" s="18">
        <f>(Table13[[#This Row],[Price at hi of squeeze]]-Table13[[#This Row],[PM Hi]])/Table13[[#This Row],[PM Hi]]</f>
        <v>-2.6809651474530856E-2</v>
      </c>
      <c r="AF51" s="18">
        <f t="shared" si="5"/>
        <v>0.85204081632653061</v>
      </c>
      <c r="AG51" s="20">
        <f>Table13[[#This Row],[PM VOL]]/1000000/Table13[[#This Row],[FLOAT(M)]]</f>
        <v>0.93522694704049847</v>
      </c>
      <c r="AH51" s="21">
        <f>(Table13[[#This Row],[Volume]]/1000000)/Table13[[#This Row],[FLOAT(M)]]</f>
        <v>34.829630841121499</v>
      </c>
      <c r="AI51" s="18">
        <f>(Table13[[#This Row],[Hi of Spike after open before drop]]-Table13[[#This Row],[MKT Open Price]])/Table13[[#This Row],[MKT Open Price]]</f>
        <v>0</v>
      </c>
      <c r="AJ51" s="18">
        <f>(Table13[[#This Row],[PM Hi]]-Table13[[#This Row],[MKT Open Price]])/(Table13[[#This Row],[PM Hi]])</f>
        <v>0.43431635388739948</v>
      </c>
      <c r="AK51" s="16">
        <f>IF(Table13[[#This Row],[PM LO]]&gt;Table13[[#This Row],[Prior day close]],(Table13[[#This Row],[PM Hi]]-Table13[[#This Row],[MKT Open Price]])/(Table13[[#This Row],[PM Hi]]-Table13[[#This Row],[Prior day close]]),(Table13[[#This Row],[PM Hi]]-Table13[[#This Row],[MKT Open Price]])/(Table13[[#This Row],[PM Hi]]-Table13[[#This Row],[PM LO]]))</f>
        <v>0.62307692307692308</v>
      </c>
      <c r="AL51" s="16">
        <f>IF(Table13[[#This Row],[Prior day close]]&lt;Table13[[#This Row],[PM LO]],(J51-L51)/(J51-Table13[[#This Row],[Prior day close]]),(J51-L51)/(J51-Table13[[#This Row],[PM LO]]))</f>
        <v>0.15306122448979584</v>
      </c>
      <c r="AM51" s="16">
        <f>Table13[[#This Row],[Spike % on open before drop]]+AN51</f>
        <v>7.1090047393364886E-2</v>
      </c>
      <c r="AN51" s="16">
        <f t="shared" si="3"/>
        <v>7.1090047393364886E-2</v>
      </c>
      <c r="AO51" s="18">
        <f>IF($K51&gt;=$G51,($K51-$L51)/($K51),(IF($I51&lt;=$L51,($G51-$I51)/($G51),(Table13[[#This Row],[PM Hi]]-Table13[[#This Row],[Lowest lo from open to squeeze]])/(Table13[[#This Row],[PM Hi]]))))</f>
        <v>0.54155495978552282</v>
      </c>
      <c r="AP51" s="18">
        <f>IF(Table13[[#This Row],[Prior day close]]&lt;=Table13[[#This Row],[PM LO]],IF($K51&gt;=$G51,($K51-$L51)/($K51-Table13[[#This Row],[Prior day close]]),(IF($I51&lt;=$L51,($G51-$I51)/($G51-Table13[[#This Row],[Prior day close]]),(Table13[[#This Row],[PM Hi]]-Table13[[#This Row],[Lowest lo from open to squeeze]])/(Table13[[#This Row],[PM Hi]]-Table13[[#This Row],[Prior day close]])))),IF($K51&gt;=$G51,($K51-$L51)/($K51-Table13[[#This Row],[PM LO]]),(IF($I51&lt;=$L51,($G51-$I51)/($G51-Table13[[#This Row],[PM LO]]),(Table13[[#This Row],[PM Hi]]-Table13[[#This Row],[Lowest lo from open to squeeze]])/(Table13[[#This Row],[PM Hi]]-Table13[[#This Row],[PM LO]])))))</f>
        <v>0.77692307692307694</v>
      </c>
      <c r="AQ51" s="18">
        <f>IF(K51&gt;=G51,(K51-L51)/(K51-E51),(IF(I51&lt;=L51,(G51-I51)/(G51-E51),(Table13[[#This Row],[PM Hi]]-Table13[[#This Row],[Lowest lo from open to squeeze]])/(Table13[[#This Row],[PM Hi]]-Table13[[#This Row],[Prior day close]]))))</f>
        <v>0.77692307692307694</v>
      </c>
      <c r="AR51" s="17">
        <f>390+Table13[[#This Row],[Time until ideal entry point (mins) from open]]</f>
        <v>392</v>
      </c>
      <c r="AS51" s="51">
        <f>(Table13[[#This Row],[Time until ideal entry + 390 (6:30)]]+Table13[[#This Row],[Duration of frontside (mins)]])/1440</f>
        <v>0.31805555555555554</v>
      </c>
    </row>
    <row r="52" spans="1:45" x14ac:dyDescent="0.25">
      <c r="A52" s="10" t="s">
        <v>106</v>
      </c>
      <c r="B52" s="11">
        <v>44018</v>
      </c>
      <c r="C52" s="47" t="s">
        <v>78</v>
      </c>
      <c r="E52" s="12">
        <v>3.32</v>
      </c>
      <c r="F52" s="13">
        <v>3.49</v>
      </c>
      <c r="G52" s="12">
        <v>4.34</v>
      </c>
      <c r="H52" s="12">
        <v>3.34</v>
      </c>
      <c r="I52" s="12">
        <v>3.93</v>
      </c>
      <c r="J52" s="12">
        <v>4</v>
      </c>
      <c r="K52" s="12">
        <v>4.1500000000000004</v>
      </c>
      <c r="L52" s="12">
        <v>3.9</v>
      </c>
      <c r="M52" s="12">
        <v>6</v>
      </c>
      <c r="N52" s="12">
        <v>6</v>
      </c>
      <c r="O52" s="13">
        <v>172499430</v>
      </c>
      <c r="P52" s="12">
        <v>811193813</v>
      </c>
      <c r="Q52" s="13">
        <v>146.69999999999999</v>
      </c>
      <c r="R52">
        <v>30.44</v>
      </c>
      <c r="S52" s="14"/>
      <c r="T52" s="13">
        <v>4635766</v>
      </c>
      <c r="U52" s="13"/>
      <c r="V52" t="s">
        <v>44</v>
      </c>
      <c r="W52">
        <v>3</v>
      </c>
      <c r="X52">
        <v>4</v>
      </c>
      <c r="Y52">
        <v>4.08</v>
      </c>
      <c r="Z52">
        <v>13</v>
      </c>
      <c r="AA52" s="15">
        <f>Table13[[#This Row],[Time until ideal entry + 390 (6:30)]]/(1440)</f>
        <v>0.27361111111111114</v>
      </c>
      <c r="AB52" s="18">
        <f t="shared" si="4"/>
        <v>0.30722891566265065</v>
      </c>
      <c r="AC52" s="18">
        <f>IF(Table13[[#This Row],[HOD AFTER PM HI]]&gt;=Table13[[#This Row],[PM Hi]],((Table13[[#This Row],[HOD AFTER PM HI]]-Table13[[#This Row],[Prior day close]])/Table13[[#This Row],[Prior day close]]),Table13[[#This Row],[Prior Close to PM Hi %]])</f>
        <v>0.80722891566265065</v>
      </c>
      <c r="AD52" s="18">
        <f>(Table13[[#This Row],[Price at hi of squeeze]]-Table13[[#This Row],[MKT Open Price]])/Table13[[#This Row],[MKT Open Price]]</f>
        <v>0.5</v>
      </c>
      <c r="AE52" s="18">
        <f>(Table13[[#This Row],[Price at hi of squeeze]]-Table13[[#This Row],[PM Hi]])/Table13[[#This Row],[PM Hi]]</f>
        <v>0.38248847926267288</v>
      </c>
      <c r="AF52" s="18">
        <f t="shared" si="5"/>
        <v>0.53846153846153855</v>
      </c>
      <c r="AG52" s="20">
        <f>Table13[[#This Row],[PM VOL]]/1000000/Table13[[#This Row],[FLOAT(M)]]</f>
        <v>0.1522919185282523</v>
      </c>
      <c r="AH52" s="21">
        <f>(Table13[[#This Row],[Volume]]/1000000)/Table13[[#This Row],[FLOAT(M)]]</f>
        <v>5.6668669513797632</v>
      </c>
      <c r="AI52" s="18">
        <f>(Table13[[#This Row],[Hi of Spike after open before drop]]-Table13[[#This Row],[MKT Open Price]])/Table13[[#This Row],[MKT Open Price]]</f>
        <v>3.7500000000000089E-2</v>
      </c>
      <c r="AJ52" s="18">
        <f>(Table13[[#This Row],[PM Hi]]-Table13[[#This Row],[MKT Open Price]])/(Table13[[#This Row],[PM Hi]])</f>
        <v>7.8341013824884759E-2</v>
      </c>
      <c r="AK52" s="16">
        <f>IF(Table13[[#This Row],[PM LO]]&gt;Table13[[#This Row],[Prior day close]],(Table13[[#This Row],[PM Hi]]-Table13[[#This Row],[MKT Open Price]])/(Table13[[#This Row],[PM Hi]]-Table13[[#This Row],[Prior day close]]),(Table13[[#This Row],[PM Hi]]-Table13[[#This Row],[MKT Open Price]])/(Table13[[#This Row],[PM Hi]]-Table13[[#This Row],[PM LO]]))</f>
        <v>0.3333333333333332</v>
      </c>
      <c r="AL52" s="16">
        <f>IF(Table13[[#This Row],[Prior day close]]&lt;Table13[[#This Row],[PM LO]],(J52-L52)/(J52-Table13[[#This Row],[Prior day close]]),(J52-L52)/(J52-Table13[[#This Row],[PM LO]]))</f>
        <v>0.14705882352941185</v>
      </c>
      <c r="AM52" s="16">
        <f>Table13[[#This Row],[Spike % on open before drop]]+AN52</f>
        <v>6.2500000000000111E-2</v>
      </c>
      <c r="AN52" s="16">
        <f t="shared" si="3"/>
        <v>2.5000000000000022E-2</v>
      </c>
      <c r="AO52" s="18">
        <f>IF($K52&gt;=$G52,($K52-$L52)/($K52),(IF($I52&lt;=$L52,($G52-$I52)/($G52),(Table13[[#This Row],[PM Hi]]-Table13[[#This Row],[Lowest lo from open to squeeze]])/(Table13[[#This Row],[PM Hi]]))))</f>
        <v>0.10138248847926266</v>
      </c>
      <c r="AP52" s="18">
        <f>IF(Table13[[#This Row],[Prior day close]]&lt;=Table13[[#This Row],[PM LO]],IF($K52&gt;=$G52,($K52-$L52)/($K52-Table13[[#This Row],[Prior day close]]),(IF($I52&lt;=$L52,($G52-$I52)/($G52-Table13[[#This Row],[Prior day close]]),(Table13[[#This Row],[PM Hi]]-Table13[[#This Row],[Lowest lo from open to squeeze]])/(Table13[[#This Row],[PM Hi]]-Table13[[#This Row],[Prior day close]])))),IF($K52&gt;=$G52,($K52-$L52)/($K52-Table13[[#This Row],[PM LO]]),(IF($I52&lt;=$L52,($G52-$I52)/($G52-Table13[[#This Row],[PM LO]]),(Table13[[#This Row],[PM Hi]]-Table13[[#This Row],[Lowest lo from open to squeeze]])/(Table13[[#This Row],[PM Hi]]-Table13[[#This Row],[PM LO]])))))</f>
        <v>0.43137254901960781</v>
      </c>
      <c r="AQ52" s="18">
        <f>IF(K52&gt;=G52,(K52-L52)/(K52-E52),(IF(I52&lt;=L52,(G52-I52)/(G52-E52),(Table13[[#This Row],[PM Hi]]-Table13[[#This Row],[Lowest lo from open to squeeze]])/(Table13[[#This Row],[PM Hi]]-Table13[[#This Row],[Prior day close]]))))</f>
        <v>0.43137254901960781</v>
      </c>
      <c r="AR52" s="17">
        <f>390+Table13[[#This Row],[Time until ideal entry point (mins) from open]]</f>
        <v>394</v>
      </c>
      <c r="AS52" s="51">
        <f>(Table13[[#This Row],[Time until ideal entry + 390 (6:30)]]+Table13[[#This Row],[Duration of frontside (mins)]])/1440</f>
        <v>0.28263888888888888</v>
      </c>
    </row>
    <row r="53" spans="1:45" s="26" customFormat="1" x14ac:dyDescent="0.25">
      <c r="A53" s="10" t="s">
        <v>105</v>
      </c>
      <c r="B53" s="11">
        <v>44018</v>
      </c>
      <c r="C53" s="47" t="s">
        <v>78</v>
      </c>
      <c r="D53"/>
      <c r="E53" s="12">
        <v>3.28</v>
      </c>
      <c r="F53" s="13">
        <v>3.48</v>
      </c>
      <c r="G53" s="12">
        <v>5.28</v>
      </c>
      <c r="H53" s="12">
        <v>3.48</v>
      </c>
      <c r="I53" s="12">
        <v>4.87</v>
      </c>
      <c r="J53" s="12">
        <v>4.97</v>
      </c>
      <c r="K53" s="12">
        <v>5.43</v>
      </c>
      <c r="L53" s="12">
        <v>4.63</v>
      </c>
      <c r="M53" s="12">
        <v>8.18</v>
      </c>
      <c r="N53" s="12">
        <v>8.18</v>
      </c>
      <c r="O53" s="13">
        <v>228115370</v>
      </c>
      <c r="P53" s="12">
        <v>1220996281</v>
      </c>
      <c r="Q53" s="13">
        <v>43.1</v>
      </c>
      <c r="R53">
        <v>1.83</v>
      </c>
      <c r="S53" s="14"/>
      <c r="T53" s="13">
        <v>12184552</v>
      </c>
      <c r="U53" s="13"/>
      <c r="V53" t="s">
        <v>44</v>
      </c>
      <c r="W53">
        <v>3</v>
      </c>
      <c r="X53">
        <v>4</v>
      </c>
      <c r="Y53">
        <v>4.74</v>
      </c>
      <c r="Z53">
        <v>110</v>
      </c>
      <c r="AA53" s="15">
        <f>Table13[[#This Row],[Time until ideal entry + 390 (6:30)]]/(1440)</f>
        <v>0.27361111111111114</v>
      </c>
      <c r="AB53" s="18">
        <f t="shared" si="4"/>
        <v>0.60975609756097582</v>
      </c>
      <c r="AC53" s="18">
        <f>IF(Table13[[#This Row],[HOD AFTER PM HI]]&gt;=Table13[[#This Row],[PM Hi]],((Table13[[#This Row],[HOD AFTER PM HI]]-Table13[[#This Row],[Prior day close]])/Table13[[#This Row],[Prior day close]]),Table13[[#This Row],[Prior Close to PM Hi %]])</f>
        <v>1.4939024390243905</v>
      </c>
      <c r="AD53" s="18">
        <f>(Table13[[#This Row],[Price at hi of squeeze]]-Table13[[#This Row],[MKT Open Price]])/Table13[[#This Row],[MKT Open Price]]</f>
        <v>0.64587525150905434</v>
      </c>
      <c r="AE53" s="18">
        <f>(Table13[[#This Row],[Price at hi of squeeze]]-Table13[[#This Row],[PM Hi]])/Table13[[#This Row],[PM Hi]]</f>
        <v>0.54924242424242409</v>
      </c>
      <c r="AF53" s="18">
        <f t="shared" si="5"/>
        <v>0.76673866090712739</v>
      </c>
      <c r="AG53" s="20">
        <f>Table13[[#This Row],[PM VOL]]/1000000/Table13[[#This Row],[FLOAT(M)]]</f>
        <v>6.658225136612022</v>
      </c>
      <c r="AH53" s="21">
        <f>(Table13[[#This Row],[Volume]]/1000000)/Table13[[#This Row],[FLOAT(M)]]</f>
        <v>124.65320765027323</v>
      </c>
      <c r="AI53" s="18">
        <f>(Table13[[#This Row],[Hi of Spike after open before drop]]-Table13[[#This Row],[MKT Open Price]])/Table13[[#This Row],[MKT Open Price]]</f>
        <v>9.2555331991951706E-2</v>
      </c>
      <c r="AJ53" s="18">
        <f>(Table13[[#This Row],[PM Hi]]-Table13[[#This Row],[MKT Open Price]])/(Table13[[#This Row],[PM Hi]])</f>
        <v>5.8712121212121306E-2</v>
      </c>
      <c r="AK53" s="16">
        <f>IF(Table13[[#This Row],[PM LO]]&gt;Table13[[#This Row],[Prior day close]],(Table13[[#This Row],[PM Hi]]-Table13[[#This Row],[MKT Open Price]])/(Table13[[#This Row],[PM Hi]]-Table13[[#This Row],[Prior day close]]),(Table13[[#This Row],[PM Hi]]-Table13[[#This Row],[MKT Open Price]])/(Table13[[#This Row],[PM Hi]]-Table13[[#This Row],[PM LO]]))</f>
        <v>0.15500000000000022</v>
      </c>
      <c r="AL53" s="16">
        <f>IF(Table13[[#This Row],[Prior day close]]&lt;Table13[[#This Row],[PM LO]],(J53-L53)/(J53-Table13[[#This Row],[Prior day close]]),(J53-L53)/(J53-Table13[[#This Row],[PM LO]]))</f>
        <v>0.20118343195266264</v>
      </c>
      <c r="AM53" s="16">
        <f>Table13[[#This Row],[Spike % on open before drop]]+AN53</f>
        <v>0.16096579476861164</v>
      </c>
      <c r="AN53" s="16">
        <f t="shared" si="3"/>
        <v>6.8410462776659936E-2</v>
      </c>
      <c r="AO53" s="18">
        <f>IF($K53&gt;=$G53,($K53-$L53)/($K53),(IF($I53&lt;=$L53,($G53-$I53)/($G53),(Table13[[#This Row],[PM Hi]]-Table13[[#This Row],[Lowest lo from open to squeeze]])/(Table13[[#This Row],[PM Hi]]))))</f>
        <v>0.14732965009208102</v>
      </c>
      <c r="AP53" s="18">
        <f>IF(Table13[[#This Row],[Prior day close]]&lt;=Table13[[#This Row],[PM LO]],IF($K53&gt;=$G53,($K53-$L53)/($K53-Table13[[#This Row],[Prior day close]]),(IF($I53&lt;=$L53,($G53-$I53)/($G53-Table13[[#This Row],[Prior day close]]),(Table13[[#This Row],[PM Hi]]-Table13[[#This Row],[Lowest lo from open to squeeze]])/(Table13[[#This Row],[PM Hi]]-Table13[[#This Row],[Prior day close]])))),IF($K53&gt;=$G53,($K53-$L53)/($K53-Table13[[#This Row],[PM LO]]),(IF($I53&lt;=$L53,($G53-$I53)/($G53-Table13[[#This Row],[PM LO]]),(Table13[[#This Row],[PM Hi]]-Table13[[#This Row],[Lowest lo from open to squeeze]])/(Table13[[#This Row],[PM Hi]]-Table13[[#This Row],[PM LO]])))))</f>
        <v>0.37209302325581389</v>
      </c>
      <c r="AQ53" s="18">
        <f>IF(K53&gt;=G53,(K53-L53)/(K53-E53),(IF(I53&lt;=L53,(G53-I53)/(G53-E53),(Table13[[#This Row],[PM Hi]]-Table13[[#This Row],[Lowest lo from open to squeeze]])/(Table13[[#This Row],[PM Hi]]-Table13[[#This Row],[Prior day close]]))))</f>
        <v>0.37209302325581389</v>
      </c>
      <c r="AR53" s="17">
        <f>390+Table13[[#This Row],[Time until ideal entry point (mins) from open]]</f>
        <v>394</v>
      </c>
      <c r="AS53" s="51">
        <f>(Table13[[#This Row],[Time until ideal entry + 390 (6:30)]]+Table13[[#This Row],[Duration of frontside (mins)]])/1440</f>
        <v>0.35</v>
      </c>
    </row>
    <row r="54" spans="1:45" s="36" customFormat="1" x14ac:dyDescent="0.25">
      <c r="A54" s="10" t="s">
        <v>107</v>
      </c>
      <c r="B54" s="11">
        <v>44022</v>
      </c>
      <c r="C54" s="47" t="s">
        <v>78</v>
      </c>
      <c r="D54"/>
      <c r="E54" s="12">
        <v>4.1500000000000004</v>
      </c>
      <c r="F54" s="13">
        <v>4.1500000000000004</v>
      </c>
      <c r="G54" s="12">
        <v>9.25</v>
      </c>
      <c r="H54" s="12">
        <v>4.07</v>
      </c>
      <c r="I54" s="12">
        <v>8.07</v>
      </c>
      <c r="J54" s="12">
        <v>8</v>
      </c>
      <c r="K54" s="12">
        <v>8.23</v>
      </c>
      <c r="L54" s="12">
        <v>6.6</v>
      </c>
      <c r="M54" s="12">
        <v>15.56</v>
      </c>
      <c r="N54" s="12">
        <v>15.56</v>
      </c>
      <c r="O54" s="13">
        <v>141844070</v>
      </c>
      <c r="P54" s="12">
        <v>21276058814</v>
      </c>
      <c r="Q54" s="13">
        <v>225.41</v>
      </c>
      <c r="R54">
        <v>4.92</v>
      </c>
      <c r="S54" s="14"/>
      <c r="T54" s="13">
        <v>12624094</v>
      </c>
      <c r="U54" s="13" t="s">
        <v>42</v>
      </c>
      <c r="V54" t="s">
        <v>44</v>
      </c>
      <c r="W54">
        <v>23</v>
      </c>
      <c r="X54">
        <v>24</v>
      </c>
      <c r="Y54">
        <v>6.73</v>
      </c>
      <c r="Z54">
        <v>16</v>
      </c>
      <c r="AA54" s="15">
        <f>Table13[[#This Row],[Time until ideal entry + 390 (6:30)]]/(1440)</f>
        <v>0.28749999999999998</v>
      </c>
      <c r="AB54" s="18">
        <f t="shared" si="4"/>
        <v>1.2289156626506021</v>
      </c>
      <c r="AC54" s="18">
        <f>IF(Table13[[#This Row],[HOD AFTER PM HI]]&gt;=Table13[[#This Row],[PM Hi]],((Table13[[#This Row],[HOD AFTER PM HI]]-Table13[[#This Row],[Prior day close]])/Table13[[#This Row],[Prior day close]]),Table13[[#This Row],[Prior Close to PM Hi %]])</f>
        <v>2.7493975903614456</v>
      </c>
      <c r="AD54" s="18">
        <f>(Table13[[#This Row],[Price at hi of squeeze]]-Table13[[#This Row],[MKT Open Price]])/Table13[[#This Row],[MKT Open Price]]</f>
        <v>0.94500000000000006</v>
      </c>
      <c r="AE54" s="18">
        <f>(Table13[[#This Row],[Price at hi of squeeze]]-Table13[[#This Row],[PM Hi]])/Table13[[#This Row],[PM Hi]]</f>
        <v>0.68216216216216219</v>
      </c>
      <c r="AF54" s="18">
        <f t="shared" si="5"/>
        <v>1.3575757575757579</v>
      </c>
      <c r="AG54" s="20">
        <f>Table13[[#This Row],[PM VOL]]/1000000/Table13[[#This Row],[FLOAT(M)]]</f>
        <v>2.5658727642276422</v>
      </c>
      <c r="AH54" s="21">
        <f>(Table13[[#This Row],[Volume]]/1000000)/Table13[[#This Row],[FLOAT(M)]]</f>
        <v>28.830095528455281</v>
      </c>
      <c r="AI54" s="18">
        <f>(Table13[[#This Row],[Hi of Spike after open before drop]]-Table13[[#This Row],[MKT Open Price]])/Table13[[#This Row],[MKT Open Price]]</f>
        <v>2.8750000000000053E-2</v>
      </c>
      <c r="AJ54" s="18">
        <f>(Table13[[#This Row],[PM Hi]]-Table13[[#This Row],[MKT Open Price]])/(Table13[[#This Row],[PM Hi]])</f>
        <v>0.13513513513513514</v>
      </c>
      <c r="AK54" s="16">
        <f>IF(Table13[[#This Row],[PM LO]]&gt;Table13[[#This Row],[Prior day close]],(Table13[[#This Row],[PM Hi]]-Table13[[#This Row],[MKT Open Price]])/(Table13[[#This Row],[PM Hi]]-Table13[[#This Row],[Prior day close]]),(Table13[[#This Row],[PM Hi]]-Table13[[#This Row],[MKT Open Price]])/(Table13[[#This Row],[PM Hi]]-Table13[[#This Row],[PM LO]]))</f>
        <v>0.24131274131274133</v>
      </c>
      <c r="AL54" s="16">
        <f>IF(Table13[[#This Row],[Prior day close]]&lt;Table13[[#This Row],[PM LO]],(J54-L54)/(J54-Table13[[#This Row],[Prior day close]]),(J54-L54)/(J54-Table13[[#This Row],[PM LO]]))</f>
        <v>0.35623409669211209</v>
      </c>
      <c r="AM54" s="16">
        <f>Table13[[#This Row],[Spike % on open before drop]]+AN54</f>
        <v>0.2037500000000001</v>
      </c>
      <c r="AN54" s="16">
        <f t="shared" si="3"/>
        <v>0.17500000000000004</v>
      </c>
      <c r="AO54" s="18">
        <f>IF($K54&gt;=$G54,($K54-$L54)/($K54),(IF($I54&lt;=$L54,($G54-$I54)/($G54),(Table13[[#This Row],[PM Hi]]-Table13[[#This Row],[Lowest lo from open to squeeze]])/(Table13[[#This Row],[PM Hi]]))))</f>
        <v>0.2864864864864865</v>
      </c>
      <c r="AP54" s="18">
        <f>IF(Table13[[#This Row],[Prior day close]]&lt;=Table13[[#This Row],[PM LO]],IF($K54&gt;=$G54,($K54-$L54)/($K54-Table13[[#This Row],[Prior day close]]),(IF($I54&lt;=$L54,($G54-$I54)/($G54-Table13[[#This Row],[Prior day close]]),(Table13[[#This Row],[PM Hi]]-Table13[[#This Row],[Lowest lo from open to squeeze]])/(Table13[[#This Row],[PM Hi]]-Table13[[#This Row],[Prior day close]])))),IF($K54&gt;=$G54,($K54-$L54)/($K54-Table13[[#This Row],[PM LO]]),(IF($I54&lt;=$L54,($G54-$I54)/($G54-Table13[[#This Row],[PM LO]]),(Table13[[#This Row],[PM Hi]]-Table13[[#This Row],[Lowest lo from open to squeeze]])/(Table13[[#This Row],[PM Hi]]-Table13[[#This Row],[PM LO]])))))</f>
        <v>0.51158301158301167</v>
      </c>
      <c r="AQ54" s="18">
        <f>IF(K54&gt;=G54,(K54-L54)/(K54-E54),(IF(I54&lt;=L54,(G54-I54)/(G54-E54),(Table13[[#This Row],[PM Hi]]-Table13[[#This Row],[Lowest lo from open to squeeze]])/(Table13[[#This Row],[PM Hi]]-Table13[[#This Row],[Prior day close]]))))</f>
        <v>0.51960784313725505</v>
      </c>
      <c r="AR54" s="17">
        <f>390+Table13[[#This Row],[Time until ideal entry point (mins) from open]]</f>
        <v>414</v>
      </c>
      <c r="AS54" s="51">
        <f>(Table13[[#This Row],[Time until ideal entry + 390 (6:30)]]+Table13[[#This Row],[Duration of frontside (mins)]])/1440</f>
        <v>0.2986111111111111</v>
      </c>
    </row>
    <row r="55" spans="1:45" x14ac:dyDescent="0.25">
      <c r="A55" s="10" t="s">
        <v>109</v>
      </c>
      <c r="B55" s="11">
        <v>44025</v>
      </c>
      <c r="C55" s="47" t="s">
        <v>78</v>
      </c>
      <c r="E55" s="12">
        <v>1.1499999999999999</v>
      </c>
      <c r="F55" s="13">
        <v>1.18</v>
      </c>
      <c r="G55" s="12">
        <v>2.1800000000000002</v>
      </c>
      <c r="H55" s="12">
        <v>1.1299999999999999</v>
      </c>
      <c r="I55" s="12">
        <v>1.46</v>
      </c>
      <c r="J55" s="12">
        <v>1.54</v>
      </c>
      <c r="K55" s="12">
        <v>1.63</v>
      </c>
      <c r="L55" s="12">
        <v>1.42</v>
      </c>
      <c r="M55" s="12">
        <v>1.94</v>
      </c>
      <c r="N55" s="12">
        <v>1.94</v>
      </c>
      <c r="O55" s="13">
        <v>81548470</v>
      </c>
      <c r="P55" s="12">
        <v>110917868</v>
      </c>
      <c r="Q55" s="13">
        <v>38.4</v>
      </c>
      <c r="R55">
        <v>26.11</v>
      </c>
      <c r="S55" s="14"/>
      <c r="T55" s="13">
        <v>9827815</v>
      </c>
      <c r="U55" s="13" t="s">
        <v>44</v>
      </c>
      <c r="V55" t="s">
        <v>44</v>
      </c>
      <c r="W55">
        <v>4</v>
      </c>
      <c r="X55">
        <v>5</v>
      </c>
      <c r="Y55">
        <v>1.45</v>
      </c>
      <c r="Z55">
        <v>28</v>
      </c>
      <c r="AA55" s="15">
        <f>Table13[[#This Row],[Time until ideal entry + 390 (6:30)]]/(1440)</f>
        <v>0.27430555555555558</v>
      </c>
      <c r="AB55" s="18">
        <f t="shared" si="4"/>
        <v>0.89565217391304375</v>
      </c>
      <c r="AC55" s="18">
        <f>IF(Table13[[#This Row],[HOD AFTER PM HI]]&gt;=Table13[[#This Row],[PM Hi]],((Table13[[#This Row],[HOD AFTER PM HI]]-Table13[[#This Row],[Prior day close]])/Table13[[#This Row],[Prior day close]]),Table13[[#This Row],[Prior Close to PM Hi %]])</f>
        <v>0.89565217391304375</v>
      </c>
      <c r="AD55" s="18">
        <f>(Table13[[#This Row],[Price at hi of squeeze]]-Table13[[#This Row],[MKT Open Price]])/Table13[[#This Row],[MKT Open Price]]</f>
        <v>0.25974025974025966</v>
      </c>
      <c r="AE55" s="18">
        <f>(Table13[[#This Row],[Price at hi of squeeze]]-Table13[[#This Row],[PM Hi]])/Table13[[#This Row],[PM Hi]]</f>
        <v>-0.11009174311926614</v>
      </c>
      <c r="AF55" s="18">
        <f t="shared" si="5"/>
        <v>0.36619718309859156</v>
      </c>
      <c r="AG55" s="20">
        <f>Table13[[#This Row],[PM VOL]]/1000000/Table13[[#This Row],[FLOAT(M)]]</f>
        <v>0.37640042129452317</v>
      </c>
      <c r="AH55" s="21">
        <f>(Table13[[#This Row],[Volume]]/1000000)/Table13[[#This Row],[FLOAT(M)]]</f>
        <v>3.1232657985446188</v>
      </c>
      <c r="AI55" s="18">
        <f>(Table13[[#This Row],[Hi of Spike after open before drop]]-Table13[[#This Row],[MKT Open Price]])/Table13[[#This Row],[MKT Open Price]]</f>
        <v>5.844155844155835E-2</v>
      </c>
      <c r="AJ55" s="18">
        <f>(Table13[[#This Row],[PM Hi]]-Table13[[#This Row],[MKT Open Price]])/(Table13[[#This Row],[PM Hi]])</f>
        <v>0.29357798165137616</v>
      </c>
      <c r="AK55" s="16">
        <f>IF(Table13[[#This Row],[PM LO]]&gt;Table13[[#This Row],[Prior day close]],(Table13[[#This Row],[PM Hi]]-Table13[[#This Row],[MKT Open Price]])/(Table13[[#This Row],[PM Hi]]-Table13[[#This Row],[Prior day close]]),(Table13[[#This Row],[PM Hi]]-Table13[[#This Row],[MKT Open Price]])/(Table13[[#This Row],[PM Hi]]-Table13[[#This Row],[PM LO]]))</f>
        <v>0.60952380952380947</v>
      </c>
      <c r="AL55" s="16">
        <f>IF(Table13[[#This Row],[Prior day close]]&lt;Table13[[#This Row],[PM LO]],(J55-L55)/(J55-Table13[[#This Row],[Prior day close]]),(J55-L55)/(J55-Table13[[#This Row],[PM LO]]))</f>
        <v>0.29268292682926844</v>
      </c>
      <c r="AM55" s="16">
        <f>Table13[[#This Row],[Spike % on open before drop]]+AN55</f>
        <v>0.13636363636363635</v>
      </c>
      <c r="AN55" s="16">
        <f t="shared" si="3"/>
        <v>7.792207792207799E-2</v>
      </c>
      <c r="AO55" s="18">
        <f>IF($K55&gt;=$G55,($K55-$L55)/($K55),(IF($I55&lt;=$L55,($G55-$I55)/($G55),(Table13[[#This Row],[PM Hi]]-Table13[[#This Row],[Lowest lo from open to squeeze]])/(Table13[[#This Row],[PM Hi]]))))</f>
        <v>0.34862385321100925</v>
      </c>
      <c r="AP55" s="18">
        <f>IF(Table13[[#This Row],[Prior day close]]&lt;=Table13[[#This Row],[PM LO]],IF($K55&gt;=$G55,($K55-$L55)/($K55-Table13[[#This Row],[Prior day close]]),(IF($I55&lt;=$L55,($G55-$I55)/($G55-Table13[[#This Row],[Prior day close]]),(Table13[[#This Row],[PM Hi]]-Table13[[#This Row],[Lowest lo from open to squeeze]])/(Table13[[#This Row],[PM Hi]]-Table13[[#This Row],[Prior day close]])))),IF($K55&gt;=$G55,($K55-$L55)/($K55-Table13[[#This Row],[PM LO]]),(IF($I55&lt;=$L55,($G55-$I55)/($G55-Table13[[#This Row],[PM LO]]),(Table13[[#This Row],[PM Hi]]-Table13[[#This Row],[Lowest lo from open to squeeze]])/(Table13[[#This Row],[PM Hi]]-Table13[[#This Row],[PM LO]])))))</f>
        <v>0.72380952380952379</v>
      </c>
      <c r="AQ55" s="18">
        <f>IF(K55&gt;=G55,(K55-L55)/(K55-E55),(IF(I55&lt;=L55,(G55-I55)/(G55-E55),(Table13[[#This Row],[PM Hi]]-Table13[[#This Row],[Lowest lo from open to squeeze]])/(Table13[[#This Row],[PM Hi]]-Table13[[#This Row],[Prior day close]]))))</f>
        <v>0.73786407766990292</v>
      </c>
      <c r="AR55" s="17">
        <f>390+Table13[[#This Row],[Time until ideal entry point (mins) from open]]</f>
        <v>395</v>
      </c>
      <c r="AS55" s="51">
        <f>(Table13[[#This Row],[Time until ideal entry + 390 (6:30)]]+Table13[[#This Row],[Duration of frontside (mins)]])/1440</f>
        <v>0.29375000000000001</v>
      </c>
    </row>
    <row r="56" spans="1:45" x14ac:dyDescent="0.25">
      <c r="A56" s="10" t="s">
        <v>108</v>
      </c>
      <c r="B56" s="11">
        <v>44025</v>
      </c>
      <c r="C56" s="47" t="s">
        <v>78</v>
      </c>
      <c r="E56" s="12">
        <v>1.55</v>
      </c>
      <c r="F56" s="13">
        <v>1.36</v>
      </c>
      <c r="G56" s="12">
        <v>3.38</v>
      </c>
      <c r="H56" s="12">
        <v>1.36</v>
      </c>
      <c r="I56" s="12">
        <v>2.98</v>
      </c>
      <c r="J56" s="12">
        <v>3.14</v>
      </c>
      <c r="K56" s="12">
        <v>3.25</v>
      </c>
      <c r="L56" s="12">
        <v>2.77</v>
      </c>
      <c r="M56" s="12">
        <v>3.3</v>
      </c>
      <c r="N56" s="12">
        <v>3.3</v>
      </c>
      <c r="O56" s="13">
        <v>158027140</v>
      </c>
      <c r="P56" s="12">
        <v>284189632</v>
      </c>
      <c r="Q56" s="13">
        <v>30.4</v>
      </c>
      <c r="R56" s="13">
        <v>26.32</v>
      </c>
      <c r="S56" s="13"/>
      <c r="T56" s="13">
        <v>26977189</v>
      </c>
      <c r="U56" s="13" t="s">
        <v>82</v>
      </c>
      <c r="V56" t="s">
        <v>44</v>
      </c>
      <c r="W56">
        <v>8</v>
      </c>
      <c r="X56">
        <v>9</v>
      </c>
      <c r="Y56">
        <v>2.81</v>
      </c>
      <c r="Z56">
        <v>11</v>
      </c>
      <c r="AA56" s="15">
        <f>Table13[[#This Row],[Time until ideal entry + 390 (6:30)]]/(1440)</f>
        <v>0.27708333333333335</v>
      </c>
      <c r="AB56" s="18">
        <f t="shared" ref="AB56:AB87" si="6">(G56-E56)/E56</f>
        <v>1.1806451612903224</v>
      </c>
      <c r="AC56" s="18">
        <f>IF(Table13[[#This Row],[HOD AFTER PM HI]]&gt;=Table13[[#This Row],[PM Hi]],((Table13[[#This Row],[HOD AFTER PM HI]]-Table13[[#This Row],[Prior day close]])/Table13[[#This Row],[Prior day close]]),Table13[[#This Row],[Prior Close to PM Hi %]])</f>
        <v>1.1806451612903224</v>
      </c>
      <c r="AD56" s="18">
        <f>(Table13[[#This Row],[Price at hi of squeeze]]-Table13[[#This Row],[MKT Open Price]])/Table13[[#This Row],[MKT Open Price]]</f>
        <v>5.0955414012738752E-2</v>
      </c>
      <c r="AE56" s="18">
        <f>(Table13[[#This Row],[Price at hi of squeeze]]-Table13[[#This Row],[PM Hi]])/Table13[[#This Row],[PM Hi]]</f>
        <v>-2.3668639053254458E-2</v>
      </c>
      <c r="AF56" s="18">
        <f t="shared" si="5"/>
        <v>0.19133574007220208</v>
      </c>
      <c r="AG56" s="20">
        <f>Table13[[#This Row],[PM VOL]]/1000000/Table13[[#This Row],[FLOAT(M)]]</f>
        <v>1.0249691869300912</v>
      </c>
      <c r="AH56" s="23">
        <f>(Table13[[#This Row],[Volume]]/1000000)/Table13[[#This Row],[FLOAT(M)]]</f>
        <v>6.004070668693009</v>
      </c>
      <c r="AI56" s="18">
        <f>(Table13[[#This Row],[Hi of Spike after open before drop]]-Table13[[#This Row],[MKT Open Price]])/Table13[[#This Row],[MKT Open Price]]</f>
        <v>3.5031847133757919E-2</v>
      </c>
      <c r="AJ56" s="18">
        <f>(Table13[[#This Row],[PM Hi]]-Table13[[#This Row],[MKT Open Price]])/(Table13[[#This Row],[PM Hi]])</f>
        <v>7.1005917159763246E-2</v>
      </c>
      <c r="AK56" s="16">
        <f>IF(Table13[[#This Row],[PM LO]]&gt;Table13[[#This Row],[Prior day close]],(Table13[[#This Row],[PM Hi]]-Table13[[#This Row],[MKT Open Price]])/(Table13[[#This Row],[PM Hi]]-Table13[[#This Row],[Prior day close]]),(Table13[[#This Row],[PM Hi]]-Table13[[#This Row],[MKT Open Price]])/(Table13[[#This Row],[PM Hi]]-Table13[[#This Row],[PM LO]]))</f>
        <v>0.11881188118811872</v>
      </c>
      <c r="AL56" s="16">
        <f>IF(Table13[[#This Row],[Prior day close]]&lt;Table13[[#This Row],[PM LO]],(J56-L56)/(J56-Table13[[#This Row],[Prior day close]]),(J56-L56)/(J56-Table13[[#This Row],[PM LO]]))</f>
        <v>0.20786516853932591</v>
      </c>
      <c r="AM56" s="16">
        <f>Table13[[#This Row],[Spike % on open before drop]]+AN56</f>
        <v>0.15286624203821655</v>
      </c>
      <c r="AN56" s="16">
        <f t="shared" si="3"/>
        <v>0.11783439490445863</v>
      </c>
      <c r="AO56" s="18">
        <f>IF($K56&gt;=$G56,($K56-$L56)/($K56),(IF($I56&lt;=$L56,($G56-$I56)/($G56),(Table13[[#This Row],[PM Hi]]-Table13[[#This Row],[Lowest lo from open to squeeze]])/(Table13[[#This Row],[PM Hi]]))))</f>
        <v>0.18047337278106507</v>
      </c>
      <c r="AP56" s="18">
        <f>IF(Table13[[#This Row],[Prior day close]]&lt;=Table13[[#This Row],[PM LO]],IF($K56&gt;=$G56,($K56-$L56)/($K56-Table13[[#This Row],[Prior day close]]),(IF($I56&lt;=$L56,($G56-$I56)/($G56-Table13[[#This Row],[Prior day close]]),(Table13[[#This Row],[PM Hi]]-Table13[[#This Row],[Lowest lo from open to squeeze]])/(Table13[[#This Row],[PM Hi]]-Table13[[#This Row],[Prior day close]])))),IF($K56&gt;=$G56,($K56-$L56)/($K56-Table13[[#This Row],[PM LO]]),(IF($I56&lt;=$L56,($G56-$I56)/($G56-Table13[[#This Row],[PM LO]]),(Table13[[#This Row],[PM Hi]]-Table13[[#This Row],[Lowest lo from open to squeeze]])/(Table13[[#This Row],[PM Hi]]-Table13[[#This Row],[PM LO]])))))</f>
        <v>0.30198019801980197</v>
      </c>
      <c r="AQ56" s="18">
        <f>IF(K56&gt;=G56,(K56-L56)/(K56-E56),(IF(I56&lt;=L56,(G56-I56)/(G56-E56),(Table13[[#This Row],[PM Hi]]-Table13[[#This Row],[Lowest lo from open to squeeze]])/(Table13[[#This Row],[PM Hi]]-Table13[[#This Row],[Prior day close]]))))</f>
        <v>0.33333333333333331</v>
      </c>
      <c r="AR56" s="17">
        <f>390+Table13[[#This Row],[Time until ideal entry point (mins) from open]]</f>
        <v>399</v>
      </c>
      <c r="AS56" s="51">
        <f>(Table13[[#This Row],[Time until ideal entry + 390 (6:30)]]+Table13[[#This Row],[Duration of frontside (mins)]])/1440</f>
        <v>0.28472222222222221</v>
      </c>
    </row>
    <row r="57" spans="1:45" hidden="1" x14ac:dyDescent="0.25">
      <c r="A57" s="24" t="s">
        <v>110</v>
      </c>
      <c r="B57" s="11">
        <v>44026</v>
      </c>
      <c r="C57" s="47" t="s">
        <v>78</v>
      </c>
      <c r="D57" t="s">
        <v>111</v>
      </c>
      <c r="E57" s="12">
        <v>8.85</v>
      </c>
      <c r="F57" s="13">
        <v>9.48</v>
      </c>
      <c r="G57" s="12">
        <v>22.9</v>
      </c>
      <c r="H57" s="12">
        <v>9.48</v>
      </c>
      <c r="I57" s="12">
        <v>16.79</v>
      </c>
      <c r="J57" s="12"/>
      <c r="K57" s="12"/>
      <c r="L57" s="12"/>
      <c r="O57" s="13"/>
      <c r="Q57" s="37"/>
      <c r="R57"/>
      <c r="S57" s="37"/>
      <c r="T57" s="37">
        <v>2534750</v>
      </c>
      <c r="U57" s="37" t="s">
        <v>42</v>
      </c>
      <c r="V57" s="37"/>
      <c r="W57" s="38"/>
      <c r="X57"/>
      <c r="Y57" s="39"/>
      <c r="Z57"/>
      <c r="AA57" s="40">
        <f>Table13[[#This Row],[Time until ideal entry + 390 (6:30)]]/(1440)</f>
        <v>0.27083333333333331</v>
      </c>
      <c r="AB57" s="18">
        <f t="shared" si="6"/>
        <v>1.5875706214689265</v>
      </c>
      <c r="AC57" s="18">
        <f>IF(Table13[[#This Row],[HOD AFTER PM HI]]&gt;=Table13[[#This Row],[PM Hi]],((Table13[[#This Row],[HOD AFTER PM HI]]-Table13[[#This Row],[Prior day close]])/Table13[[#This Row],[Prior day close]]),Table13[[#This Row],[Prior Close to PM Hi %]])</f>
        <v>1.5875706214689265</v>
      </c>
      <c r="AD57" s="42" t="e">
        <f>(Table13[[#This Row],[Price at hi of squeeze]]-Table13[[#This Row],[MKT Open Price]])/Table13[[#This Row],[MKT Open Price]]</f>
        <v>#DIV/0!</v>
      </c>
      <c r="AE57" s="18">
        <f>(Table13[[#This Row],[Price at hi of squeeze]]-Table13[[#This Row],[PM Hi]])/Table13[[#This Row],[PM Hi]]</f>
        <v>-1</v>
      </c>
      <c r="AF57" s="18" t="e">
        <f t="shared" si="5"/>
        <v>#DIV/0!</v>
      </c>
      <c r="AG57" s="20" t="e">
        <f>Table13[[#This Row],[PM VOL]]/1000000/Table13[[#This Row],[FLOAT(M)]]</f>
        <v>#DIV/0!</v>
      </c>
      <c r="AH57" s="23" t="e">
        <f>(Table13[[#This Row],[Volume]]/1000000)/Table13[[#This Row],[FLOAT(M)]]</f>
        <v>#DIV/0!</v>
      </c>
      <c r="AJ57" s="18">
        <f>(Table13[[#This Row],[PM Hi]]-Table13[[#This Row],[MKT Open Price]])/(Table13[[#This Row],[PM Hi]])</f>
        <v>1</v>
      </c>
      <c r="AK57" s="16">
        <f>IF(Table13[[#This Row],[PM LO]]&gt;Table13[[#This Row],[Prior day close]],(Table13[[#This Row],[PM Hi]]-Table13[[#This Row],[MKT Open Price]])/(Table13[[#This Row],[PM Hi]]-Table13[[#This Row],[Prior day close]]),(Table13[[#This Row],[PM Hi]]-Table13[[#This Row],[MKT Open Price]])/(Table13[[#This Row],[PM Hi]]-Table13[[#This Row],[PM LO]]))</f>
        <v>1.6298932384341638</v>
      </c>
      <c r="AL57" s="18">
        <f>IF(Table13[[#This Row],[Prior day close]]&lt;Table13[[#This Row],[PM LO]],(J57-L57)/(J57-Table13[[#This Row],[Prior day close]]),(J57-L57)/(J57-Table13[[#This Row],[PM LO]]))</f>
        <v>0</v>
      </c>
      <c r="AM57" s="18">
        <f>Table13[[#This Row],[Spike % on open before drop]]+AN57</f>
        <v>0</v>
      </c>
      <c r="AN57" s="17"/>
      <c r="AO57" s="16"/>
      <c r="AP57" s="18">
        <f>IF(Table13[[#This Row],[Prior day close]]&lt;=Table13[[#This Row],[PM LO]],IF($K57&gt;=$G57,($K57-$L57)/($K57-Table13[[#This Row],[Prior day close]]),(IF($I57&lt;=$L57,($G57-$I57)/($G57-Table13[[#This Row],[Prior day close]]),(Table13[[#This Row],[PM Hi]]-Table13[[#This Row],[Lowest lo from open to squeeze]])/(Table13[[#This Row],[PM Hi]]-Table13[[#This Row],[Prior day close]])))),IF($K57&gt;=$G57,($K57-$L57)/($K57-Table13[[#This Row],[PM LO]]),(IF($I57&lt;=$L57,($G57-$I57)/($G57-Table13[[#This Row],[PM LO]]),(Table13[[#This Row],[PM Hi]]-Table13[[#This Row],[Lowest lo from open to squeeze]])/(Table13[[#This Row],[PM Hi]]-Table13[[#This Row],[PM LO]])))))</f>
        <v>1.6298932384341638</v>
      </c>
      <c r="AQ57" s="18"/>
      <c r="AR57" s="17">
        <f>390+Table13[[#This Row],[Time until ideal entry point (mins) from open]]</f>
        <v>390</v>
      </c>
      <c r="AS57" s="51">
        <f>(Table13[[#This Row],[Time until ideal entry + 390 (6:30)]]+Table13[[#This Row],[Duration of frontside (mins)]])/1440</f>
        <v>0.27083333333333331</v>
      </c>
    </row>
    <row r="58" spans="1:45" s="36" customFormat="1" x14ac:dyDescent="0.25">
      <c r="A58" s="10" t="s">
        <v>112</v>
      </c>
      <c r="B58" s="11">
        <v>44027</v>
      </c>
      <c r="C58" s="47" t="s">
        <v>78</v>
      </c>
      <c r="D58" t="s">
        <v>89</v>
      </c>
      <c r="E58" s="12">
        <v>2.29</v>
      </c>
      <c r="F58" s="13">
        <v>2.23</v>
      </c>
      <c r="G58" s="12">
        <v>3.25</v>
      </c>
      <c r="H58" s="12">
        <v>2.23</v>
      </c>
      <c r="I58" s="12">
        <v>2.7</v>
      </c>
      <c r="J58" s="12">
        <v>2.77</v>
      </c>
      <c r="K58" s="12">
        <v>2.81</v>
      </c>
      <c r="L58" s="12">
        <v>2.64</v>
      </c>
      <c r="M58" s="12">
        <v>10.3</v>
      </c>
      <c r="N58" s="12">
        <v>10.3</v>
      </c>
      <c r="O58" s="13">
        <v>370000000</v>
      </c>
      <c r="P58" s="12">
        <v>2097612000</v>
      </c>
      <c r="Q58" s="13">
        <v>30.28</v>
      </c>
      <c r="R58" s="13">
        <v>6.08</v>
      </c>
      <c r="S58" s="13"/>
      <c r="T58" s="13">
        <v>4253067</v>
      </c>
      <c r="U58" s="13"/>
      <c r="V58" t="s">
        <v>44</v>
      </c>
      <c r="W58">
        <v>2</v>
      </c>
      <c r="X58">
        <v>3</v>
      </c>
      <c r="Y58">
        <v>2.7</v>
      </c>
      <c r="Z58">
        <v>302</v>
      </c>
      <c r="AA58" s="15">
        <f>Table13[[#This Row],[Time until ideal entry + 390 (6:30)]]/(1440)</f>
        <v>0.27291666666666664</v>
      </c>
      <c r="AB58" s="18">
        <f t="shared" si="6"/>
        <v>0.41921397379912662</v>
      </c>
      <c r="AC58" s="18">
        <f>IF(Table13[[#This Row],[HOD AFTER PM HI]]&gt;=Table13[[#This Row],[PM Hi]],((Table13[[#This Row],[HOD AFTER PM HI]]-Table13[[#This Row],[Prior day close]])/Table13[[#This Row],[Prior day close]]),Table13[[#This Row],[Prior Close to PM Hi %]])</f>
        <v>3.4978165938864634</v>
      </c>
      <c r="AD58" s="18">
        <f>(Table13[[#This Row],[Price at hi of squeeze]]-Table13[[#This Row],[MKT Open Price]])/Table13[[#This Row],[MKT Open Price]]</f>
        <v>2.7184115523465708</v>
      </c>
      <c r="AE58" s="18">
        <f>(Table13[[#This Row],[Price at hi of squeeze]]-Table13[[#This Row],[PM Hi]])/Table13[[#This Row],[PM Hi]]</f>
        <v>2.1692307692307695</v>
      </c>
      <c r="AF58" s="18">
        <f t="shared" si="5"/>
        <v>2.9015151515151514</v>
      </c>
      <c r="AG58" s="20">
        <f>Table13[[#This Row],[PM VOL]]/1000000/Table13[[#This Row],[FLOAT(M)]]</f>
        <v>0.69951759868421048</v>
      </c>
      <c r="AH58" s="23">
        <f>(Table13[[#This Row],[Volume]]/1000000)/Table13[[#This Row],[FLOAT(M)]]</f>
        <v>60.855263157894733</v>
      </c>
      <c r="AI58" s="18">
        <f>(Table13[[#This Row],[Hi of Spike after open before drop]]-Table13[[#This Row],[MKT Open Price]])/Table13[[#This Row],[MKT Open Price]]</f>
        <v>1.4440433212996403E-2</v>
      </c>
      <c r="AJ58" s="18">
        <f>(Table13[[#This Row],[PM Hi]]-Table13[[#This Row],[MKT Open Price]])/(Table13[[#This Row],[PM Hi]])</f>
        <v>0.14769230769230768</v>
      </c>
      <c r="AK58" s="16">
        <f>IF(Table13[[#This Row],[PM LO]]&gt;Table13[[#This Row],[Prior day close]],(Table13[[#This Row],[PM Hi]]-Table13[[#This Row],[MKT Open Price]])/(Table13[[#This Row],[PM Hi]]-Table13[[#This Row],[Prior day close]]),(Table13[[#This Row],[PM Hi]]-Table13[[#This Row],[MKT Open Price]])/(Table13[[#This Row],[PM Hi]]-Table13[[#This Row],[PM LO]]))</f>
        <v>0.47058823529411764</v>
      </c>
      <c r="AL58" s="16">
        <f>IF(Table13[[#This Row],[Prior day close]]&lt;Table13[[#This Row],[PM LO]],(J58-L58)/(J58-Table13[[#This Row],[Prior day close]]),(J58-L58)/(J58-Table13[[#This Row],[PM LO]]))</f>
        <v>0.24074074074074053</v>
      </c>
      <c r="AM58" s="16">
        <f>Table13[[#This Row],[Spike % on open before drop]]+AN58</f>
        <v>6.1371841155234627E-2</v>
      </c>
      <c r="AN58" s="16">
        <f t="shared" ref="AN58:AN89" si="7">(J58-L58)/J58</f>
        <v>4.6931407942238226E-2</v>
      </c>
      <c r="AO58" s="18">
        <f>IF($K58&gt;=$G58,($K58-$L58)/($K58),(IF($I58&lt;=$L58,($G58-$I58)/($G58),(Table13[[#This Row],[PM Hi]]-Table13[[#This Row],[Lowest lo from open to squeeze]])/(Table13[[#This Row],[PM Hi]]))))</f>
        <v>0.18769230769230766</v>
      </c>
      <c r="AP58" s="18">
        <f>IF(Table13[[#This Row],[Prior day close]]&lt;=Table13[[#This Row],[PM LO]],IF($K58&gt;=$G58,($K58-$L58)/($K58-Table13[[#This Row],[Prior day close]]),(IF($I58&lt;=$L58,($G58-$I58)/($G58-Table13[[#This Row],[Prior day close]]),(Table13[[#This Row],[PM Hi]]-Table13[[#This Row],[Lowest lo from open to squeeze]])/(Table13[[#This Row],[PM Hi]]-Table13[[#This Row],[Prior day close]])))),IF($K58&gt;=$G58,($K58-$L58)/($K58-Table13[[#This Row],[PM LO]]),(IF($I58&lt;=$L58,($G58-$I58)/($G58-Table13[[#This Row],[PM LO]]),(Table13[[#This Row],[PM Hi]]-Table13[[#This Row],[Lowest lo from open to squeeze]])/(Table13[[#This Row],[PM Hi]]-Table13[[#This Row],[PM LO]])))))</f>
        <v>0.59803921568627438</v>
      </c>
      <c r="AQ58" s="18">
        <f>IF(K58&gt;=G58,(K58-L58)/(K58-E58),(IF(I58&lt;=L58,(G58-I58)/(G58-E58),(Table13[[#This Row],[PM Hi]]-Table13[[#This Row],[Lowest lo from open to squeeze]])/(Table13[[#This Row],[PM Hi]]-Table13[[#This Row],[Prior day close]]))))</f>
        <v>0.63541666666666652</v>
      </c>
      <c r="AR58" s="17">
        <f>390+Table13[[#This Row],[Time until ideal entry point (mins) from open]]</f>
        <v>393</v>
      </c>
      <c r="AS58" s="51">
        <f>(Table13[[#This Row],[Time until ideal entry + 390 (6:30)]]+Table13[[#This Row],[Duration of frontside (mins)]])/1440</f>
        <v>0.4826388888888889</v>
      </c>
    </row>
    <row r="59" spans="1:45" x14ac:dyDescent="0.25">
      <c r="A59" s="10" t="s">
        <v>113</v>
      </c>
      <c r="B59" s="11">
        <v>44029</v>
      </c>
      <c r="C59" s="47" t="s">
        <v>78</v>
      </c>
      <c r="D59" t="s">
        <v>114</v>
      </c>
      <c r="E59" s="12">
        <v>4.7300000000000004</v>
      </c>
      <c r="F59" s="13">
        <v>5.75</v>
      </c>
      <c r="G59" s="12">
        <v>10.83</v>
      </c>
      <c r="H59" s="12">
        <v>5.75</v>
      </c>
      <c r="I59" s="12">
        <v>8.7200000000000006</v>
      </c>
      <c r="J59" s="12">
        <v>9.6300000000000008</v>
      </c>
      <c r="K59" s="12">
        <v>9.98</v>
      </c>
      <c r="L59" s="12">
        <v>8</v>
      </c>
      <c r="M59" s="12">
        <v>15.71</v>
      </c>
      <c r="N59" s="12">
        <v>12.7</v>
      </c>
      <c r="O59" s="13">
        <v>95312904</v>
      </c>
      <c r="P59" s="12">
        <v>961352552</v>
      </c>
      <c r="Q59" s="13">
        <v>62.98</v>
      </c>
      <c r="R59">
        <v>5.82</v>
      </c>
      <c r="S59" s="14"/>
      <c r="T59" s="13">
        <v>3705243</v>
      </c>
      <c r="U59" s="13"/>
      <c r="V59" t="s">
        <v>44</v>
      </c>
      <c r="W59">
        <v>24</v>
      </c>
      <c r="X59">
        <v>25</v>
      </c>
      <c r="Y59">
        <v>8.14</v>
      </c>
      <c r="Z59">
        <v>48</v>
      </c>
      <c r="AA59" s="15">
        <f>Table13[[#This Row],[Time until ideal entry + 390 (6:30)]]/(1440)</f>
        <v>0.28819444444444442</v>
      </c>
      <c r="AB59" s="18">
        <f t="shared" si="6"/>
        <v>1.2896405919661731</v>
      </c>
      <c r="AC59" s="18">
        <f>IF(Table13[[#This Row],[HOD AFTER PM HI]]&gt;=Table13[[#This Row],[PM Hi]],((Table13[[#This Row],[HOD AFTER PM HI]]-Table13[[#This Row],[Prior day close]])/Table13[[#This Row],[Prior day close]]),Table13[[#This Row],[Prior Close to PM Hi %]])</f>
        <v>2.3213530655391121</v>
      </c>
      <c r="AD59" s="18">
        <f>(Table13[[#This Row],[Price at hi of squeeze]]-Table13[[#This Row],[MKT Open Price]])/Table13[[#This Row],[MKT Open Price]]</f>
        <v>0.31879543094496349</v>
      </c>
      <c r="AE59" s="18">
        <f>(Table13[[#This Row],[Price at hi of squeeze]]-Table13[[#This Row],[PM Hi]])/Table13[[#This Row],[PM Hi]]</f>
        <v>0.17266851338873493</v>
      </c>
      <c r="AF59" s="18">
        <f t="shared" si="5"/>
        <v>0.58749999999999991</v>
      </c>
      <c r="AG59" s="20">
        <f>Table13[[#This Row],[PM VOL]]/1000000/Table13[[#This Row],[FLOAT(M)]]</f>
        <v>0.63663969072164939</v>
      </c>
      <c r="AH59" s="21">
        <f>(Table13[[#This Row],[Volume]]/1000000)/Table13[[#This Row],[FLOAT(M)]]</f>
        <v>16.37678762886598</v>
      </c>
      <c r="AI59" s="18">
        <f>(Table13[[#This Row],[Hi of Spike after open before drop]]-Table13[[#This Row],[MKT Open Price]])/Table13[[#This Row],[MKT Open Price]]</f>
        <v>3.6344755970924153E-2</v>
      </c>
      <c r="AJ59" s="18">
        <f>(Table13[[#This Row],[PM Hi]]-Table13[[#This Row],[MKT Open Price]])/(Table13[[#This Row],[PM Hi]])</f>
        <v>0.11080332409972292</v>
      </c>
      <c r="AK59" s="16">
        <f>IF(Table13[[#This Row],[PM LO]]&gt;Table13[[#This Row],[Prior day close]],(Table13[[#This Row],[PM Hi]]-Table13[[#This Row],[MKT Open Price]])/(Table13[[#This Row],[PM Hi]]-Table13[[#This Row],[Prior day close]]),(Table13[[#This Row],[PM Hi]]-Table13[[#This Row],[MKT Open Price]])/(Table13[[#This Row],[PM Hi]]-Table13[[#This Row],[PM LO]]))</f>
        <v>0.19672131147540972</v>
      </c>
      <c r="AL59" s="16">
        <f>IF(Table13[[#This Row],[Prior day close]]&lt;Table13[[#This Row],[PM LO]],(J59-L59)/(J59-Table13[[#This Row],[Prior day close]]),(J59-L59)/(J59-Table13[[#This Row],[PM LO]]))</f>
        <v>0.33265306122448995</v>
      </c>
      <c r="AM59" s="16">
        <f>Table13[[#This Row],[Spike % on open before drop]]+AN59</f>
        <v>0.20560747663551404</v>
      </c>
      <c r="AN59" s="16">
        <f t="shared" si="7"/>
        <v>0.16926272066458989</v>
      </c>
      <c r="AO59" s="18">
        <f>IF($K59&gt;=$G59,($K59-$L59)/($K59),(IF($I59&lt;=$L59,($G59-$I59)/($G59),(Table13[[#This Row],[PM Hi]]-Table13[[#This Row],[Lowest lo from open to squeeze]])/(Table13[[#This Row],[PM Hi]]))))</f>
        <v>0.26131117266851339</v>
      </c>
      <c r="AP59" s="18">
        <f>IF(Table13[[#This Row],[Prior day close]]&lt;=Table13[[#This Row],[PM LO]],IF($K59&gt;=$G59,($K59-$L59)/($K59-Table13[[#This Row],[Prior day close]]),(IF($I59&lt;=$L59,($G59-$I59)/($G59-Table13[[#This Row],[Prior day close]]),(Table13[[#This Row],[PM Hi]]-Table13[[#This Row],[Lowest lo from open to squeeze]])/(Table13[[#This Row],[PM Hi]]-Table13[[#This Row],[Prior day close]])))),IF($K59&gt;=$G59,($K59-$L59)/($K59-Table13[[#This Row],[PM LO]]),(IF($I59&lt;=$L59,($G59-$I59)/($G59-Table13[[#This Row],[PM LO]]),(Table13[[#This Row],[PM Hi]]-Table13[[#This Row],[Lowest lo from open to squeeze]])/(Table13[[#This Row],[PM Hi]]-Table13[[#This Row],[PM LO]])))))</f>
        <v>0.46393442622950826</v>
      </c>
      <c r="AQ59" s="18">
        <f>IF(K59&gt;=G59,(K59-L59)/(K59-E59),(IF(I59&lt;=L59,(G59-I59)/(G59-E59),(Table13[[#This Row],[PM Hi]]-Table13[[#This Row],[Lowest lo from open to squeeze]])/(Table13[[#This Row],[PM Hi]]-Table13[[#This Row],[Prior day close]]))))</f>
        <v>0.46393442622950826</v>
      </c>
      <c r="AR59" s="17">
        <f>390+Table13[[#This Row],[Time until ideal entry point (mins) from open]]</f>
        <v>415</v>
      </c>
      <c r="AS59" s="51">
        <f>(Table13[[#This Row],[Time until ideal entry + 390 (6:30)]]+Table13[[#This Row],[Duration of frontside (mins)]])/1440</f>
        <v>0.3215277777777778</v>
      </c>
    </row>
    <row r="60" spans="1:45" s="26" customFormat="1" x14ac:dyDescent="0.25">
      <c r="A60" s="10" t="s">
        <v>91</v>
      </c>
      <c r="B60" s="44">
        <v>44032</v>
      </c>
      <c r="C60" s="47" t="s">
        <v>78</v>
      </c>
      <c r="D60" t="s">
        <v>115</v>
      </c>
      <c r="E60" s="12">
        <v>6.37</v>
      </c>
      <c r="F60" s="13">
        <v>6.74</v>
      </c>
      <c r="G60" s="12">
        <v>15.67</v>
      </c>
      <c r="H60" s="12">
        <v>6.74</v>
      </c>
      <c r="I60" s="12">
        <v>11.07</v>
      </c>
      <c r="J60" s="12">
        <v>10.5</v>
      </c>
      <c r="K60" s="12">
        <v>10.63</v>
      </c>
      <c r="L60" s="12">
        <v>10.130000000000001</v>
      </c>
      <c r="M60" s="12">
        <v>19.53</v>
      </c>
      <c r="N60" s="12">
        <v>19.53</v>
      </c>
      <c r="O60" s="13">
        <v>67448138</v>
      </c>
      <c r="P60" s="12">
        <v>705411894</v>
      </c>
      <c r="Q60" s="13">
        <v>28.37</v>
      </c>
      <c r="R60">
        <v>3.71</v>
      </c>
      <c r="S60" s="14"/>
      <c r="T60" s="13">
        <v>1100393</v>
      </c>
      <c r="U60" s="13"/>
      <c r="V60" t="s">
        <v>44</v>
      </c>
      <c r="W60">
        <v>1</v>
      </c>
      <c r="X60">
        <v>2</v>
      </c>
      <c r="Y60">
        <v>10.61</v>
      </c>
      <c r="Z60">
        <v>40</v>
      </c>
      <c r="AA60" s="15">
        <f>Table13[[#This Row],[Time until ideal entry + 390 (6:30)]]/(1440)</f>
        <v>0.2722222222222222</v>
      </c>
      <c r="AB60" s="18">
        <f t="shared" si="6"/>
        <v>1.4599686028257457</v>
      </c>
      <c r="AC60" s="18">
        <f>IF(Table13[[#This Row],[HOD AFTER PM HI]]&gt;=Table13[[#This Row],[PM Hi]],((Table13[[#This Row],[HOD AFTER PM HI]]-Table13[[#This Row],[Prior day close]])/Table13[[#This Row],[Prior day close]]),Table13[[#This Row],[Prior Close to PM Hi %]])</f>
        <v>2.0659340659340657</v>
      </c>
      <c r="AD60" s="18">
        <f>(Table13[[#This Row],[Price at hi of squeeze]]-Table13[[#This Row],[MKT Open Price]])/Table13[[#This Row],[MKT Open Price]]</f>
        <v>0.8600000000000001</v>
      </c>
      <c r="AE60" s="18">
        <f>(Table13[[#This Row],[Price at hi of squeeze]]-Table13[[#This Row],[PM Hi]])/Table13[[#This Row],[PM Hi]]</f>
        <v>0.246330567964263</v>
      </c>
      <c r="AF60" s="18">
        <f t="shared" si="5"/>
        <v>0.92793682132280353</v>
      </c>
      <c r="AG60" s="20">
        <f>Table13[[#This Row],[PM VOL]]/1000000/Table13[[#This Row],[FLOAT(M)]]</f>
        <v>0.29660188679245281</v>
      </c>
      <c r="AH60" s="21">
        <f>(Table13[[#This Row],[Volume]]/1000000)/Table13[[#This Row],[FLOAT(M)]]</f>
        <v>18.180091105121296</v>
      </c>
      <c r="AI60" s="18">
        <f>(Table13[[#This Row],[Hi of Spike after open before drop]]-Table13[[#This Row],[MKT Open Price]])/Table13[[#This Row],[MKT Open Price]]</f>
        <v>1.2380952380952456E-2</v>
      </c>
      <c r="AJ60" s="18">
        <f>(Table13[[#This Row],[PM Hi]]-Table13[[#This Row],[MKT Open Price]])/(Table13[[#This Row],[PM Hi]])</f>
        <v>0.3299298021697511</v>
      </c>
      <c r="AK60" s="16">
        <f>IF(Table13[[#This Row],[PM LO]]&gt;Table13[[#This Row],[Prior day close]],(Table13[[#This Row],[PM Hi]]-Table13[[#This Row],[MKT Open Price]])/(Table13[[#This Row],[PM Hi]]-Table13[[#This Row],[Prior day close]]),(Table13[[#This Row],[PM Hi]]-Table13[[#This Row],[MKT Open Price]])/(Table13[[#This Row],[PM Hi]]-Table13[[#This Row],[PM LO]]))</f>
        <v>0.55591397849462365</v>
      </c>
      <c r="AL60" s="16">
        <f>IF(Table13[[#This Row],[Prior day close]]&lt;Table13[[#This Row],[PM LO]],(J60-L60)/(J60-Table13[[#This Row],[Prior day close]]),(J60-L60)/(J60-Table13[[#This Row],[PM LO]]))</f>
        <v>8.9588377723970755E-2</v>
      </c>
      <c r="AM60" s="16">
        <f>Table13[[#This Row],[Spike % on open before drop]]+AN60</f>
        <v>4.7619047619047623E-2</v>
      </c>
      <c r="AN60" s="16">
        <f t="shared" si="7"/>
        <v>3.5238095238095166E-2</v>
      </c>
      <c r="AO60" s="18">
        <f>IF($K60&gt;=$G60,($K60-$L60)/($K60),(IF($I60&lt;=$L60,($G60-$I60)/($G60),(Table13[[#This Row],[PM Hi]]-Table13[[#This Row],[Lowest lo from open to squeeze]])/(Table13[[#This Row],[PM Hi]]))))</f>
        <v>0.35354179961710269</v>
      </c>
      <c r="AP60" s="18">
        <f>IF(Table13[[#This Row],[Prior day close]]&lt;=Table13[[#This Row],[PM LO]],IF($K60&gt;=$G60,($K60-$L60)/($K60-Table13[[#This Row],[Prior day close]]),(IF($I60&lt;=$L60,($G60-$I60)/($G60-Table13[[#This Row],[Prior day close]]),(Table13[[#This Row],[PM Hi]]-Table13[[#This Row],[Lowest lo from open to squeeze]])/(Table13[[#This Row],[PM Hi]]-Table13[[#This Row],[Prior day close]])))),IF($K60&gt;=$G60,($K60-$L60)/($K60-Table13[[#This Row],[PM LO]]),(IF($I60&lt;=$L60,($G60-$I60)/($G60-Table13[[#This Row],[PM LO]]),(Table13[[#This Row],[PM Hi]]-Table13[[#This Row],[Lowest lo from open to squeeze]])/(Table13[[#This Row],[PM Hi]]-Table13[[#This Row],[PM LO]])))))</f>
        <v>0.59569892473118269</v>
      </c>
      <c r="AQ60" s="18">
        <f>IF(K60&gt;=G60,(K60-L60)/(K60-E60),(IF(I60&lt;=L60,(G60-I60)/(G60-E60),(Table13[[#This Row],[PM Hi]]-Table13[[#This Row],[Lowest lo from open to squeeze]])/(Table13[[#This Row],[PM Hi]]-Table13[[#This Row],[Prior day close]]))))</f>
        <v>0.59569892473118269</v>
      </c>
      <c r="AR60" s="17">
        <f>390+Table13[[#This Row],[Time until ideal entry point (mins) from open]]</f>
        <v>392</v>
      </c>
      <c r="AS60" s="51">
        <f>(Table13[[#This Row],[Time until ideal entry + 390 (6:30)]]+Table13[[#This Row],[Duration of frontside (mins)]])/1440</f>
        <v>0.3</v>
      </c>
    </row>
    <row r="61" spans="1:45" s="26" customFormat="1" x14ac:dyDescent="0.25">
      <c r="A61" s="10" t="s">
        <v>69</v>
      </c>
      <c r="B61" s="11">
        <v>44032</v>
      </c>
      <c r="C61" s="47" t="s">
        <v>78</v>
      </c>
      <c r="D61" t="s">
        <v>73</v>
      </c>
      <c r="E61" s="12">
        <v>2.04</v>
      </c>
      <c r="F61" s="13">
        <v>3.7</v>
      </c>
      <c r="G61" s="12">
        <v>5.39</v>
      </c>
      <c r="H61" s="12">
        <v>2.14</v>
      </c>
      <c r="I61" s="12">
        <v>4.9000000000000004</v>
      </c>
      <c r="J61" s="12">
        <v>4.8899999999999997</v>
      </c>
      <c r="K61" s="12">
        <v>5</v>
      </c>
      <c r="L61" s="12">
        <v>4.03</v>
      </c>
      <c r="M61" s="12">
        <v>5.24</v>
      </c>
      <c r="N61" s="12">
        <v>5.24</v>
      </c>
      <c r="O61" s="13">
        <v>64184852</v>
      </c>
      <c r="P61" s="12">
        <v>190308086</v>
      </c>
      <c r="Q61" s="13">
        <v>12.71</v>
      </c>
      <c r="R61">
        <v>5.13</v>
      </c>
      <c r="S61" s="14"/>
      <c r="T61" s="13">
        <v>12827663</v>
      </c>
      <c r="U61" s="13" t="s">
        <v>44</v>
      </c>
      <c r="V61" t="s">
        <v>44</v>
      </c>
      <c r="W61">
        <v>24</v>
      </c>
      <c r="X61">
        <v>25</v>
      </c>
      <c r="Y61">
        <v>4.0599999999999996</v>
      </c>
      <c r="Z61">
        <v>19</v>
      </c>
      <c r="AA61" s="15">
        <f>Table13[[#This Row],[Time until ideal entry + 390 (6:30)]]/(1440)</f>
        <v>0.28819444444444442</v>
      </c>
      <c r="AB61" s="18">
        <f t="shared" si="6"/>
        <v>1.6421568627450978</v>
      </c>
      <c r="AC61" s="18">
        <f>IF(Table13[[#This Row],[HOD AFTER PM HI]]&gt;=Table13[[#This Row],[PM Hi]],((Table13[[#This Row],[HOD AFTER PM HI]]-Table13[[#This Row],[Prior day close]])/Table13[[#This Row],[Prior day close]]),Table13[[#This Row],[Prior Close to PM Hi %]])</f>
        <v>1.6421568627450978</v>
      </c>
      <c r="AD61" s="18">
        <f>(Table13[[#This Row],[Price at hi of squeeze]]-Table13[[#This Row],[MKT Open Price]])/Table13[[#This Row],[MKT Open Price]]</f>
        <v>7.1574642126789476E-2</v>
      </c>
      <c r="AE61" s="18">
        <f>(Table13[[#This Row],[Price at hi of squeeze]]-Table13[[#This Row],[PM Hi]])/Table13[[#This Row],[PM Hi]]</f>
        <v>-2.782931354359916E-2</v>
      </c>
      <c r="AF61" s="18">
        <f t="shared" si="5"/>
        <v>0.30024813895781632</v>
      </c>
      <c r="AG61" s="20">
        <f>Table13[[#This Row],[PM VOL]]/1000000/Table13[[#This Row],[FLOAT(M)]]</f>
        <v>2.5005191033138399</v>
      </c>
      <c r="AH61" s="21">
        <f>(Table13[[#This Row],[Volume]]/1000000)/Table13[[#This Row],[FLOAT(M)]]</f>
        <v>12.511667056530216</v>
      </c>
      <c r="AI61" s="18">
        <f>(Table13[[#This Row],[Hi of Spike after open before drop]]-Table13[[#This Row],[MKT Open Price]])/Table13[[#This Row],[MKT Open Price]]</f>
        <v>2.2494887525562439E-2</v>
      </c>
      <c r="AJ61" s="18">
        <f>(Table13[[#This Row],[PM Hi]]-Table13[[#This Row],[MKT Open Price]])/(Table13[[#This Row],[PM Hi]])</f>
        <v>9.27643784786642E-2</v>
      </c>
      <c r="AK61" s="16">
        <f>IF(Table13[[#This Row],[PM LO]]&gt;Table13[[#This Row],[Prior day close]],(Table13[[#This Row],[PM Hi]]-Table13[[#This Row],[MKT Open Price]])/(Table13[[#This Row],[PM Hi]]-Table13[[#This Row],[Prior day close]]),(Table13[[#This Row],[PM Hi]]-Table13[[#This Row],[MKT Open Price]])/(Table13[[#This Row],[PM Hi]]-Table13[[#This Row],[PM LO]]))</f>
        <v>0.1492537313432836</v>
      </c>
      <c r="AL61" s="16">
        <f>IF(Table13[[#This Row],[Prior day close]]&lt;Table13[[#This Row],[PM LO]],(J61-L61)/(J61-Table13[[#This Row],[Prior day close]]),(J61-L61)/(J61-Table13[[#This Row],[PM LO]]))</f>
        <v>0.30175438596491211</v>
      </c>
      <c r="AM61" s="16">
        <f>Table13[[#This Row],[Spike % on open before drop]]+AN61</f>
        <v>0.19836400817995906</v>
      </c>
      <c r="AN61" s="16">
        <f t="shared" si="7"/>
        <v>0.17586912065439661</v>
      </c>
      <c r="AO61" s="18">
        <f>IF($K61&gt;=$G61,($K61-$L61)/($K61),(IF($I61&lt;=$L61,($G61-$I61)/($G61),(Table13[[#This Row],[PM Hi]]-Table13[[#This Row],[Lowest lo from open to squeeze]])/(Table13[[#This Row],[PM Hi]]))))</f>
        <v>0.25231910946196651</v>
      </c>
      <c r="AP61" s="18">
        <f>IF(Table13[[#This Row],[Prior day close]]&lt;=Table13[[#This Row],[PM LO]],IF($K61&gt;=$G61,($K61-$L61)/($K61-Table13[[#This Row],[Prior day close]]),(IF($I61&lt;=$L61,($G61-$I61)/($G61-Table13[[#This Row],[Prior day close]]),(Table13[[#This Row],[PM Hi]]-Table13[[#This Row],[Lowest lo from open to squeeze]])/(Table13[[#This Row],[PM Hi]]-Table13[[#This Row],[Prior day close]])))),IF($K61&gt;=$G61,($K61-$L61)/($K61-Table13[[#This Row],[PM LO]]),(IF($I61&lt;=$L61,($G61-$I61)/($G61-Table13[[#This Row],[PM LO]]),(Table13[[#This Row],[PM Hi]]-Table13[[#This Row],[Lowest lo from open to squeeze]])/(Table13[[#This Row],[PM Hi]]-Table13[[#This Row],[PM LO]])))))</f>
        <v>0.40597014925373121</v>
      </c>
      <c r="AQ61" s="18">
        <f>IF(K61&gt;=G61,(K61-L61)/(K61-E61),(IF(I61&lt;=L61,(G61-I61)/(G61-E61),(Table13[[#This Row],[PM Hi]]-Table13[[#This Row],[Lowest lo from open to squeeze]])/(Table13[[#This Row],[PM Hi]]-Table13[[#This Row],[Prior day close]]))))</f>
        <v>0.40597014925373121</v>
      </c>
      <c r="AR61" s="17">
        <f>390+Table13[[#This Row],[Time until ideal entry point (mins) from open]]</f>
        <v>415</v>
      </c>
      <c r="AS61" s="51">
        <f>(Table13[[#This Row],[Time until ideal entry + 390 (6:30)]]+Table13[[#This Row],[Duration of frontside (mins)]])/1440</f>
        <v>0.30138888888888887</v>
      </c>
    </row>
    <row r="62" spans="1:45" s="26" customFormat="1" x14ac:dyDescent="0.25">
      <c r="A62" s="10" t="s">
        <v>116</v>
      </c>
      <c r="B62" s="44">
        <v>44033</v>
      </c>
      <c r="C62" s="47" t="s">
        <v>78</v>
      </c>
      <c r="D62" t="s">
        <v>89</v>
      </c>
      <c r="E62" s="12">
        <v>1.72</v>
      </c>
      <c r="F62" s="13">
        <v>1.8</v>
      </c>
      <c r="G62" s="12">
        <v>4.0199999999999996</v>
      </c>
      <c r="H62" s="12">
        <v>1.8</v>
      </c>
      <c r="I62" s="12">
        <v>2.68</v>
      </c>
      <c r="J62" s="12">
        <v>3.08</v>
      </c>
      <c r="K62" s="12">
        <v>3.3</v>
      </c>
      <c r="L62" s="12">
        <v>3.06</v>
      </c>
      <c r="M62" s="12">
        <v>7.07</v>
      </c>
      <c r="N62" s="12">
        <v>6.85</v>
      </c>
      <c r="O62" s="13">
        <v>199756150</v>
      </c>
      <c r="P62" s="12">
        <v>808412255</v>
      </c>
      <c r="Q62" s="13">
        <v>13.35</v>
      </c>
      <c r="R62">
        <v>5.15</v>
      </c>
      <c r="S62" s="14"/>
      <c r="T62" s="13">
        <v>6111542</v>
      </c>
      <c r="U62" s="13"/>
      <c r="V62" t="s">
        <v>44</v>
      </c>
      <c r="W62">
        <v>1</v>
      </c>
      <c r="X62">
        <v>2</v>
      </c>
      <c r="Y62">
        <v>3.3</v>
      </c>
      <c r="Z62">
        <v>39</v>
      </c>
      <c r="AA62" s="15">
        <f>Table13[[#This Row],[Time until ideal entry + 390 (6:30)]]/(1440)</f>
        <v>0.2722222222222222</v>
      </c>
      <c r="AB62" s="18">
        <f t="shared" si="6"/>
        <v>1.3372093023255813</v>
      </c>
      <c r="AC62" s="18">
        <f>IF(Table13[[#This Row],[HOD AFTER PM HI]]&gt;=Table13[[#This Row],[PM Hi]],((Table13[[#This Row],[HOD AFTER PM HI]]-Table13[[#This Row],[Prior day close]])/Table13[[#This Row],[Prior day close]]),Table13[[#This Row],[Prior Close to PM Hi %]])</f>
        <v>3.11046511627907</v>
      </c>
      <c r="AD62" s="18">
        <f>(Table13[[#This Row],[Price at hi of squeeze]]-Table13[[#This Row],[MKT Open Price]])/Table13[[#This Row],[MKT Open Price]]</f>
        <v>1.2240259740259738</v>
      </c>
      <c r="AE62" s="18">
        <f>(Table13[[#This Row],[Price at hi of squeeze]]-Table13[[#This Row],[PM Hi]])/Table13[[#This Row],[PM Hi]]</f>
        <v>0.70398009950248763</v>
      </c>
      <c r="AF62" s="18">
        <f t="shared" si="5"/>
        <v>1.2385620915032678</v>
      </c>
      <c r="AG62" s="20">
        <f>Table13[[#This Row],[PM VOL]]/1000000/Table13[[#This Row],[FLOAT(M)]]</f>
        <v>1.1867071844660193</v>
      </c>
      <c r="AH62" s="21">
        <f>(Table13[[#This Row],[Volume]]/1000000)/Table13[[#This Row],[FLOAT(M)]]</f>
        <v>38.787601941747567</v>
      </c>
      <c r="AI62" s="18">
        <f>(Table13[[#This Row],[Hi of Spike after open before drop]]-Table13[[#This Row],[MKT Open Price]])/Table13[[#This Row],[MKT Open Price]]</f>
        <v>7.1428571428571341E-2</v>
      </c>
      <c r="AJ62" s="18">
        <f>(Table13[[#This Row],[PM Hi]]-Table13[[#This Row],[MKT Open Price]])/(Table13[[#This Row],[PM Hi]])</f>
        <v>0.23383084577114419</v>
      </c>
      <c r="AK62" s="16">
        <f>IF(Table13[[#This Row],[PM LO]]&gt;Table13[[#This Row],[Prior day close]],(Table13[[#This Row],[PM Hi]]-Table13[[#This Row],[MKT Open Price]])/(Table13[[#This Row],[PM Hi]]-Table13[[#This Row],[Prior day close]]),(Table13[[#This Row],[PM Hi]]-Table13[[#This Row],[MKT Open Price]])/(Table13[[#This Row],[PM Hi]]-Table13[[#This Row],[PM LO]]))</f>
        <v>0.40869565217391285</v>
      </c>
      <c r="AL62" s="16">
        <f>IF(Table13[[#This Row],[Prior day close]]&lt;Table13[[#This Row],[PM LO]],(J62-L62)/(J62-Table13[[#This Row],[Prior day close]]),(J62-L62)/(J62-Table13[[#This Row],[PM LO]]))</f>
        <v>1.4705882352941188E-2</v>
      </c>
      <c r="AM62" s="16">
        <f>Table13[[#This Row],[Spike % on open before drop]]+AN62</f>
        <v>7.7922077922077837E-2</v>
      </c>
      <c r="AN62" s="16">
        <f t="shared" si="7"/>
        <v>6.4935064935064991E-3</v>
      </c>
      <c r="AO62" s="18">
        <f>IF($K62&gt;=$G62,($K62-$L62)/($K62),(IF($I62&lt;=$L62,($G62-$I62)/($G62),(Table13[[#This Row],[PM Hi]]-Table13[[#This Row],[Lowest lo from open to squeeze]])/(Table13[[#This Row],[PM Hi]]))))</f>
        <v>0.3333333333333332</v>
      </c>
      <c r="AP62" s="18">
        <f>IF(Table13[[#This Row],[Prior day close]]&lt;=Table13[[#This Row],[PM LO]],IF($K62&gt;=$G62,($K62-$L62)/($K62-Table13[[#This Row],[Prior day close]]),(IF($I62&lt;=$L62,($G62-$I62)/($G62-Table13[[#This Row],[Prior day close]]),(Table13[[#This Row],[PM Hi]]-Table13[[#This Row],[Lowest lo from open to squeeze]])/(Table13[[#This Row],[PM Hi]]-Table13[[#This Row],[Prior day close]])))),IF($K62&gt;=$G62,($K62-$L62)/($K62-Table13[[#This Row],[PM LO]]),(IF($I62&lt;=$L62,($G62-$I62)/($G62-Table13[[#This Row],[PM LO]]),(Table13[[#This Row],[PM Hi]]-Table13[[#This Row],[Lowest lo from open to squeeze]])/(Table13[[#This Row],[PM Hi]]-Table13[[#This Row],[PM LO]])))))</f>
        <v>0.58260869565217366</v>
      </c>
      <c r="AQ62" s="18">
        <f>IF(K62&gt;=G62,(K62-L62)/(K62-E62),(IF(I62&lt;=L62,(G62-I62)/(G62-E62),(Table13[[#This Row],[PM Hi]]-Table13[[#This Row],[Lowest lo from open to squeeze]])/(Table13[[#This Row],[PM Hi]]-Table13[[#This Row],[Prior day close]]))))</f>
        <v>0.58260869565217366</v>
      </c>
      <c r="AR62" s="17">
        <f>390+Table13[[#This Row],[Time until ideal entry point (mins) from open]]</f>
        <v>392</v>
      </c>
      <c r="AS62" s="51">
        <f>(Table13[[#This Row],[Time until ideal entry + 390 (6:30)]]+Table13[[#This Row],[Duration of frontside (mins)]])/1440</f>
        <v>0.29930555555555555</v>
      </c>
    </row>
    <row r="63" spans="1:45" x14ac:dyDescent="0.25">
      <c r="A63" s="24" t="s">
        <v>117</v>
      </c>
      <c r="B63" s="11">
        <v>44034</v>
      </c>
      <c r="C63" s="47" t="s">
        <v>78</v>
      </c>
      <c r="D63" t="s">
        <v>118</v>
      </c>
      <c r="E63" s="12">
        <v>2.5</v>
      </c>
      <c r="F63" s="13">
        <v>2.38</v>
      </c>
      <c r="G63" s="12">
        <v>4.2</v>
      </c>
      <c r="H63" s="12"/>
      <c r="I63" s="12">
        <v>3.75</v>
      </c>
      <c r="J63" s="12">
        <v>3.8</v>
      </c>
      <c r="K63" s="12">
        <v>4.0999999999999996</v>
      </c>
      <c r="L63" s="12">
        <v>3.44</v>
      </c>
      <c r="M63" s="12">
        <v>4.8</v>
      </c>
      <c r="N63" s="12">
        <v>4.8</v>
      </c>
      <c r="O63" s="13">
        <v>82729817</v>
      </c>
      <c r="P63" s="12">
        <v>268871905</v>
      </c>
      <c r="Q63" s="37">
        <v>16</v>
      </c>
      <c r="R63"/>
      <c r="S63" s="37"/>
      <c r="T63" s="37"/>
      <c r="U63" s="37"/>
      <c r="V63" s="37"/>
      <c r="W63" s="38"/>
      <c r="X63"/>
      <c r="Y63" s="39"/>
      <c r="Z63"/>
      <c r="AA63" s="40">
        <f>Table13[[#This Row],[Time until ideal entry + 390 (6:30)]]/(1440)</f>
        <v>0.27083333333333331</v>
      </c>
      <c r="AB63" s="18">
        <f t="shared" si="6"/>
        <v>0.68</v>
      </c>
      <c r="AC63" s="18">
        <f>IF(Table13[[#This Row],[HOD AFTER PM HI]]&gt;=Table13[[#This Row],[PM Hi]],((Table13[[#This Row],[HOD AFTER PM HI]]-Table13[[#This Row],[Prior day close]])/Table13[[#This Row],[Prior day close]]),Table13[[#This Row],[Prior Close to PM Hi %]])</f>
        <v>0.91999999999999993</v>
      </c>
      <c r="AD63" s="18">
        <f>(Table13[[#This Row],[Price at hi of squeeze]]-Table13[[#This Row],[MKT Open Price]])/Table13[[#This Row],[MKT Open Price]]</f>
        <v>0.26315789473684209</v>
      </c>
      <c r="AE63" s="18">
        <f>(Table13[[#This Row],[Price at hi of squeeze]]-Table13[[#This Row],[PM Hi]])/Table13[[#This Row],[PM Hi]]</f>
        <v>0.14285714285714277</v>
      </c>
      <c r="AF63" s="18">
        <f t="shared" si="5"/>
        <v>0.39534883720930231</v>
      </c>
      <c r="AG63" s="20" t="e">
        <f>Table13[[#This Row],[PM VOL]]/1000000/Table13[[#This Row],[FLOAT(M)]]</f>
        <v>#DIV/0!</v>
      </c>
      <c r="AH63" s="23" t="e">
        <f>(Table13[[#This Row],[Volume]]/1000000)/Table13[[#This Row],[FLOAT(M)]]</f>
        <v>#DIV/0!</v>
      </c>
      <c r="AJ63" s="18">
        <f>(Table13[[#This Row],[PM Hi]]-Table13[[#This Row],[MKT Open Price]])/(Table13[[#This Row],[PM Hi]])</f>
        <v>9.5238095238095316E-2</v>
      </c>
      <c r="AK63" s="16">
        <f>IF(Table13[[#This Row],[PM LO]]&gt;Table13[[#This Row],[Prior day close]],(Table13[[#This Row],[PM Hi]]-Table13[[#This Row],[MKT Open Price]])/(Table13[[#This Row],[PM Hi]]-Table13[[#This Row],[Prior day close]]),(Table13[[#This Row],[PM Hi]]-Table13[[#This Row],[MKT Open Price]])/(Table13[[#This Row],[PM Hi]]-Table13[[#This Row],[PM LO]]))</f>
        <v>9.5238095238095316E-2</v>
      </c>
      <c r="AL63" s="18">
        <f>IF(Table13[[#This Row],[Prior day close]]&lt;Table13[[#This Row],[PM LO]],(J63-L63)/(J63-Table13[[#This Row],[Prior day close]]),(J63-L63)/(J63-Table13[[#This Row],[PM LO]]))</f>
        <v>9.4736842105263133E-2</v>
      </c>
      <c r="AM63" s="18">
        <f>Table13[[#This Row],[Spike % on open before drop]]+AN63</f>
        <v>9.4736842105263133E-2</v>
      </c>
      <c r="AN63" s="16">
        <f t="shared" si="7"/>
        <v>9.4736842105263133E-2</v>
      </c>
      <c r="AO63" s="16"/>
      <c r="AP63" s="18">
        <f>IF(Table13[[#This Row],[Prior day close]]&lt;=Table13[[#This Row],[PM LO]],IF($K63&gt;=$G63,($K63-$L63)/($K63-Table13[[#This Row],[Prior day close]]),(IF($I63&lt;=$L63,($G63-$I63)/($G63-Table13[[#This Row],[Prior day close]]),(Table13[[#This Row],[PM Hi]]-Table13[[#This Row],[Lowest lo from open to squeeze]])/(Table13[[#This Row],[PM Hi]]-Table13[[#This Row],[Prior day close]])))),IF($K63&gt;=$G63,($K63-$L63)/($K63-Table13[[#This Row],[PM LO]]),(IF($I63&lt;=$L63,($G63-$I63)/($G63-Table13[[#This Row],[PM LO]]),(Table13[[#This Row],[PM Hi]]-Table13[[#This Row],[Lowest lo from open to squeeze]])/(Table13[[#This Row],[PM Hi]]-Table13[[#This Row],[PM LO]])))))</f>
        <v>0.180952380952381</v>
      </c>
      <c r="AQ63" s="18"/>
      <c r="AR63" s="17">
        <f>390+Table13[[#This Row],[Time until ideal entry point (mins) from open]]</f>
        <v>390</v>
      </c>
      <c r="AS63" s="51">
        <f>(Table13[[#This Row],[Time until ideal entry + 390 (6:30)]]+Table13[[#This Row],[Duration of frontside (mins)]])/1440</f>
        <v>0.27083333333333331</v>
      </c>
    </row>
    <row r="64" spans="1:45" x14ac:dyDescent="0.25">
      <c r="A64" s="10" t="s">
        <v>120</v>
      </c>
      <c r="B64" s="11">
        <v>44040</v>
      </c>
      <c r="C64" s="47" t="s">
        <v>78</v>
      </c>
      <c r="E64" s="12">
        <v>2.73</v>
      </c>
      <c r="F64" s="13">
        <v>2.8</v>
      </c>
      <c r="G64" s="12">
        <v>9.74</v>
      </c>
      <c r="H64" s="12">
        <v>2.8</v>
      </c>
      <c r="I64" s="12">
        <v>9.36</v>
      </c>
      <c r="J64" s="12">
        <v>9.6300000000000008</v>
      </c>
      <c r="K64" s="12">
        <v>10.8</v>
      </c>
      <c r="L64" s="12">
        <v>8.9700000000000006</v>
      </c>
      <c r="M64" s="12">
        <v>11.8</v>
      </c>
      <c r="N64" s="12">
        <v>11.8</v>
      </c>
      <c r="O64" s="13">
        <v>264169530</v>
      </c>
      <c r="P64" s="12">
        <v>2108114560</v>
      </c>
      <c r="Q64" s="13">
        <v>116.77</v>
      </c>
      <c r="R64">
        <v>8.18</v>
      </c>
      <c r="S64" s="14"/>
      <c r="T64" s="13">
        <v>27128120</v>
      </c>
      <c r="U64" s="13" t="s">
        <v>42</v>
      </c>
      <c r="V64" t="s">
        <v>44</v>
      </c>
      <c r="W64">
        <v>9</v>
      </c>
      <c r="X64">
        <v>10</v>
      </c>
      <c r="Y64">
        <v>9.4499999999999993</v>
      </c>
      <c r="Z64">
        <v>25</v>
      </c>
      <c r="AA64" s="15">
        <f>Table13[[#This Row],[Time until ideal entry + 390 (6:30)]]/(1440)</f>
        <v>0.27777777777777779</v>
      </c>
      <c r="AB64" s="18">
        <f t="shared" si="6"/>
        <v>2.5677655677655675</v>
      </c>
      <c r="AC64" s="18">
        <f>IF(Table13[[#This Row],[HOD AFTER PM HI]]&gt;=Table13[[#This Row],[PM Hi]],((Table13[[#This Row],[HOD AFTER PM HI]]-Table13[[#This Row],[Prior day close]])/Table13[[#This Row],[Prior day close]]),Table13[[#This Row],[Prior Close to PM Hi %]])</f>
        <v>3.3223443223443225</v>
      </c>
      <c r="AD64" s="18">
        <f>(Table13[[#This Row],[Price at hi of squeeze]]-Table13[[#This Row],[MKT Open Price]])/Table13[[#This Row],[MKT Open Price]]</f>
        <v>0.22533748701973</v>
      </c>
      <c r="AE64" s="18">
        <f>(Table13[[#This Row],[Price at hi of squeeze]]-Table13[[#This Row],[PM Hi]])/Table13[[#This Row],[PM Hi]]</f>
        <v>0.21149897330595488</v>
      </c>
      <c r="AF64" s="18">
        <f t="shared" si="5"/>
        <v>0.31549609810479373</v>
      </c>
      <c r="AG64" s="20">
        <f>Table13[[#This Row],[PM VOL]]/1000000/Table13[[#This Row],[FLOAT(M)]]</f>
        <v>3.3163960880195598</v>
      </c>
      <c r="AH64" s="21">
        <f>(Table13[[#This Row],[Volume]]/1000000)/Table13[[#This Row],[FLOAT(M)]]</f>
        <v>32.294563569682154</v>
      </c>
      <c r="AI64" s="18">
        <f>(Table13[[#This Row],[Hi of Spike after open before drop]]-Table13[[#This Row],[MKT Open Price]])/Table13[[#This Row],[MKT Open Price]]</f>
        <v>0.12149532710280372</v>
      </c>
      <c r="AJ64" s="18">
        <f>(Table13[[#This Row],[PM Hi]]-Table13[[#This Row],[MKT Open Price]])/(Table13[[#This Row],[PM Hi]])</f>
        <v>1.129363449691986E-2</v>
      </c>
      <c r="AK64" s="16">
        <f>IF(Table13[[#This Row],[PM LO]]&gt;Table13[[#This Row],[Prior day close]],(Table13[[#This Row],[PM Hi]]-Table13[[#This Row],[MKT Open Price]])/(Table13[[#This Row],[PM Hi]]-Table13[[#This Row],[Prior day close]]),(Table13[[#This Row],[PM Hi]]-Table13[[#This Row],[MKT Open Price]])/(Table13[[#This Row],[PM Hi]]-Table13[[#This Row],[PM LO]]))</f>
        <v>1.5691868758915754E-2</v>
      </c>
      <c r="AL64" s="16">
        <f>IF(Table13[[#This Row],[Prior day close]]&lt;Table13[[#This Row],[PM LO]],(J64-L64)/(J64-Table13[[#This Row],[Prior day close]]),(J64-L64)/(J64-Table13[[#This Row],[PM LO]]))</f>
        <v>9.5652173913043495E-2</v>
      </c>
      <c r="AM64" s="16">
        <f>Table13[[#This Row],[Spike % on open before drop]]+AN64</f>
        <v>0.19003115264797507</v>
      </c>
      <c r="AN64" s="16">
        <f t="shared" si="7"/>
        <v>6.8535825545171347E-2</v>
      </c>
      <c r="AO64" s="18">
        <f>IF($K64&gt;=$G64,($K64-$L64)/($K64),(IF($I64&lt;=$L64,($G64-$I64)/($G64),(Table13[[#This Row],[PM Hi]]-Table13[[#This Row],[Lowest lo from open to squeeze]])/(Table13[[#This Row],[PM Hi]]))))</f>
        <v>0.16944444444444445</v>
      </c>
      <c r="AP64" s="18">
        <f>IF(Table13[[#This Row],[Prior day close]]&lt;=Table13[[#This Row],[PM LO]],IF($K64&gt;=$G64,($K64-$L64)/($K64-Table13[[#This Row],[Prior day close]]),(IF($I64&lt;=$L64,($G64-$I64)/($G64-Table13[[#This Row],[Prior day close]]),(Table13[[#This Row],[PM Hi]]-Table13[[#This Row],[Lowest lo from open to squeeze]])/(Table13[[#This Row],[PM Hi]]-Table13[[#This Row],[Prior day close]])))),IF($K64&gt;=$G64,($K64-$L64)/($K64-Table13[[#This Row],[PM LO]]),(IF($I64&lt;=$L64,($G64-$I64)/($G64-Table13[[#This Row],[PM LO]]),(Table13[[#This Row],[PM Hi]]-Table13[[#This Row],[Lowest lo from open to squeeze]])/(Table13[[#This Row],[PM Hi]]-Table13[[#This Row],[PM LO]])))))</f>
        <v>0.22676579925650558</v>
      </c>
      <c r="AQ64" s="18">
        <f>IF(K64&gt;=G64,(K64-L64)/(K64-E64),(IF(I64&lt;=L64,(G64-I64)/(G64-E64),(Table13[[#This Row],[PM Hi]]-Table13[[#This Row],[Lowest lo from open to squeeze]])/(Table13[[#This Row],[PM Hi]]-Table13[[#This Row],[Prior day close]]))))</f>
        <v>0.22676579925650558</v>
      </c>
      <c r="AR64" s="17">
        <f>390+Table13[[#This Row],[Time until ideal entry point (mins) from open]]</f>
        <v>400</v>
      </c>
      <c r="AS64" s="51">
        <f>(Table13[[#This Row],[Time until ideal entry + 390 (6:30)]]+Table13[[#This Row],[Duration of frontside (mins)]])/1440</f>
        <v>0.2951388888888889</v>
      </c>
    </row>
    <row r="65" spans="1:45" x14ac:dyDescent="0.25">
      <c r="A65" s="10" t="s">
        <v>121</v>
      </c>
      <c r="B65" s="11">
        <v>44041</v>
      </c>
      <c r="C65" s="47" t="s">
        <v>78</v>
      </c>
      <c r="E65" s="12">
        <v>13.21</v>
      </c>
      <c r="F65" s="13">
        <v>12.03</v>
      </c>
      <c r="G65" s="12">
        <v>18.5</v>
      </c>
      <c r="H65" s="12">
        <v>11.22</v>
      </c>
      <c r="I65" s="12">
        <v>18.100000000000001</v>
      </c>
      <c r="J65" s="12">
        <v>18.43</v>
      </c>
      <c r="K65" s="12">
        <v>22.05</v>
      </c>
      <c r="L65" s="12">
        <v>17.5</v>
      </c>
      <c r="M65" s="12">
        <v>60</v>
      </c>
      <c r="N65" s="12">
        <v>60</v>
      </c>
      <c r="O65" s="13">
        <v>222598315</v>
      </c>
      <c r="P65" s="12">
        <v>8973950704</v>
      </c>
      <c r="Q65" s="13">
        <v>353.89</v>
      </c>
      <c r="R65" s="13">
        <v>8.18</v>
      </c>
      <c r="S65" s="13"/>
      <c r="T65" s="13">
        <v>43387369</v>
      </c>
      <c r="U65" s="13" t="s">
        <v>42</v>
      </c>
      <c r="V65" t="s">
        <v>42</v>
      </c>
      <c r="W65">
        <v>21</v>
      </c>
      <c r="X65">
        <v>22</v>
      </c>
      <c r="Y65">
        <v>18.239999999999998</v>
      </c>
      <c r="Z65">
        <v>50</v>
      </c>
      <c r="AA65" s="15">
        <f>Table13[[#This Row],[Time until ideal entry + 390 (6:30)]]/(1440)</f>
        <v>0.28611111111111109</v>
      </c>
      <c r="AB65" s="18">
        <f t="shared" si="6"/>
        <v>0.40045420136260401</v>
      </c>
      <c r="AC65" s="18">
        <f>IF(Table13[[#This Row],[HOD AFTER PM HI]]&gt;=Table13[[#This Row],[PM Hi]],((Table13[[#This Row],[HOD AFTER PM HI]]-Table13[[#This Row],[Prior day close]])/Table13[[#This Row],[Prior day close]]),Table13[[#This Row],[Prior Close to PM Hi %]])</f>
        <v>3.5420136260408777</v>
      </c>
      <c r="AD65" s="18">
        <f>(Table13[[#This Row],[Price at hi of squeeze]]-Table13[[#This Row],[MKT Open Price]])/Table13[[#This Row],[MKT Open Price]]</f>
        <v>2.2555615843733046</v>
      </c>
      <c r="AE65" s="18">
        <f>(Table13[[#This Row],[Price at hi of squeeze]]-Table13[[#This Row],[PM Hi]])/Table13[[#This Row],[PM Hi]]</f>
        <v>2.2432432432432434</v>
      </c>
      <c r="AF65" s="18">
        <f t="shared" si="5"/>
        <v>2.4285714285714284</v>
      </c>
      <c r="AG65" s="20">
        <f>Table13[[#This Row],[PM VOL]]/1000000/Table13[[#This Row],[FLOAT(M)]]</f>
        <v>5.3040793398533008</v>
      </c>
      <c r="AH65" s="23">
        <f>(Table13[[#This Row],[Volume]]/1000000)/Table13[[#This Row],[FLOAT(M)]]</f>
        <v>27.212507946210273</v>
      </c>
      <c r="AI65" s="18">
        <f>(Table13[[#This Row],[Hi of Spike after open before drop]]-Table13[[#This Row],[MKT Open Price]])/Table13[[#This Row],[MKT Open Price]]</f>
        <v>0.19641888225718943</v>
      </c>
      <c r="AJ65" s="18">
        <f>(Table13[[#This Row],[PM Hi]]-Table13[[#This Row],[MKT Open Price]])/(Table13[[#This Row],[PM Hi]])</f>
        <v>3.7837837837837993E-3</v>
      </c>
      <c r="AK65" s="16">
        <f>IF(Table13[[#This Row],[PM LO]]&gt;Table13[[#This Row],[Prior day close]],(Table13[[#This Row],[PM Hi]]-Table13[[#This Row],[MKT Open Price]])/(Table13[[#This Row],[PM Hi]]-Table13[[#This Row],[Prior day close]]),(Table13[[#This Row],[PM Hi]]-Table13[[#This Row],[MKT Open Price]])/(Table13[[#This Row],[PM Hi]]-Table13[[#This Row],[PM LO]]))</f>
        <v>9.6153846153846558E-3</v>
      </c>
      <c r="AL65" s="16">
        <f>IF(Table13[[#This Row],[Prior day close]]&lt;Table13[[#This Row],[PM LO]],(J65-L65)/(J65-Table13[[#This Row],[Prior day close]]),(J65-L65)/(J65-Table13[[#This Row],[PM LO]]))</f>
        <v>0.12898751733703187</v>
      </c>
      <c r="AM65" s="16">
        <f>Table13[[#This Row],[Spike % on open before drop]]+AN65</f>
        <v>0.24688008681497564</v>
      </c>
      <c r="AN65" s="16">
        <f t="shared" si="7"/>
        <v>5.0461204557786202E-2</v>
      </c>
      <c r="AO65" s="18">
        <f>IF($K65&gt;=$G65,($K65-$L65)/($K65),(IF($I65&lt;=$L65,($G65-$I65)/($G65),(Table13[[#This Row],[PM Hi]]-Table13[[#This Row],[Lowest lo from open to squeeze]])/(Table13[[#This Row],[PM Hi]]))))</f>
        <v>0.20634920634920637</v>
      </c>
      <c r="AP65" s="18">
        <f>IF(Table13[[#This Row],[Prior day close]]&lt;=Table13[[#This Row],[PM LO]],IF($K65&gt;=$G65,($K65-$L65)/($K65-Table13[[#This Row],[Prior day close]]),(IF($I65&lt;=$L65,($G65-$I65)/($G65-Table13[[#This Row],[Prior day close]]),(Table13[[#This Row],[PM Hi]]-Table13[[#This Row],[Lowest lo from open to squeeze]])/(Table13[[#This Row],[PM Hi]]-Table13[[#This Row],[Prior day close]])))),IF($K65&gt;=$G65,($K65-$L65)/($K65-Table13[[#This Row],[PM LO]]),(IF($I65&lt;=$L65,($G65-$I65)/($G65-Table13[[#This Row],[PM LO]]),(Table13[[#This Row],[PM Hi]]-Table13[[#This Row],[Lowest lo from open to squeeze]])/(Table13[[#This Row],[PM Hi]]-Table13[[#This Row],[PM LO]])))))</f>
        <v>0.42012927054478305</v>
      </c>
      <c r="AQ65" s="18">
        <f>IF(K65&gt;=G65,(K65-L65)/(K65-E65),(IF(I65&lt;=L65,(G65-I65)/(G65-E65),(Table13[[#This Row],[PM Hi]]-Table13[[#This Row],[Lowest lo from open to squeeze]])/(Table13[[#This Row],[PM Hi]]-Table13[[#This Row],[Prior day close]]))))</f>
        <v>0.51470588235294124</v>
      </c>
      <c r="AR65" s="17">
        <f>390+Table13[[#This Row],[Time until ideal entry point (mins) from open]]</f>
        <v>412</v>
      </c>
      <c r="AS65" s="51">
        <f>(Table13[[#This Row],[Time until ideal entry + 390 (6:30)]]+Table13[[#This Row],[Duration of frontside (mins)]])/1440</f>
        <v>0.32083333333333336</v>
      </c>
    </row>
    <row r="66" spans="1:45" x14ac:dyDescent="0.25">
      <c r="A66" s="10" t="s">
        <v>122</v>
      </c>
      <c r="B66" s="44">
        <v>44046</v>
      </c>
      <c r="C66" s="47" t="s">
        <v>78</v>
      </c>
      <c r="E66" s="12">
        <v>2.72</v>
      </c>
      <c r="F66" s="13">
        <v>2.41</v>
      </c>
      <c r="G66" s="12">
        <v>3.19</v>
      </c>
      <c r="H66" s="12">
        <v>2.36</v>
      </c>
      <c r="I66" s="12">
        <v>3.1</v>
      </c>
      <c r="J66" s="12">
        <v>3.11</v>
      </c>
      <c r="K66" s="12">
        <v>3.66</v>
      </c>
      <c r="L66" s="12">
        <v>2.84</v>
      </c>
      <c r="M66" s="12">
        <v>4.79</v>
      </c>
      <c r="N66" s="12">
        <v>4.79</v>
      </c>
      <c r="O66" s="13">
        <v>213154698</v>
      </c>
      <c r="P66" s="12">
        <v>850094351</v>
      </c>
      <c r="Q66" s="13">
        <v>50.61</v>
      </c>
      <c r="R66">
        <v>18.010000000000002</v>
      </c>
      <c r="S66" s="14"/>
      <c r="T66" s="13">
        <v>6899903</v>
      </c>
      <c r="U66" s="13" t="s">
        <v>44</v>
      </c>
      <c r="V66" t="s">
        <v>42</v>
      </c>
      <c r="W66">
        <v>17</v>
      </c>
      <c r="X66">
        <v>18</v>
      </c>
      <c r="Y66">
        <v>2.89</v>
      </c>
      <c r="Z66">
        <v>57</v>
      </c>
      <c r="AA66" s="15">
        <f>Table13[[#This Row],[Time until ideal entry + 390 (6:30)]]/(1440)</f>
        <v>0.28333333333333333</v>
      </c>
      <c r="AB66" s="18">
        <f t="shared" si="6"/>
        <v>0.17279411764705871</v>
      </c>
      <c r="AC66" s="18">
        <f>IF(Table13[[#This Row],[HOD AFTER PM HI]]&gt;=Table13[[#This Row],[PM Hi]],((Table13[[#This Row],[HOD AFTER PM HI]]-Table13[[#This Row],[Prior day close]])/Table13[[#This Row],[Prior day close]]),Table13[[#This Row],[Prior Close to PM Hi %]])</f>
        <v>0.76102941176470573</v>
      </c>
      <c r="AD66" s="18">
        <f>(Table13[[#This Row],[Price at hi of squeeze]]-Table13[[#This Row],[MKT Open Price]])/Table13[[#This Row],[MKT Open Price]]</f>
        <v>0.54019292604501612</v>
      </c>
      <c r="AE66" s="18">
        <f>(Table13[[#This Row],[Price at hi of squeeze]]-Table13[[#This Row],[PM Hi]])/Table13[[#This Row],[PM Hi]]</f>
        <v>0.50156739811912232</v>
      </c>
      <c r="AF66" s="18">
        <f t="shared" si="5"/>
        <v>0.68661971830985924</v>
      </c>
      <c r="AG66" s="20">
        <f>Table13[[#This Row],[PM VOL]]/1000000/Table13[[#This Row],[FLOAT(M)]]</f>
        <v>0.3831151027207107</v>
      </c>
      <c r="AH66" s="21">
        <f>(Table13[[#This Row],[Volume]]/1000000)/Table13[[#This Row],[FLOAT(M)]]</f>
        <v>11.835352470849527</v>
      </c>
      <c r="AI66" s="18">
        <f>(Table13[[#This Row],[Hi of Spike after open before drop]]-Table13[[#This Row],[MKT Open Price]])/Table13[[#This Row],[MKT Open Price]]</f>
        <v>0.17684887459807083</v>
      </c>
      <c r="AJ66" s="18">
        <f>(Table13[[#This Row],[PM Hi]]-Table13[[#This Row],[MKT Open Price]])/(Table13[[#This Row],[PM Hi]])</f>
        <v>2.5078369905956136E-2</v>
      </c>
      <c r="AK66" s="16">
        <f>IF(Table13[[#This Row],[PM LO]]&gt;Table13[[#This Row],[Prior day close]],(Table13[[#This Row],[PM Hi]]-Table13[[#This Row],[MKT Open Price]])/(Table13[[#This Row],[PM Hi]]-Table13[[#This Row],[Prior day close]]),(Table13[[#This Row],[PM Hi]]-Table13[[#This Row],[MKT Open Price]])/(Table13[[#This Row],[PM Hi]]-Table13[[#This Row],[PM LO]]))</f>
        <v>9.6385542168674773E-2</v>
      </c>
      <c r="AL66" s="16">
        <f>IF(Table13[[#This Row],[Prior day close]]&lt;Table13[[#This Row],[PM LO]],(J66-L66)/(J66-Table13[[#This Row],[Prior day close]]),(J66-L66)/(J66-Table13[[#This Row],[PM LO]]))</f>
        <v>0.36000000000000004</v>
      </c>
      <c r="AM66" s="16">
        <f>Table13[[#This Row],[Spike % on open before drop]]+AN66</f>
        <v>0.26366559485530555</v>
      </c>
      <c r="AN66" s="16">
        <f t="shared" si="7"/>
        <v>8.6816720257234734E-2</v>
      </c>
      <c r="AO66" s="18">
        <f>IF($K66&gt;=$G66,($K66-$L66)/($K66),(IF($I66&lt;=$L66,($G66-$I66)/($G66),(Table13[[#This Row],[PM Hi]]-Table13[[#This Row],[Lowest lo from open to squeeze]])/(Table13[[#This Row],[PM Hi]]))))</f>
        <v>0.22404371584699462</v>
      </c>
      <c r="AP66" s="18">
        <f>IF(Table13[[#This Row],[Prior day close]]&lt;=Table13[[#This Row],[PM LO]],IF($K66&gt;=$G66,($K66-$L66)/($K66-Table13[[#This Row],[Prior day close]]),(IF($I66&lt;=$L66,($G66-$I66)/($G66-Table13[[#This Row],[Prior day close]]),(Table13[[#This Row],[PM Hi]]-Table13[[#This Row],[Lowest lo from open to squeeze]])/(Table13[[#This Row],[PM Hi]]-Table13[[#This Row],[Prior day close]])))),IF($K66&gt;=$G66,($K66-$L66)/($K66-Table13[[#This Row],[PM LO]]),(IF($I66&lt;=$L66,($G66-$I66)/($G66-Table13[[#This Row],[PM LO]]),(Table13[[#This Row],[PM Hi]]-Table13[[#This Row],[Lowest lo from open to squeeze]])/(Table13[[#This Row],[PM Hi]]-Table13[[#This Row],[PM LO]])))))</f>
        <v>0.63076923076923086</v>
      </c>
      <c r="AQ66" s="18">
        <f>IF(K66&gt;=G66,(K66-L66)/(K66-E66),(IF(I66&lt;=L66,(G66-I66)/(G66-E66),(Table13[[#This Row],[PM Hi]]-Table13[[#This Row],[Lowest lo from open to squeeze]])/(Table13[[#This Row],[PM Hi]]-Table13[[#This Row],[Prior day close]]))))</f>
        <v>0.87234042553191526</v>
      </c>
      <c r="AR66" s="17">
        <f>390+Table13[[#This Row],[Time until ideal entry point (mins) from open]]</f>
        <v>408</v>
      </c>
      <c r="AS66" s="51">
        <f>(Table13[[#This Row],[Time until ideal entry + 390 (6:30)]]+Table13[[#This Row],[Duration of frontside (mins)]])/1440</f>
        <v>0.32291666666666669</v>
      </c>
    </row>
    <row r="67" spans="1:45" x14ac:dyDescent="0.25">
      <c r="A67" s="10" t="s">
        <v>123</v>
      </c>
      <c r="B67" s="11">
        <v>44053</v>
      </c>
      <c r="C67" s="47" t="s">
        <v>78</v>
      </c>
      <c r="E67" s="12">
        <v>4.6399999999999997</v>
      </c>
      <c r="F67" s="13">
        <v>4.9000000000000004</v>
      </c>
      <c r="G67" s="12">
        <v>20.75</v>
      </c>
      <c r="H67" s="12">
        <v>4.9000000000000004</v>
      </c>
      <c r="I67" s="12">
        <v>19.7</v>
      </c>
      <c r="J67" s="12">
        <v>20.13</v>
      </c>
      <c r="K67" s="12">
        <v>21.89</v>
      </c>
      <c r="L67" s="12">
        <v>18</v>
      </c>
      <c r="M67" s="12">
        <v>33</v>
      </c>
      <c r="N67" s="12">
        <v>33</v>
      </c>
      <c r="O67" s="13">
        <v>95056137</v>
      </c>
      <c r="P67" s="12">
        <v>2148531301</v>
      </c>
      <c r="Q67" s="13">
        <v>337.8</v>
      </c>
      <c r="R67">
        <v>69.09</v>
      </c>
      <c r="S67" s="14"/>
      <c r="T67" s="13">
        <v>12579809</v>
      </c>
      <c r="U67" s="13" t="s">
        <v>42</v>
      </c>
      <c r="V67" t="s">
        <v>44</v>
      </c>
      <c r="W67">
        <v>3</v>
      </c>
      <c r="X67">
        <v>4</v>
      </c>
      <c r="Y67">
        <v>18.78</v>
      </c>
      <c r="Z67">
        <v>52</v>
      </c>
      <c r="AA67" s="15">
        <f>Table13[[#This Row],[Time until ideal entry + 390 (6:30)]]/(1440)</f>
        <v>0.27361111111111114</v>
      </c>
      <c r="AB67" s="18">
        <f t="shared" si="6"/>
        <v>3.4719827586206899</v>
      </c>
      <c r="AC67" s="18">
        <f>IF(Table13[[#This Row],[HOD AFTER PM HI]]&gt;=Table13[[#This Row],[PM Hi]],((Table13[[#This Row],[HOD AFTER PM HI]]-Table13[[#This Row],[Prior day close]])/Table13[[#This Row],[Prior day close]]),Table13[[#This Row],[Prior Close to PM Hi %]])</f>
        <v>6.112068965517242</v>
      </c>
      <c r="AD67" s="18">
        <f>(Table13[[#This Row],[Price at hi of squeeze]]-Table13[[#This Row],[MKT Open Price]])/Table13[[#This Row],[MKT Open Price]]</f>
        <v>0.63934426229508201</v>
      </c>
      <c r="AE67" s="18">
        <f>(Table13[[#This Row],[Price at hi of squeeze]]-Table13[[#This Row],[PM Hi]])/Table13[[#This Row],[PM Hi]]</f>
        <v>0.59036144578313254</v>
      </c>
      <c r="AF67" s="18">
        <f t="shared" si="5"/>
        <v>0.83333333333333337</v>
      </c>
      <c r="AG67" s="20">
        <f>Table13[[#This Row],[PM VOL]]/1000000/Table13[[#This Row],[FLOAT(M)]]</f>
        <v>0.18207857866550872</v>
      </c>
      <c r="AH67" s="21">
        <f>(Table13[[#This Row],[Volume]]/1000000)/Table13[[#This Row],[FLOAT(M)]]</f>
        <v>1.375830612244898</v>
      </c>
      <c r="AI67" s="18">
        <f>(Table13[[#This Row],[Hi of Spike after open before drop]]-Table13[[#This Row],[MKT Open Price]])/Table13[[#This Row],[MKT Open Price]]</f>
        <v>8.7431693989071121E-2</v>
      </c>
      <c r="AJ67" s="18">
        <f>(Table13[[#This Row],[PM Hi]]-Table13[[#This Row],[MKT Open Price]])/(Table13[[#This Row],[PM Hi]])</f>
        <v>2.9879518072289203E-2</v>
      </c>
      <c r="AK67" s="16">
        <f>IF(Table13[[#This Row],[PM LO]]&gt;Table13[[#This Row],[Prior day close]],(Table13[[#This Row],[PM Hi]]-Table13[[#This Row],[MKT Open Price]])/(Table13[[#This Row],[PM Hi]]-Table13[[#This Row],[Prior day close]]),(Table13[[#This Row],[PM Hi]]-Table13[[#This Row],[MKT Open Price]])/(Table13[[#This Row],[PM Hi]]-Table13[[#This Row],[PM LO]]))</f>
        <v>3.8485412787088828E-2</v>
      </c>
      <c r="AL67" s="16">
        <f>IF(Table13[[#This Row],[Prior day close]]&lt;Table13[[#This Row],[PM LO]],(J67-L67)/(J67-Table13[[#This Row],[Prior day close]]),(J67-L67)/(J67-Table13[[#This Row],[PM LO]]))</f>
        <v>0.13750806972240151</v>
      </c>
      <c r="AM67" s="16">
        <f>Table13[[#This Row],[Spike % on open before drop]]+AN67</f>
        <v>0.19324391455539</v>
      </c>
      <c r="AN67" s="16">
        <f t="shared" si="7"/>
        <v>0.10581222056631888</v>
      </c>
      <c r="AO67" s="18">
        <f>IF($K67&gt;=$G67,($K67-$L67)/($K67),(IF($I67&lt;=$L67,($G67-$I67)/($G67),(Table13[[#This Row],[PM Hi]]-Table13[[#This Row],[Lowest lo from open to squeeze]])/(Table13[[#This Row],[PM Hi]]))))</f>
        <v>0.17770671539515762</v>
      </c>
      <c r="AP67" s="18">
        <f>IF(Table13[[#This Row],[Prior day close]]&lt;=Table13[[#This Row],[PM LO]],IF($K67&gt;=$G67,($K67-$L67)/($K67-Table13[[#This Row],[Prior day close]]),(IF($I67&lt;=$L67,($G67-$I67)/($G67-Table13[[#This Row],[Prior day close]]),(Table13[[#This Row],[PM Hi]]-Table13[[#This Row],[Lowest lo from open to squeeze]])/(Table13[[#This Row],[PM Hi]]-Table13[[#This Row],[Prior day close]])))),IF($K67&gt;=$G67,($K67-$L67)/($K67-Table13[[#This Row],[PM LO]]),(IF($I67&lt;=$L67,($G67-$I67)/($G67-Table13[[#This Row],[PM LO]]),(Table13[[#This Row],[PM Hi]]-Table13[[#This Row],[Lowest lo from open to squeeze]])/(Table13[[#This Row],[PM Hi]]-Table13[[#This Row],[PM LO]])))))</f>
        <v>0.22550724637681163</v>
      </c>
      <c r="AQ67" s="18">
        <f>IF(K67&gt;=G67,(K67-L67)/(K67-E67),(IF(I67&lt;=L67,(G67-I67)/(G67-E67),(Table13[[#This Row],[PM Hi]]-Table13[[#This Row],[Lowest lo from open to squeeze]])/(Table13[[#This Row],[PM Hi]]-Table13[[#This Row],[Prior day close]]))))</f>
        <v>0.22550724637681163</v>
      </c>
      <c r="AR67" s="17">
        <f>390+Table13[[#This Row],[Time until ideal entry point (mins) from open]]</f>
        <v>394</v>
      </c>
      <c r="AS67" s="51">
        <f>(Table13[[#This Row],[Time until ideal entry + 390 (6:30)]]+Table13[[#This Row],[Duration of frontside (mins)]])/1440</f>
        <v>0.30972222222222223</v>
      </c>
    </row>
    <row r="68" spans="1:45" x14ac:dyDescent="0.25">
      <c r="A68" s="10" t="s">
        <v>124</v>
      </c>
      <c r="B68" s="11">
        <v>44057</v>
      </c>
      <c r="C68" s="47" t="s">
        <v>78</v>
      </c>
      <c r="E68" s="12">
        <v>12.2</v>
      </c>
      <c r="F68" s="13">
        <v>14.66</v>
      </c>
      <c r="G68" s="12">
        <v>20.53</v>
      </c>
      <c r="H68" s="12">
        <v>14.66</v>
      </c>
      <c r="I68" s="12">
        <v>16.350000000000001</v>
      </c>
      <c r="J68" s="12">
        <v>18.41</v>
      </c>
      <c r="K68" s="12">
        <v>18.5</v>
      </c>
      <c r="L68" s="12">
        <v>16.25</v>
      </c>
      <c r="M68" s="12">
        <v>19.600000000000001</v>
      </c>
      <c r="N68" s="12">
        <v>19.600000000000001</v>
      </c>
      <c r="O68" s="13">
        <v>25653667</v>
      </c>
      <c r="P68" s="12">
        <v>398200545</v>
      </c>
      <c r="Q68" s="13">
        <v>1333</v>
      </c>
      <c r="R68" s="13">
        <v>90.89</v>
      </c>
      <c r="S68" s="13"/>
      <c r="T68" s="13">
        <v>1712807</v>
      </c>
      <c r="U68" s="13" t="s">
        <v>44</v>
      </c>
      <c r="V68" t="s">
        <v>44</v>
      </c>
      <c r="W68">
        <v>35</v>
      </c>
      <c r="X68">
        <v>36</v>
      </c>
      <c r="Y68">
        <v>16.39</v>
      </c>
      <c r="Z68">
        <v>106</v>
      </c>
      <c r="AA68" s="15">
        <f>Table13[[#This Row],[Time until ideal entry + 390 (6:30)]]/(1440)</f>
        <v>0.29583333333333334</v>
      </c>
      <c r="AB68" s="18">
        <f t="shared" si="6"/>
        <v>0.68278688524590181</v>
      </c>
      <c r="AC68" s="18">
        <f>IF(Table13[[#This Row],[HOD AFTER PM HI]]&gt;=Table13[[#This Row],[PM Hi]],((Table13[[#This Row],[HOD AFTER PM HI]]-Table13[[#This Row],[Prior day close]])/Table13[[#This Row],[Prior day close]]),Table13[[#This Row],[Prior Close to PM Hi %]])</f>
        <v>0.68278688524590181</v>
      </c>
      <c r="AD68" s="18">
        <f>(Table13[[#This Row],[Price at hi of squeeze]]-Table13[[#This Row],[MKT Open Price]])/Table13[[#This Row],[MKT Open Price]]</f>
        <v>6.4638783269962044E-2</v>
      </c>
      <c r="AE68" s="18">
        <f>(Table13[[#This Row],[Price at hi of squeeze]]-Table13[[#This Row],[PM Hi]])/Table13[[#This Row],[PM Hi]]</f>
        <v>-4.5299561617145621E-2</v>
      </c>
      <c r="AF68" s="18">
        <f t="shared" si="5"/>
        <v>0.20615384615384624</v>
      </c>
      <c r="AG68" s="20">
        <f>Table13[[#This Row],[PM VOL]]/1000000/Table13[[#This Row],[FLOAT(M)]]</f>
        <v>1.8844834415227198E-2</v>
      </c>
      <c r="AH68" s="23">
        <f>(Table13[[#This Row],[Volume]]/1000000)/Table13[[#This Row],[FLOAT(M)]]</f>
        <v>0.28224960941797778</v>
      </c>
      <c r="AI68" s="18">
        <f>(Table13[[#This Row],[Hi of Spike after open before drop]]-Table13[[#This Row],[MKT Open Price]])/Table13[[#This Row],[MKT Open Price]]</f>
        <v>4.8886474741987969E-3</v>
      </c>
      <c r="AJ68" s="18">
        <f>(Table13[[#This Row],[PM Hi]]-Table13[[#This Row],[MKT Open Price]])/(Table13[[#This Row],[PM Hi]])</f>
        <v>0.10326351680467613</v>
      </c>
      <c r="AK68" s="16">
        <f>IF(Table13[[#This Row],[PM LO]]&gt;Table13[[#This Row],[Prior day close]],(Table13[[#This Row],[PM Hi]]-Table13[[#This Row],[MKT Open Price]])/(Table13[[#This Row],[PM Hi]]-Table13[[#This Row],[Prior day close]]),(Table13[[#This Row],[PM Hi]]-Table13[[#This Row],[MKT Open Price]])/(Table13[[#This Row],[PM Hi]]-Table13[[#This Row],[PM LO]]))</f>
        <v>0.25450180072028816</v>
      </c>
      <c r="AL68" s="16">
        <f>IF(Table13[[#This Row],[Prior day close]]&lt;Table13[[#This Row],[PM LO]],(J68-L68)/(J68-Table13[[#This Row],[Prior day close]]),(J68-L68)/(J68-Table13[[#This Row],[PM LO]]))</f>
        <v>0.34782608695652173</v>
      </c>
      <c r="AM68" s="16">
        <f>Table13[[#This Row],[Spike % on open before drop]]+AN68</f>
        <v>0.12221618685497013</v>
      </c>
      <c r="AN68" s="16">
        <f t="shared" si="7"/>
        <v>0.11732753938077133</v>
      </c>
      <c r="AO68" s="18">
        <f>IF($K68&gt;=$G68,($K68-$L68)/($K68),(IF($I68&lt;=$L68,($G68-$I68)/($G68),(Table13[[#This Row],[PM Hi]]-Table13[[#This Row],[Lowest lo from open to squeeze]])/(Table13[[#This Row],[PM Hi]]))))</f>
        <v>0.20847540185094987</v>
      </c>
      <c r="AP68" s="18">
        <f>IF(Table13[[#This Row],[Prior day close]]&lt;=Table13[[#This Row],[PM LO]],IF($K68&gt;=$G68,($K68-$L68)/($K68-Table13[[#This Row],[Prior day close]]),(IF($I68&lt;=$L68,($G68-$I68)/($G68-Table13[[#This Row],[Prior day close]]),(Table13[[#This Row],[PM Hi]]-Table13[[#This Row],[Lowest lo from open to squeeze]])/(Table13[[#This Row],[PM Hi]]-Table13[[#This Row],[Prior day close]])))),IF($K68&gt;=$G68,($K68-$L68)/($K68-Table13[[#This Row],[PM LO]]),(IF($I68&lt;=$L68,($G68-$I68)/($G68-Table13[[#This Row],[PM LO]]),(Table13[[#This Row],[PM Hi]]-Table13[[#This Row],[Lowest lo from open to squeeze]])/(Table13[[#This Row],[PM Hi]]-Table13[[#This Row],[PM LO]])))))</f>
        <v>0.51380552220888354</v>
      </c>
      <c r="AQ68" s="18">
        <f>IF(K68&gt;=G68,(K68-L68)/(K68-E68),(IF(I68&lt;=L68,(G68-I68)/(G68-E68),(Table13[[#This Row],[PM Hi]]-Table13[[#This Row],[Lowest lo from open to squeeze]])/(Table13[[#This Row],[PM Hi]]-Table13[[#This Row],[Prior day close]]))))</f>
        <v>0.51380552220888354</v>
      </c>
      <c r="AR68" s="17">
        <f>390+Table13[[#This Row],[Time until ideal entry point (mins) from open]]</f>
        <v>426</v>
      </c>
      <c r="AS68" s="51">
        <f>(Table13[[#This Row],[Time until ideal entry + 390 (6:30)]]+Table13[[#This Row],[Duration of frontside (mins)]])/1440</f>
        <v>0.36944444444444446</v>
      </c>
    </row>
    <row r="69" spans="1:45" s="26" customFormat="1" x14ac:dyDescent="0.25">
      <c r="A69" s="10" t="s">
        <v>125</v>
      </c>
      <c r="B69" s="11">
        <v>44063</v>
      </c>
      <c r="C69" s="47" t="s">
        <v>78</v>
      </c>
      <c r="D69"/>
      <c r="E69" s="12">
        <v>0.55000000000000004</v>
      </c>
      <c r="F69" s="13">
        <v>0.53</v>
      </c>
      <c r="G69" s="12">
        <v>1.02</v>
      </c>
      <c r="H69" s="12">
        <v>0.53</v>
      </c>
      <c r="I69" s="12">
        <v>0.93</v>
      </c>
      <c r="J69" s="12">
        <v>0.97</v>
      </c>
      <c r="K69" s="12">
        <v>1.1200000000000001</v>
      </c>
      <c r="L69" s="12">
        <v>0.88</v>
      </c>
      <c r="M69" s="12">
        <v>2.1800000000000002</v>
      </c>
      <c r="N69" s="12">
        <v>2.1800000000000002</v>
      </c>
      <c r="O69" s="13">
        <v>933393101</v>
      </c>
      <c r="P69" s="12">
        <v>1723463205</v>
      </c>
      <c r="Q69" s="13">
        <f>0.5*Table13[[#This Row],[FLOAT(M)]]</f>
        <v>15.855</v>
      </c>
      <c r="R69" s="13">
        <v>31.71</v>
      </c>
      <c r="S69" s="13"/>
      <c r="T69" s="13">
        <v>24496244</v>
      </c>
      <c r="U69" s="13" t="s">
        <v>44</v>
      </c>
      <c r="V69" t="s">
        <v>44</v>
      </c>
      <c r="W69">
        <v>14</v>
      </c>
      <c r="X69">
        <v>15</v>
      </c>
      <c r="Y69">
        <v>0.91</v>
      </c>
      <c r="Z69">
        <v>189</v>
      </c>
      <c r="AA69" s="15">
        <f>Table13[[#This Row],[Time until ideal entry + 390 (6:30)]]/(1440)</f>
        <v>0.28125</v>
      </c>
      <c r="AB69" s="18">
        <f t="shared" si="6"/>
        <v>0.85454545454545439</v>
      </c>
      <c r="AC69" s="18">
        <f>IF(Table13[[#This Row],[HOD AFTER PM HI]]&gt;=Table13[[#This Row],[PM Hi]],((Table13[[#This Row],[HOD AFTER PM HI]]-Table13[[#This Row],[Prior day close]])/Table13[[#This Row],[Prior day close]]),Table13[[#This Row],[Prior Close to PM Hi %]])</f>
        <v>2.9636363636363634</v>
      </c>
      <c r="AD69" s="18">
        <f>(Table13[[#This Row],[Price at hi of squeeze]]-Table13[[#This Row],[MKT Open Price]])/Table13[[#This Row],[MKT Open Price]]</f>
        <v>1.2474226804123714</v>
      </c>
      <c r="AE69" s="18">
        <f>(Table13[[#This Row],[Price at hi of squeeze]]-Table13[[#This Row],[PM Hi]])/Table13[[#This Row],[PM Hi]]</f>
        <v>1.1372549019607845</v>
      </c>
      <c r="AF69" s="18">
        <f t="shared" si="5"/>
        <v>1.4772727272727275</v>
      </c>
      <c r="AG69" s="20">
        <f>Table13[[#This Row],[PM VOL]]/1000000/Table13[[#This Row],[FLOAT(M)]]</f>
        <v>0.77250848312835063</v>
      </c>
      <c r="AH69" s="23">
        <f>(Table13[[#This Row],[Volume]]/1000000)/Table13[[#This Row],[FLOAT(M)]]</f>
        <v>29.435291737622201</v>
      </c>
      <c r="AI69" s="18">
        <f>(Table13[[#This Row],[Hi of Spike after open before drop]]-Table13[[#This Row],[MKT Open Price]])/Table13[[#This Row],[MKT Open Price]]</f>
        <v>0.1546391752577321</v>
      </c>
      <c r="AJ69" s="18">
        <f>(Table13[[#This Row],[PM Hi]]-Table13[[#This Row],[MKT Open Price]])/(Table13[[#This Row],[PM Hi]])</f>
        <v>4.9019607843137296E-2</v>
      </c>
      <c r="AK69" s="16">
        <f>IF(Table13[[#This Row],[PM LO]]&gt;Table13[[#This Row],[Prior day close]],(Table13[[#This Row],[PM Hi]]-Table13[[#This Row],[MKT Open Price]])/(Table13[[#This Row],[PM Hi]]-Table13[[#This Row],[Prior day close]]),(Table13[[#This Row],[PM Hi]]-Table13[[#This Row],[MKT Open Price]])/(Table13[[#This Row],[PM Hi]]-Table13[[#This Row],[PM LO]]))</f>
        <v>0.10204081632653071</v>
      </c>
      <c r="AL69" s="16">
        <f>IF(Table13[[#This Row],[Prior day close]]&lt;Table13[[#This Row],[PM LO]],(J69-L69)/(J69-Table13[[#This Row],[Prior day close]]),(J69-L69)/(J69-Table13[[#This Row],[PM LO]]))</f>
        <v>0.2045454545454545</v>
      </c>
      <c r="AM69" s="16">
        <f>Table13[[#This Row],[Spike % on open before drop]]+AN69</f>
        <v>0.24742268041237125</v>
      </c>
      <c r="AN69" s="16">
        <f t="shared" si="7"/>
        <v>9.2783505154639151E-2</v>
      </c>
      <c r="AO69" s="18">
        <f>IF($K69&gt;=$G69,($K69-$L69)/($K69),(IF($I69&lt;=$L69,($G69-$I69)/($G69),(Table13[[#This Row],[PM Hi]]-Table13[[#This Row],[Lowest lo from open to squeeze]])/(Table13[[#This Row],[PM Hi]]))))</f>
        <v>0.21428571428571436</v>
      </c>
      <c r="AP69" s="18">
        <f>IF(Table13[[#This Row],[Prior day close]]&lt;=Table13[[#This Row],[PM LO]],IF($K69&gt;=$G69,($K69-$L69)/($K69-Table13[[#This Row],[Prior day close]]),(IF($I69&lt;=$L69,($G69-$I69)/($G69-Table13[[#This Row],[Prior day close]]),(Table13[[#This Row],[PM Hi]]-Table13[[#This Row],[Lowest lo from open to squeeze]])/(Table13[[#This Row],[PM Hi]]-Table13[[#This Row],[Prior day close]])))),IF($K69&gt;=$G69,($K69-$L69)/($K69-Table13[[#This Row],[PM LO]]),(IF($I69&lt;=$L69,($G69-$I69)/($G69-Table13[[#This Row],[PM LO]]),(Table13[[#This Row],[PM Hi]]-Table13[[#This Row],[Lowest lo from open to squeeze]])/(Table13[[#This Row],[PM Hi]]-Table13[[#This Row],[PM LO]])))))</f>
        <v>0.40677966101694929</v>
      </c>
      <c r="AQ69" s="18">
        <f>IF(K69&gt;=G69,(K69-L69)/(K69-E69),(IF(I69&lt;=L69,(G69-I69)/(G69-E69),(Table13[[#This Row],[PM Hi]]-Table13[[#This Row],[Lowest lo from open to squeeze]])/(Table13[[#This Row],[PM Hi]]-Table13[[#This Row],[Prior day close]]))))</f>
        <v>0.42105263157894751</v>
      </c>
      <c r="AR69" s="17">
        <f>390+Table13[[#This Row],[Time until ideal entry point (mins) from open]]</f>
        <v>405</v>
      </c>
      <c r="AS69" s="51">
        <f>(Table13[[#This Row],[Time until ideal entry + 390 (6:30)]]+Table13[[#This Row],[Duration of frontside (mins)]])/1440</f>
        <v>0.41249999999999998</v>
      </c>
    </row>
    <row r="70" spans="1:45" x14ac:dyDescent="0.25">
      <c r="A70" s="10" t="s">
        <v>126</v>
      </c>
      <c r="B70" s="11">
        <v>44067</v>
      </c>
      <c r="C70" s="47" t="s">
        <v>78</v>
      </c>
      <c r="E70" s="12">
        <v>0.88</v>
      </c>
      <c r="F70" s="13">
        <v>0.86</v>
      </c>
      <c r="G70" s="12">
        <v>1.54</v>
      </c>
      <c r="H70" s="12">
        <v>0.86</v>
      </c>
      <c r="I70" s="12">
        <v>1.3</v>
      </c>
      <c r="J70" s="12">
        <v>1.32</v>
      </c>
      <c r="K70" s="12">
        <v>1.47</v>
      </c>
      <c r="L70" s="12">
        <v>1.1499999999999999</v>
      </c>
      <c r="M70" s="12">
        <v>2.23</v>
      </c>
      <c r="N70" s="12">
        <v>2.23</v>
      </c>
      <c r="O70" s="13">
        <v>151453000</v>
      </c>
      <c r="P70" s="12">
        <v>179263600</v>
      </c>
      <c r="Q70" s="13">
        <f>Table13[[#This Row],[FLOAT(M)]]*0.8</f>
        <v>19.272000000000002</v>
      </c>
      <c r="R70" s="13">
        <v>24.09</v>
      </c>
      <c r="S70" s="13"/>
      <c r="T70" s="13">
        <v>1479809</v>
      </c>
      <c r="U70" s="13" t="s">
        <v>44</v>
      </c>
      <c r="V70" t="s">
        <v>44</v>
      </c>
      <c r="W70">
        <v>3</v>
      </c>
      <c r="X70">
        <v>4</v>
      </c>
      <c r="Y70">
        <v>1.26</v>
      </c>
      <c r="Z70">
        <v>65</v>
      </c>
      <c r="AA70" s="15">
        <f>Table13[[#This Row],[Time until ideal entry + 390 (6:30)]]/(1440)</f>
        <v>0.27361111111111114</v>
      </c>
      <c r="AB70" s="18">
        <f t="shared" si="6"/>
        <v>0.75</v>
      </c>
      <c r="AC70" s="18">
        <f>IF(Table13[[#This Row],[HOD AFTER PM HI]]&gt;=Table13[[#This Row],[PM Hi]],((Table13[[#This Row],[HOD AFTER PM HI]]-Table13[[#This Row],[Prior day close]])/Table13[[#This Row],[Prior day close]]),Table13[[#This Row],[Prior Close to PM Hi %]])</f>
        <v>1.5340909090909092</v>
      </c>
      <c r="AD70" s="18">
        <f>(Table13[[#This Row],[Price at hi of squeeze]]-Table13[[#This Row],[MKT Open Price]])/Table13[[#This Row],[MKT Open Price]]</f>
        <v>0.68939393939393934</v>
      </c>
      <c r="AE70" s="18">
        <f>(Table13[[#This Row],[Price at hi of squeeze]]-Table13[[#This Row],[PM Hi]])/Table13[[#This Row],[PM Hi]]</f>
        <v>0.44805194805194803</v>
      </c>
      <c r="AF70" s="18">
        <f t="shared" si="5"/>
        <v>0.93913043478260883</v>
      </c>
      <c r="AG70" s="20">
        <f>Table13[[#This Row],[PM VOL]]/1000000/Table13[[#This Row],[FLOAT(M)]]</f>
        <v>6.1428352013283519E-2</v>
      </c>
      <c r="AH70" s="23">
        <f>(Table13[[#This Row],[Volume]]/1000000)/Table13[[#This Row],[FLOAT(M)]]</f>
        <v>6.2869655458696556</v>
      </c>
      <c r="AI70" s="18">
        <f>(Table13[[#This Row],[Hi of Spike after open before drop]]-Table13[[#This Row],[MKT Open Price]])/Table13[[#This Row],[MKT Open Price]]</f>
        <v>0.11363636363636356</v>
      </c>
      <c r="AJ70" s="18">
        <f>(Table13[[#This Row],[PM Hi]]-Table13[[#This Row],[MKT Open Price]])/(Table13[[#This Row],[PM Hi]])</f>
        <v>0.14285714285714285</v>
      </c>
      <c r="AK70" s="16">
        <f>IF(Table13[[#This Row],[PM LO]]&gt;Table13[[#This Row],[Prior day close]],(Table13[[#This Row],[PM Hi]]-Table13[[#This Row],[MKT Open Price]])/(Table13[[#This Row],[PM Hi]]-Table13[[#This Row],[Prior day close]]),(Table13[[#This Row],[PM Hi]]-Table13[[#This Row],[MKT Open Price]])/(Table13[[#This Row],[PM Hi]]-Table13[[#This Row],[PM LO]]))</f>
        <v>0.32352941176470584</v>
      </c>
      <c r="AL70" s="16">
        <f>IF(Table13[[#This Row],[Prior day close]]&lt;Table13[[#This Row],[PM LO]],(J70-L70)/(J70-Table13[[#This Row],[Prior day close]]),(J70-L70)/(J70-Table13[[#This Row],[PM LO]]))</f>
        <v>0.3695652173913046</v>
      </c>
      <c r="AM70" s="16">
        <f>Table13[[#This Row],[Spike % on open before drop]]+AN70</f>
        <v>0.24242424242424246</v>
      </c>
      <c r="AN70" s="16">
        <f t="shared" si="7"/>
        <v>0.1287878787878789</v>
      </c>
      <c r="AO70" s="18">
        <f>IF($K70&gt;=$G70,($K70-$L70)/($K70),(IF($I70&lt;=$L70,($G70-$I70)/($G70),(Table13[[#This Row],[PM Hi]]-Table13[[#This Row],[Lowest lo from open to squeeze]])/(Table13[[#This Row],[PM Hi]]))))</f>
        <v>0.25324675324675333</v>
      </c>
      <c r="AP70" s="18">
        <f>IF(Table13[[#This Row],[Prior day close]]&lt;=Table13[[#This Row],[PM LO]],IF($K70&gt;=$G70,($K70-$L70)/($K70-Table13[[#This Row],[Prior day close]]),(IF($I70&lt;=$L70,($G70-$I70)/($G70-Table13[[#This Row],[Prior day close]]),(Table13[[#This Row],[PM Hi]]-Table13[[#This Row],[Lowest lo from open to squeeze]])/(Table13[[#This Row],[PM Hi]]-Table13[[#This Row],[Prior day close]])))),IF($K70&gt;=$G70,($K70-$L70)/($K70-Table13[[#This Row],[PM LO]]),(IF($I70&lt;=$L70,($G70-$I70)/($G70-Table13[[#This Row],[PM LO]]),(Table13[[#This Row],[PM Hi]]-Table13[[#This Row],[Lowest lo from open to squeeze]])/(Table13[[#This Row],[PM Hi]]-Table13[[#This Row],[PM LO]])))))</f>
        <v>0.57352941176470607</v>
      </c>
      <c r="AQ70" s="18">
        <f>IF(K70&gt;=G70,(K70-L70)/(K70-E70),(IF(I70&lt;=L70,(G70-I70)/(G70-E70),(Table13[[#This Row],[PM Hi]]-Table13[[#This Row],[Lowest lo from open to squeeze]])/(Table13[[#This Row],[PM Hi]]-Table13[[#This Row],[Prior day close]]))))</f>
        <v>0.59090909090909105</v>
      </c>
      <c r="AR70" s="17">
        <f>390+Table13[[#This Row],[Time until ideal entry point (mins) from open]]</f>
        <v>394</v>
      </c>
      <c r="AS70" s="51">
        <f>(Table13[[#This Row],[Time until ideal entry + 390 (6:30)]]+Table13[[#This Row],[Duration of frontside (mins)]])/1440</f>
        <v>0.31874999999999998</v>
      </c>
    </row>
    <row r="71" spans="1:45" x14ac:dyDescent="0.25">
      <c r="A71" s="24" t="s">
        <v>127</v>
      </c>
      <c r="B71" s="11">
        <v>44082</v>
      </c>
      <c r="C71" s="47" t="s">
        <v>78</v>
      </c>
      <c r="E71" s="12">
        <v>1.05</v>
      </c>
      <c r="F71" s="13">
        <v>1.0900000000000001</v>
      </c>
      <c r="G71" s="12">
        <v>2.02</v>
      </c>
      <c r="H71" s="12">
        <v>1.0900000000000001</v>
      </c>
      <c r="I71" s="12">
        <v>1.9</v>
      </c>
      <c r="J71" s="12">
        <v>1.91</v>
      </c>
      <c r="K71" s="12">
        <v>2.09</v>
      </c>
      <c r="L71" s="12">
        <v>1.65</v>
      </c>
      <c r="M71" s="12">
        <v>2.33</v>
      </c>
      <c r="N71" s="12">
        <v>2.2200000000000002</v>
      </c>
      <c r="O71" s="13">
        <v>165232990</v>
      </c>
      <c r="P71" s="12">
        <v>356903258</v>
      </c>
      <c r="Q71" s="37">
        <v>31.5</v>
      </c>
      <c r="R71">
        <v>19.649999999999999</v>
      </c>
      <c r="S71" s="13"/>
      <c r="T71" s="13">
        <v>6903199</v>
      </c>
      <c r="U71" s="13" t="s">
        <v>42</v>
      </c>
      <c r="V71" t="s">
        <v>44</v>
      </c>
      <c r="W71" s="17">
        <v>14</v>
      </c>
      <c r="X71">
        <v>15</v>
      </c>
      <c r="Y71">
        <v>1.7</v>
      </c>
      <c r="Z71">
        <v>33</v>
      </c>
      <c r="AA71" s="15">
        <f>Table13[[#This Row],[Time until ideal entry + 390 (6:30)]]/(1440)</f>
        <v>0.28125</v>
      </c>
      <c r="AB71" s="18">
        <f t="shared" si="6"/>
        <v>0.92380952380952375</v>
      </c>
      <c r="AC71" s="18">
        <f>IF(Table13[[#This Row],[HOD AFTER PM HI]]&gt;=Table13[[#This Row],[PM Hi]],((Table13[[#This Row],[HOD AFTER PM HI]]-Table13[[#This Row],[Prior day close]])/Table13[[#This Row],[Prior day close]]),Table13[[#This Row],[Prior Close to PM Hi %]])</f>
        <v>1.2190476190476189</v>
      </c>
      <c r="AD71" s="18">
        <f>(Table13[[#This Row],[Price at hi of squeeze]]-Table13[[#This Row],[MKT Open Price]])/Table13[[#This Row],[MKT Open Price]]</f>
        <v>0.16230366492146611</v>
      </c>
      <c r="AE71" s="18">
        <f>(Table13[[#This Row],[Price at hi of squeeze]]-Table13[[#This Row],[PM Hi]])/Table13[[#This Row],[PM Hi]]</f>
        <v>9.9009900990099098E-2</v>
      </c>
      <c r="AF71" s="18">
        <f t="shared" si="5"/>
        <v>0.34545454545454563</v>
      </c>
      <c r="AG71" s="20">
        <f>Table13[[#This Row],[PM VOL]]/1000000/Table13[[#This Row],[FLOAT(M)]]</f>
        <v>0.35130783715012726</v>
      </c>
      <c r="AH71" s="23">
        <f>(Table13[[#This Row],[Volume]]/1000000)/Table13[[#This Row],[FLOAT(M)]]</f>
        <v>8.4088035623409674</v>
      </c>
      <c r="AI71" s="18">
        <f>(Table13[[#This Row],[Hi of Spike after open before drop]]-Table13[[#This Row],[MKT Open Price]])/Table13[[#This Row],[MKT Open Price]]</f>
        <v>9.4240837696335053E-2</v>
      </c>
      <c r="AJ71" s="18">
        <f>(Table13[[#This Row],[PM Hi]]-Table13[[#This Row],[MKT Open Price]])/(Table13[[#This Row],[PM Hi]])</f>
        <v>5.4455445544554504E-2</v>
      </c>
      <c r="AK71" s="16">
        <f>IF(Table13[[#This Row],[PM LO]]&gt;Table13[[#This Row],[Prior day close]],(Table13[[#This Row],[PM Hi]]-Table13[[#This Row],[MKT Open Price]])/(Table13[[#This Row],[PM Hi]]-Table13[[#This Row],[Prior day close]]),(Table13[[#This Row],[PM Hi]]-Table13[[#This Row],[MKT Open Price]])/(Table13[[#This Row],[PM Hi]]-Table13[[#This Row],[PM LO]]))</f>
        <v>0.11340206185567021</v>
      </c>
      <c r="AL71" s="16">
        <f>IF(Table13[[#This Row],[Prior day close]]&lt;Table13[[#This Row],[PM LO]],(J71-L71)/(J71-Table13[[#This Row],[Prior day close]]),(J71-L71)/(J71-Table13[[#This Row],[PM LO]]))</f>
        <v>0.30232558139534887</v>
      </c>
      <c r="AM71" s="16">
        <f>Table13[[#This Row],[Spike % on open before drop]]+AN71</f>
        <v>0.23036649214659682</v>
      </c>
      <c r="AN71" s="16">
        <f t="shared" si="7"/>
        <v>0.13612565445026178</v>
      </c>
      <c r="AO71" s="18">
        <f>IF($K71&gt;=$G71,($K71-$L71)/($K71),(IF($I71&lt;=$L71,($G71-$I71)/($G71),(Table13[[#This Row],[PM Hi]]-Table13[[#This Row],[Lowest lo from open to squeeze]])/(Table13[[#This Row],[PM Hi]]))))</f>
        <v>0.21052631578947367</v>
      </c>
      <c r="AP71" s="18">
        <f>IF(Table13[[#This Row],[Prior day close]]&lt;=Table13[[#This Row],[PM LO]],IF($K71&gt;=$G71,($K71-$L71)/($K71-Table13[[#This Row],[Prior day close]]),(IF($I71&lt;=$L71,($G71-$I71)/($G71-Table13[[#This Row],[Prior day close]]),(Table13[[#This Row],[PM Hi]]-Table13[[#This Row],[Lowest lo from open to squeeze]])/(Table13[[#This Row],[PM Hi]]-Table13[[#This Row],[Prior day close]])))),IF($K71&gt;=$G71,($K71-$L71)/($K71-Table13[[#This Row],[PM LO]]),(IF($I71&lt;=$L71,($G71-$I71)/($G71-Table13[[#This Row],[PM LO]]),(Table13[[#This Row],[PM Hi]]-Table13[[#This Row],[Lowest lo from open to squeeze]])/(Table13[[#This Row],[PM Hi]]-Table13[[#This Row],[PM LO]])))))</f>
        <v>0.42307692307692313</v>
      </c>
      <c r="AQ71" s="18">
        <f>IF(K71&gt;=G71,(K71-L71)/(K71-E71),(IF(I71&lt;=L71,(G71-I71)/(G71-E71),(Table13[[#This Row],[PM Hi]]-Table13[[#This Row],[Lowest lo from open to squeeze]])/(Table13[[#This Row],[PM Hi]]-Table13[[#This Row],[Prior day close]]))))</f>
        <v>0.42307692307692313</v>
      </c>
      <c r="AR71" s="17">
        <f>390+Table13[[#This Row],[Time until ideal entry point (mins) from open]]</f>
        <v>405</v>
      </c>
      <c r="AS71" s="51">
        <f>(Table13[[#This Row],[Time until ideal entry + 390 (6:30)]]+Table13[[#This Row],[Duration of frontside (mins)]])/1440</f>
        <v>0.30416666666666664</v>
      </c>
    </row>
    <row r="72" spans="1:45" x14ac:dyDescent="0.25">
      <c r="A72" s="26" t="s">
        <v>128</v>
      </c>
      <c r="B72" s="27">
        <v>44089</v>
      </c>
      <c r="C72" s="47" t="s">
        <v>78</v>
      </c>
      <c r="D72" s="26"/>
      <c r="E72" s="28">
        <v>2.11</v>
      </c>
      <c r="F72" s="29">
        <v>2.85</v>
      </c>
      <c r="G72" s="28">
        <v>4.2</v>
      </c>
      <c r="H72" s="28">
        <v>2.8</v>
      </c>
      <c r="I72" s="28">
        <v>3.2</v>
      </c>
      <c r="J72" s="28">
        <v>3.34</v>
      </c>
      <c r="K72" s="28">
        <v>3.36</v>
      </c>
      <c r="L72" s="28">
        <v>2.98</v>
      </c>
      <c r="M72" s="28">
        <v>4.07</v>
      </c>
      <c r="N72" s="28">
        <v>3.97</v>
      </c>
      <c r="O72" s="29">
        <v>166063860</v>
      </c>
      <c r="P72" s="28">
        <v>528083074</v>
      </c>
      <c r="Q72" s="29">
        <v>251.41</v>
      </c>
      <c r="R72" s="26">
        <v>82.92</v>
      </c>
      <c r="S72" s="29"/>
      <c r="T72" s="29">
        <v>5207608</v>
      </c>
      <c r="U72" s="29" t="s">
        <v>42</v>
      </c>
      <c r="V72" s="26" t="s">
        <v>44</v>
      </c>
      <c r="W72" s="32">
        <v>6</v>
      </c>
      <c r="X72" s="26">
        <v>7</v>
      </c>
      <c r="Y72" s="26">
        <v>3.05</v>
      </c>
      <c r="Z72" s="26">
        <v>132</v>
      </c>
      <c r="AA72" s="30">
        <f>Table13[[#This Row],[Time until ideal entry + 390 (6:30)]]/(1440)</f>
        <v>0.27569444444444446</v>
      </c>
      <c r="AB72" s="31">
        <f t="shared" si="6"/>
        <v>0.99052132701421824</v>
      </c>
      <c r="AC72" s="31">
        <f>IF(Table13[[#This Row],[HOD AFTER PM HI]]&gt;=Table13[[#This Row],[PM Hi]],((Table13[[#This Row],[HOD AFTER PM HI]]-Table13[[#This Row],[Prior day close]])/Table13[[#This Row],[Prior day close]]),Table13[[#This Row],[Prior Close to PM Hi %]])</f>
        <v>0.99052132701421824</v>
      </c>
      <c r="AD72" s="31">
        <f>(Table13[[#This Row],[Price at hi of squeeze]]-Table13[[#This Row],[MKT Open Price]])/Table13[[#This Row],[MKT Open Price]]</f>
        <v>0.18862275449101806</v>
      </c>
      <c r="AE72" s="33">
        <f>(Table13[[#This Row],[Price at hi of squeeze]]-Table13[[#This Row],[PM Hi]])/Table13[[#This Row],[PM Hi]]</f>
        <v>-5.4761904761904755E-2</v>
      </c>
      <c r="AF72" s="18">
        <f t="shared" ref="AF72:AF100" si="8">(N72-L72)/L72</f>
        <v>0.33221476510067122</v>
      </c>
      <c r="AG72" s="35">
        <f>Table13[[#This Row],[PM VOL]]/1000000/Table13[[#This Row],[FLOAT(M)]]</f>
        <v>6.2802797877472255E-2</v>
      </c>
      <c r="AH72" s="34">
        <f>(Table13[[#This Row],[Volume]]/1000000)/Table13[[#This Row],[FLOAT(M)]]</f>
        <v>2.0026997105643995</v>
      </c>
      <c r="AI72" s="31">
        <f>(Table13[[#This Row],[Hi of Spike after open before drop]]-Table13[[#This Row],[MKT Open Price]])/Table13[[#This Row],[MKT Open Price]]</f>
        <v>5.988023952095814E-3</v>
      </c>
      <c r="AJ72" s="31">
        <f>(Table13[[#This Row],[PM Hi]]-Table13[[#This Row],[MKT Open Price]])/(Table13[[#This Row],[PM Hi]])</f>
        <v>0.20476190476190484</v>
      </c>
      <c r="AK72" s="16">
        <f>IF(Table13[[#This Row],[PM LO]]&gt;Table13[[#This Row],[Prior day close]],(Table13[[#This Row],[PM Hi]]-Table13[[#This Row],[MKT Open Price]])/(Table13[[#This Row],[PM Hi]]-Table13[[#This Row],[Prior day close]]),(Table13[[#This Row],[PM Hi]]-Table13[[#This Row],[MKT Open Price]])/(Table13[[#This Row],[PM Hi]]-Table13[[#This Row],[PM LO]]))</f>
        <v>0.41148325358851684</v>
      </c>
      <c r="AL72" s="31">
        <f>IF(Table13[[#This Row],[Prior day close]]&lt;Table13[[#This Row],[PM LO]],(J72-L72)/(J72-Table13[[#This Row],[Prior day close]]),(J72-L72)/(J72-Table13[[#This Row],[PM LO]]))</f>
        <v>0.29268292682926822</v>
      </c>
      <c r="AM72" s="31">
        <f>Table13[[#This Row],[Spike % on open before drop]]+AN72</f>
        <v>0.11377245508982033</v>
      </c>
      <c r="AN72" s="16">
        <f t="shared" si="7"/>
        <v>0.10778443113772451</v>
      </c>
      <c r="AO72" s="31">
        <f>IF($K72&gt;=$G72,($K72-$L72)/($K72),(IF($I72&lt;=$L72,($G72-$I72)/($G72),(Table13[[#This Row],[PM Hi]]-Table13[[#This Row],[Lowest lo from open to squeeze]])/(Table13[[#This Row],[PM Hi]]))))</f>
        <v>0.2904761904761905</v>
      </c>
      <c r="AP72" s="31">
        <f>IF(Table13[[#This Row],[Prior day close]]&lt;=Table13[[#This Row],[PM LO]],IF($K72&gt;=$G72,($K72-$L72)/($K72-Table13[[#This Row],[Prior day close]]),(IF($I72&lt;=$L72,($G72-$I72)/($G72-Table13[[#This Row],[Prior day close]]),(Table13[[#This Row],[PM Hi]]-Table13[[#This Row],[Lowest lo from open to squeeze]])/(Table13[[#This Row],[PM Hi]]-Table13[[#This Row],[Prior day close]])))),IF($K72&gt;=$G72,($K72-$L72)/($K72-Table13[[#This Row],[PM LO]]),(IF($I72&lt;=$L72,($G72-$I72)/($G72-Table13[[#This Row],[PM LO]]),(Table13[[#This Row],[PM Hi]]-Table13[[#This Row],[Lowest lo from open to squeeze]])/(Table13[[#This Row],[PM Hi]]-Table13[[#This Row],[PM LO]])))))</f>
        <v>0.58373205741626799</v>
      </c>
      <c r="AQ72" s="31">
        <f>IF(K72&gt;=G72,(K72-L72)/(K72-E72),(IF(I72&lt;=L72,(G72-I72)/(G72-E72),(Table13[[#This Row],[PM Hi]]-Table13[[#This Row],[Lowest lo from open to squeeze]])/(Table13[[#This Row],[PM Hi]]-Table13[[#This Row],[Prior day close]]))))</f>
        <v>0.58373205741626799</v>
      </c>
      <c r="AR72" s="32">
        <f>390+Table13[[#This Row],[Time until ideal entry point (mins) from open]]</f>
        <v>397</v>
      </c>
      <c r="AS72" s="51">
        <f>(Table13[[#This Row],[Time until ideal entry + 390 (6:30)]]+Table13[[#This Row],[Duration of frontside (mins)]])/1440</f>
        <v>0.36736111111111114</v>
      </c>
    </row>
    <row r="73" spans="1:45" x14ac:dyDescent="0.25">
      <c r="A73" s="24" t="s">
        <v>85</v>
      </c>
      <c r="B73" s="11">
        <v>44092</v>
      </c>
      <c r="C73" s="47" t="s">
        <v>78</v>
      </c>
      <c r="E73" s="12">
        <v>8.33</v>
      </c>
      <c r="F73" s="13">
        <v>8.44</v>
      </c>
      <c r="G73" s="12">
        <v>9.4</v>
      </c>
      <c r="H73" s="12">
        <v>7.86</v>
      </c>
      <c r="I73" s="12">
        <v>8.51</v>
      </c>
      <c r="J73" s="12">
        <v>8.75</v>
      </c>
      <c r="K73" s="12">
        <v>9.0399999999999991</v>
      </c>
      <c r="L73" s="12">
        <v>8.4</v>
      </c>
      <c r="M73" s="12">
        <v>10.45</v>
      </c>
      <c r="N73" s="12">
        <v>10.130000000000001</v>
      </c>
      <c r="O73" s="13">
        <v>107523863</v>
      </c>
      <c r="P73" s="12">
        <v>1051583380</v>
      </c>
      <c r="Q73" s="37">
        <v>166.97</v>
      </c>
      <c r="R73">
        <v>22.32</v>
      </c>
      <c r="S73" s="13"/>
      <c r="T73" s="13">
        <v>4490615</v>
      </c>
      <c r="U73" s="13" t="s">
        <v>44</v>
      </c>
      <c r="V73" t="s">
        <v>42</v>
      </c>
      <c r="W73" s="17">
        <v>11</v>
      </c>
      <c r="X73">
        <v>12</v>
      </c>
      <c r="Y73">
        <v>8.5500000000000007</v>
      </c>
      <c r="Z73">
        <v>73</v>
      </c>
      <c r="AA73" s="15">
        <f>Table13[[#This Row],[Time until ideal entry + 390 (6:30)]]/(1440)</f>
        <v>0.27916666666666667</v>
      </c>
      <c r="AB73" s="18">
        <f t="shared" si="6"/>
        <v>0.12845138055222091</v>
      </c>
      <c r="AC73" s="18">
        <f>IF(Table13[[#This Row],[HOD AFTER PM HI]]&gt;=Table13[[#This Row],[PM Hi]],((Table13[[#This Row],[HOD AFTER PM HI]]-Table13[[#This Row],[Prior day close]])/Table13[[#This Row],[Prior day close]]),Table13[[#This Row],[Prior Close to PM Hi %]])</f>
        <v>0.254501800720288</v>
      </c>
      <c r="AD73" s="18">
        <f>(Table13[[#This Row],[Price at hi of squeeze]]-Table13[[#This Row],[MKT Open Price]])/Table13[[#This Row],[MKT Open Price]]</f>
        <v>0.15771428571428581</v>
      </c>
      <c r="AE73" s="18">
        <f>(Table13[[#This Row],[Price at hi of squeeze]]-Table13[[#This Row],[PM Hi]])/Table13[[#This Row],[PM Hi]]</f>
        <v>7.7659574468085149E-2</v>
      </c>
      <c r="AF73" s="18">
        <f t="shared" si="8"/>
        <v>0.205952380952381</v>
      </c>
      <c r="AG73" s="20">
        <f>Table13[[#This Row],[PM VOL]]/1000000/Table13[[#This Row],[FLOAT(M)]]</f>
        <v>0.20119242831541218</v>
      </c>
      <c r="AH73" s="23">
        <f>(Table13[[#This Row],[Volume]]/1000000)/Table13[[#This Row],[FLOAT(M)]]</f>
        <v>4.8173773745519712</v>
      </c>
      <c r="AI73" s="18">
        <f>(Table13[[#This Row],[Hi of Spike after open before drop]]-Table13[[#This Row],[MKT Open Price]])/Table13[[#This Row],[MKT Open Price]]</f>
        <v>3.3142857142857043E-2</v>
      </c>
      <c r="AJ73" s="18">
        <f>(Table13[[#This Row],[PM Hi]]-Table13[[#This Row],[MKT Open Price]])/(Table13[[#This Row],[PM Hi]])</f>
        <v>6.9148936170212796E-2</v>
      </c>
      <c r="AK73" s="16">
        <f>IF(Table13[[#This Row],[PM LO]]&gt;Table13[[#This Row],[Prior day close]],(Table13[[#This Row],[PM Hi]]-Table13[[#This Row],[MKT Open Price]])/(Table13[[#This Row],[PM Hi]]-Table13[[#This Row],[Prior day close]]),(Table13[[#This Row],[PM Hi]]-Table13[[#This Row],[MKT Open Price]])/(Table13[[#This Row],[PM Hi]]-Table13[[#This Row],[PM LO]]))</f>
        <v>0.42207792207792227</v>
      </c>
      <c r="AL73" s="18">
        <f>IF(Table13[[#This Row],[Prior day close]]&lt;Table13[[#This Row],[PM LO]],(J73-L73)/(J73-Table13[[#This Row],[Prior day close]]),(J73-L73)/(J73-Table13[[#This Row],[PM LO]]))</f>
        <v>0.39325842696629187</v>
      </c>
      <c r="AM73" s="18">
        <f>Table13[[#This Row],[Spike % on open before drop]]+AN73</f>
        <v>7.314285714285701E-2</v>
      </c>
      <c r="AN73" s="16">
        <f t="shared" si="7"/>
        <v>3.9999999999999959E-2</v>
      </c>
      <c r="AO73" s="18">
        <f>IF($K73&gt;=$G73,($K73-$L73)/($K73),(IF($I73&lt;=$L73,($G73-$I73)/($G73),(Table13[[#This Row],[PM Hi]]-Table13[[#This Row],[Lowest lo from open to squeeze]])/(Table13[[#This Row],[PM Hi]]))))</f>
        <v>0.10638297872340426</v>
      </c>
      <c r="AP73" s="18">
        <f>IF(Table13[[#This Row],[Prior day close]]&lt;=Table13[[#This Row],[PM LO]],IF($K73&gt;=$G73,($K73-$L73)/($K73-Table13[[#This Row],[Prior day close]]),(IF($I73&lt;=$L73,($G73-$I73)/($G73-Table13[[#This Row],[Prior day close]]),(Table13[[#This Row],[PM Hi]]-Table13[[#This Row],[Lowest lo from open to squeeze]])/(Table13[[#This Row],[PM Hi]]-Table13[[#This Row],[Prior day close]])))),IF($K73&gt;=$G73,($K73-$L73)/($K73-Table13[[#This Row],[PM LO]]),(IF($I73&lt;=$L73,($G73-$I73)/($G73-Table13[[#This Row],[PM LO]]),(Table13[[#This Row],[PM Hi]]-Table13[[#This Row],[Lowest lo from open to squeeze]])/(Table13[[#This Row],[PM Hi]]-Table13[[#This Row],[PM LO]])))))</f>
        <v>0.64935064935064934</v>
      </c>
      <c r="AQ73" s="18">
        <f>IF(K73&gt;=G73,(K73-L73)/(K73-E73),(IF(I73&lt;=L73,(G73-I73)/(G73-E73),(Table13[[#This Row],[PM Hi]]-Table13[[#This Row],[Lowest lo from open to squeeze]])/(Table13[[#This Row],[PM Hi]]-Table13[[#This Row],[Prior day close]]))))</f>
        <v>0.93457943925233622</v>
      </c>
      <c r="AR73" s="17">
        <f>390+Table13[[#This Row],[Time until ideal entry point (mins) from open]]</f>
        <v>402</v>
      </c>
      <c r="AS73" s="51">
        <f>(Table13[[#This Row],[Time until ideal entry + 390 (6:30)]]+Table13[[#This Row],[Duration of frontside (mins)]])/1440</f>
        <v>0.3298611111111111</v>
      </c>
    </row>
    <row r="74" spans="1:45" x14ac:dyDescent="0.25">
      <c r="A74" s="24" t="s">
        <v>129</v>
      </c>
      <c r="B74" s="45">
        <v>44097</v>
      </c>
      <c r="C74" s="47" t="s">
        <v>78</v>
      </c>
      <c r="E74" s="12">
        <v>1.07</v>
      </c>
      <c r="F74" s="13">
        <v>1.0900000000000001</v>
      </c>
      <c r="G74" s="12">
        <v>4.03</v>
      </c>
      <c r="H74" s="12">
        <v>1.0900000000000001</v>
      </c>
      <c r="I74" s="12">
        <v>2.88</v>
      </c>
      <c r="J74" s="12">
        <v>3.54</v>
      </c>
      <c r="K74" s="12">
        <v>4.2300000000000004</v>
      </c>
      <c r="L74" s="12">
        <v>3.3</v>
      </c>
      <c r="M74" s="12">
        <v>46.67</v>
      </c>
      <c r="N74" s="12">
        <v>46.67</v>
      </c>
      <c r="O74" s="13">
        <v>339000000</v>
      </c>
      <c r="P74" s="12">
        <v>5222888908</v>
      </c>
      <c r="Q74" s="37">
        <v>15.44</v>
      </c>
      <c r="R74">
        <v>7.2</v>
      </c>
      <c r="S74" s="13"/>
      <c r="T74" s="13">
        <v>23432797</v>
      </c>
      <c r="U74" s="13" t="s">
        <v>44</v>
      </c>
      <c r="V74" t="s">
        <v>44</v>
      </c>
      <c r="W74" s="17">
        <v>26</v>
      </c>
      <c r="X74">
        <v>27</v>
      </c>
      <c r="Y74">
        <v>3.38</v>
      </c>
      <c r="Z74">
        <v>248</v>
      </c>
      <c r="AA74" s="15">
        <f>Table13[[#This Row],[Time until ideal entry + 390 (6:30)]]/(1440)</f>
        <v>0.28958333333333336</v>
      </c>
      <c r="AB74" s="18">
        <f t="shared" si="6"/>
        <v>2.7663551401869158</v>
      </c>
      <c r="AC74" s="18">
        <f>IF(Table13[[#This Row],[HOD AFTER PM HI]]&gt;=Table13[[#This Row],[PM Hi]],((Table13[[#This Row],[HOD AFTER PM HI]]-Table13[[#This Row],[Prior day close]])/Table13[[#This Row],[Prior day close]]),Table13[[#This Row],[Prior Close to PM Hi %]])</f>
        <v>42.616822429906541</v>
      </c>
      <c r="AD74" s="18">
        <f>(Table13[[#This Row],[Price at hi of squeeze]]-Table13[[#This Row],[MKT Open Price]])/Table13[[#This Row],[MKT Open Price]]</f>
        <v>12.18361581920904</v>
      </c>
      <c r="AE74" s="18">
        <f>(Table13[[#This Row],[Price at hi of squeeze]]-Table13[[#This Row],[PM Hi]])/Table13[[#This Row],[PM Hi]]</f>
        <v>10.580645161290322</v>
      </c>
      <c r="AF74" s="18">
        <f t="shared" si="8"/>
        <v>13.142424242424244</v>
      </c>
      <c r="AG74" s="20">
        <f>Table13[[#This Row],[PM VOL]]/1000000/Table13[[#This Row],[FLOAT(M)]]</f>
        <v>3.2545551388888887</v>
      </c>
      <c r="AH74" s="23">
        <f>(Table13[[#This Row],[Volume]]/1000000)/Table13[[#This Row],[FLOAT(M)]]</f>
        <v>47.083333333333336</v>
      </c>
      <c r="AI74" s="18">
        <f>(Table13[[#This Row],[Hi of Spike after open before drop]]-Table13[[#This Row],[MKT Open Price]])/Table13[[#This Row],[MKT Open Price]]</f>
        <v>0.19491525423728825</v>
      </c>
      <c r="AJ74" s="18">
        <f>(Table13[[#This Row],[PM Hi]]-Table13[[#This Row],[MKT Open Price]])/(Table13[[#This Row],[PM Hi]])</f>
        <v>0.12158808933002486</v>
      </c>
      <c r="AK74" s="16">
        <f>IF(Table13[[#This Row],[PM LO]]&gt;Table13[[#This Row],[Prior day close]],(Table13[[#This Row],[PM Hi]]-Table13[[#This Row],[MKT Open Price]])/(Table13[[#This Row],[PM Hi]]-Table13[[#This Row],[Prior day close]]),(Table13[[#This Row],[PM Hi]]-Table13[[#This Row],[MKT Open Price]])/(Table13[[#This Row],[PM Hi]]-Table13[[#This Row],[PM LO]]))</f>
        <v>0.16554054054054063</v>
      </c>
      <c r="AL74" s="18">
        <f>IF(Table13[[#This Row],[Prior day close]]&lt;Table13[[#This Row],[PM LO]],(J74-L74)/(J74-Table13[[#This Row],[Prior day close]]),(J74-L74)/(J74-Table13[[#This Row],[PM LO]]))</f>
        <v>9.7165991902834106E-2</v>
      </c>
      <c r="AM74" s="18">
        <f>Table13[[#This Row],[Spike % on open before drop]]+AN74</f>
        <v>0.26271186440677985</v>
      </c>
      <c r="AN74" s="16">
        <f t="shared" si="7"/>
        <v>6.7796610169491581E-2</v>
      </c>
      <c r="AO74" s="18">
        <f>IF($K74&gt;=$G74,($K74-$L74)/($K74),(IF($I74&lt;=$L74,($G74-$I74)/($G74),(Table13[[#This Row],[PM Hi]]-Table13[[#This Row],[Lowest lo from open to squeeze]])/(Table13[[#This Row],[PM Hi]]))))</f>
        <v>0.21985815602836892</v>
      </c>
      <c r="AP74" s="18">
        <f>IF(Table13[[#This Row],[Prior day close]]&lt;=Table13[[#This Row],[PM LO]],IF($K74&gt;=$G74,($K74-$L74)/($K74-Table13[[#This Row],[Prior day close]]),(IF($I74&lt;=$L74,($G74-$I74)/($G74-Table13[[#This Row],[Prior day close]]),(Table13[[#This Row],[PM Hi]]-Table13[[#This Row],[Lowest lo from open to squeeze]])/(Table13[[#This Row],[PM Hi]]-Table13[[#This Row],[Prior day close]])))),IF($K74&gt;=$G74,($K74-$L74)/($K74-Table13[[#This Row],[PM LO]]),(IF($I74&lt;=$L74,($G74-$I74)/($G74-Table13[[#This Row],[PM LO]]),(Table13[[#This Row],[PM Hi]]-Table13[[#This Row],[Lowest lo from open to squeeze]])/(Table13[[#This Row],[PM Hi]]-Table13[[#This Row],[PM LO]])))))</f>
        <v>0.29430379746835461</v>
      </c>
      <c r="AQ74" s="18">
        <f>IF(K74&gt;=G74,(K74-L74)/(K74-E74),(IF(I74&lt;=L74,(G74-I74)/(G74-E74),(Table13[[#This Row],[PM Hi]]-Table13[[#This Row],[Lowest lo from open to squeeze]])/(Table13[[#This Row],[PM Hi]]-Table13[[#This Row],[Prior day close]]))))</f>
        <v>0.29430379746835461</v>
      </c>
      <c r="AR74" s="17">
        <f>390+Table13[[#This Row],[Time until ideal entry point (mins) from open]]</f>
        <v>417</v>
      </c>
      <c r="AS74" s="51">
        <f>(Table13[[#This Row],[Time until ideal entry + 390 (6:30)]]+Table13[[#This Row],[Duration of frontside (mins)]])/1440</f>
        <v>0.46180555555555558</v>
      </c>
    </row>
    <row r="75" spans="1:45" x14ac:dyDescent="0.25">
      <c r="A75" s="24" t="s">
        <v>130</v>
      </c>
      <c r="B75" s="11">
        <v>44105</v>
      </c>
      <c r="C75" s="47" t="s">
        <v>78</v>
      </c>
      <c r="D75" t="s">
        <v>131</v>
      </c>
      <c r="E75" s="12">
        <v>2.1</v>
      </c>
      <c r="F75" s="13">
        <v>2.5</v>
      </c>
      <c r="G75" s="12">
        <v>5.53</v>
      </c>
      <c r="H75" s="12">
        <v>2.5</v>
      </c>
      <c r="I75" s="12">
        <v>5.09</v>
      </c>
      <c r="J75" s="12">
        <v>5.21</v>
      </c>
      <c r="K75" s="12">
        <v>5.85</v>
      </c>
      <c r="L75" s="12">
        <v>4.87</v>
      </c>
      <c r="M75" s="12">
        <v>6.1</v>
      </c>
      <c r="N75" s="12">
        <v>6.1</v>
      </c>
      <c r="O75" s="13">
        <v>172641392</v>
      </c>
      <c r="P75" s="12">
        <v>597339216</v>
      </c>
      <c r="Q75" s="37">
        <v>89.56</v>
      </c>
      <c r="R75">
        <v>26.54</v>
      </c>
      <c r="S75" s="37" t="s">
        <v>132</v>
      </c>
      <c r="T75" s="37">
        <v>23621806</v>
      </c>
      <c r="U75" s="37" t="s">
        <v>44</v>
      </c>
      <c r="V75" s="37" t="s">
        <v>44</v>
      </c>
      <c r="W75" s="38">
        <v>4</v>
      </c>
      <c r="X75">
        <v>5</v>
      </c>
      <c r="Y75" s="39">
        <v>5.0199999999999996</v>
      </c>
      <c r="Z75">
        <v>7</v>
      </c>
      <c r="AA75" s="40">
        <f>Table13[[#This Row],[Time until ideal entry + 390 (6:30)]]/(1440)</f>
        <v>0.27430555555555558</v>
      </c>
      <c r="AB75" s="18">
        <f t="shared" si="6"/>
        <v>1.6333333333333333</v>
      </c>
      <c r="AC75" s="18">
        <f>IF(Table13[[#This Row],[HOD AFTER PM HI]]&gt;=Table13[[#This Row],[PM Hi]],((Table13[[#This Row],[HOD AFTER PM HI]]-Table13[[#This Row],[Prior day close]])/Table13[[#This Row],[Prior day close]]),Table13[[#This Row],[Prior Close to PM Hi %]])</f>
        <v>1.9047619047619044</v>
      </c>
      <c r="AD75" s="42">
        <f>(Table13[[#This Row],[Price at hi of squeeze]]-Table13[[#This Row],[MKT Open Price]])/Table13[[#This Row],[MKT Open Price]]</f>
        <v>0.17082533589251434</v>
      </c>
      <c r="AE75" s="18">
        <f>(Table13[[#This Row],[Price at hi of squeeze]]-Table13[[#This Row],[PM Hi]])/Table13[[#This Row],[PM Hi]]</f>
        <v>0.10307414104882448</v>
      </c>
      <c r="AF75" s="18">
        <f t="shared" si="8"/>
        <v>0.25256673511293626</v>
      </c>
      <c r="AG75" s="20">
        <f>Table13[[#This Row],[PM VOL]]/1000000/Table13[[#This Row],[FLOAT(M)]]</f>
        <v>0.89004544084400905</v>
      </c>
      <c r="AH75" s="23">
        <f>(Table13[[#This Row],[Volume]]/1000000)/Table13[[#This Row],[FLOAT(M)]]</f>
        <v>6.5049507159005273</v>
      </c>
      <c r="AJ75" s="18">
        <f>(Table13[[#This Row],[PM Hi]]-Table13[[#This Row],[MKT Open Price]])/(Table13[[#This Row],[PM Hi]])</f>
        <v>5.7866184448462976E-2</v>
      </c>
      <c r="AK75" s="16">
        <f>IF(Table13[[#This Row],[PM LO]]&gt;Table13[[#This Row],[Prior day close]],(Table13[[#This Row],[PM Hi]]-Table13[[#This Row],[MKT Open Price]])/(Table13[[#This Row],[PM Hi]]-Table13[[#This Row],[Prior day close]]),(Table13[[#This Row],[PM Hi]]-Table13[[#This Row],[MKT Open Price]])/(Table13[[#This Row],[PM Hi]]-Table13[[#This Row],[PM LO]]))</f>
        <v>9.3294460641399499E-2</v>
      </c>
      <c r="AL75" s="18">
        <f>IF(Table13[[#This Row],[Prior day close]]&lt;Table13[[#This Row],[PM LO]],(J75-L75)/(J75-Table13[[#This Row],[Prior day close]]),(J75-L75)/(J75-Table13[[#This Row],[PM LO]]))</f>
        <v>0.10932475884244369</v>
      </c>
      <c r="AM75" s="18">
        <f>Table13[[#This Row],[Spike % on open before drop]]+AN75</f>
        <v>6.5259117082533569E-2</v>
      </c>
      <c r="AN75" s="16">
        <f t="shared" si="7"/>
        <v>6.5259117082533569E-2</v>
      </c>
      <c r="AO75" s="18">
        <f>IF($K75&gt;=$G75,($K75-$L75)/($K75),(IF($I75&lt;=$L75,($G75-$I75)/($G75),(Table13[[#This Row],[PM Hi]]-Table13[[#This Row],[Lowest lo from open to squeeze]])/(Table13[[#This Row],[PM Hi]]))))</f>
        <v>0.16752136752136745</v>
      </c>
      <c r="AP75" s="18">
        <f>IF(Table13[[#This Row],[Prior day close]]&lt;=Table13[[#This Row],[PM LO]],IF($K75&gt;=$G75,($K75-$L75)/($K75-Table13[[#This Row],[Prior day close]]),(IF($I75&lt;=$L75,($G75-$I75)/($G75-Table13[[#This Row],[Prior day close]]),(Table13[[#This Row],[PM Hi]]-Table13[[#This Row],[Lowest lo from open to squeeze]])/(Table13[[#This Row],[PM Hi]]-Table13[[#This Row],[Prior day close]])))),IF($K75&gt;=$G75,($K75-$L75)/($K75-Table13[[#This Row],[PM LO]]),(IF($I75&lt;=$L75,($G75-$I75)/($G75-Table13[[#This Row],[PM LO]]),(Table13[[#This Row],[PM Hi]]-Table13[[#This Row],[Lowest lo from open to squeeze]])/(Table13[[#This Row],[PM Hi]]-Table13[[#This Row],[PM LO]])))))</f>
        <v>0.26133333333333325</v>
      </c>
      <c r="AQ75" s="18">
        <f>IF(K75&gt;=G75,(K75-L75)/(K75-E75),(IF(I75&lt;=L75,(G75-I75)/(G75-E75),(Table13[[#This Row],[PM Hi]]-Table13[[#This Row],[Lowest lo from open to squeeze]])/(Table13[[#This Row],[PM Hi]]-Table13[[#This Row],[Prior day close]]))))</f>
        <v>0.26133333333333325</v>
      </c>
      <c r="AR75" s="17">
        <f>390+Table13[[#This Row],[Time until ideal entry point (mins) from open]]</f>
        <v>395</v>
      </c>
      <c r="AS75" s="51">
        <f>(Table13[[#This Row],[Time until ideal entry + 390 (6:30)]]+Table13[[#This Row],[Duration of frontside (mins)]])/1440</f>
        <v>0.27916666666666667</v>
      </c>
    </row>
    <row r="76" spans="1:45" x14ac:dyDescent="0.25">
      <c r="A76" s="24" t="s">
        <v>133</v>
      </c>
      <c r="B76" s="11">
        <v>44110</v>
      </c>
      <c r="C76" s="47" t="s">
        <v>78</v>
      </c>
      <c r="D76" t="s">
        <v>134</v>
      </c>
      <c r="E76" s="12">
        <v>1.63</v>
      </c>
      <c r="F76" s="13">
        <v>1.63</v>
      </c>
      <c r="G76" s="12">
        <v>3.48</v>
      </c>
      <c r="H76" s="12">
        <v>1.63</v>
      </c>
      <c r="I76" s="12">
        <v>3.07</v>
      </c>
      <c r="J76" s="12">
        <v>3.32</v>
      </c>
      <c r="K76" s="12">
        <v>3.6</v>
      </c>
      <c r="L76" s="12">
        <v>2.9</v>
      </c>
      <c r="M76" s="12">
        <v>9.43</v>
      </c>
      <c r="N76" s="12">
        <v>9.43</v>
      </c>
      <c r="O76" s="13">
        <v>292404017</v>
      </c>
      <c r="P76" s="12">
        <v>19478885</v>
      </c>
      <c r="Q76" s="37">
        <v>41.18</v>
      </c>
      <c r="R76">
        <v>3.2</v>
      </c>
      <c r="S76" s="37" t="s">
        <v>132</v>
      </c>
      <c r="T76" s="37">
        <v>19478885</v>
      </c>
      <c r="U76" s="37" t="s">
        <v>42</v>
      </c>
      <c r="V76" s="37" t="s">
        <v>44</v>
      </c>
      <c r="W76" s="38">
        <v>4</v>
      </c>
      <c r="X76">
        <v>5</v>
      </c>
      <c r="Y76" s="39">
        <v>3.02</v>
      </c>
      <c r="Z76">
        <v>87</v>
      </c>
      <c r="AA76" s="40">
        <f>Table13[[#This Row],[Time until ideal entry + 390 (6:30)]]/(1440)</f>
        <v>0.27430555555555558</v>
      </c>
      <c r="AB76" s="18">
        <f t="shared" si="6"/>
        <v>1.1349693251533743</v>
      </c>
      <c r="AC76" s="18">
        <f>IF(Table13[[#This Row],[HOD AFTER PM HI]]&gt;=Table13[[#This Row],[PM Hi]],((Table13[[#This Row],[HOD AFTER PM HI]]-Table13[[#This Row],[Prior day close]])/Table13[[#This Row],[Prior day close]]),Table13[[#This Row],[Prior Close to PM Hi %]])</f>
        <v>4.7852760736196318</v>
      </c>
      <c r="AD76" s="42">
        <f>(Table13[[#This Row],[Price at hi of squeeze]]-Table13[[#This Row],[MKT Open Price]])/Table13[[#This Row],[MKT Open Price]]</f>
        <v>1.8403614457831325</v>
      </c>
      <c r="AE76" s="18">
        <f>(Table13[[#This Row],[Price at hi of squeeze]]-Table13[[#This Row],[PM Hi]])/Table13[[#This Row],[PM Hi]]</f>
        <v>1.7097701149425286</v>
      </c>
      <c r="AF76" s="18">
        <f t="shared" si="8"/>
        <v>2.2517241379310344</v>
      </c>
      <c r="AG76" s="20">
        <f>Table13[[#This Row],[PM VOL]]/1000000/Table13[[#This Row],[FLOAT(M)]]</f>
        <v>6.087151562499999</v>
      </c>
      <c r="AH76" s="23">
        <f>(Table13[[#This Row],[Volume]]/1000000)/Table13[[#This Row],[FLOAT(M)]]</f>
        <v>91.376255312499993</v>
      </c>
      <c r="AJ76" s="18">
        <f>(Table13[[#This Row],[PM Hi]]-Table13[[#This Row],[MKT Open Price]])/(Table13[[#This Row],[PM Hi]])</f>
        <v>4.5977011494252915E-2</v>
      </c>
      <c r="AK76" s="16">
        <f>IF(Table13[[#This Row],[PM LO]]&gt;Table13[[#This Row],[Prior day close]],(Table13[[#This Row],[PM Hi]]-Table13[[#This Row],[MKT Open Price]])/(Table13[[#This Row],[PM Hi]]-Table13[[#This Row],[Prior day close]]),(Table13[[#This Row],[PM Hi]]-Table13[[#This Row],[MKT Open Price]])/(Table13[[#This Row],[PM Hi]]-Table13[[#This Row],[PM LO]]))</f>
        <v>8.6486486486486561E-2</v>
      </c>
      <c r="AL76" s="18">
        <f>IF(Table13[[#This Row],[Prior day close]]&lt;Table13[[#This Row],[PM LO]],(J76-L76)/(J76-Table13[[#This Row],[Prior day close]]),(J76-L76)/(J76-Table13[[#This Row],[PM LO]]))</f>
        <v>0.24852071005917156</v>
      </c>
      <c r="AM76" s="18">
        <f>Table13[[#This Row],[Spike % on open before drop]]+AN76</f>
        <v>0.12650602409638553</v>
      </c>
      <c r="AN76" s="16">
        <f t="shared" si="7"/>
        <v>0.12650602409638553</v>
      </c>
      <c r="AO76" s="18">
        <f>IF($K76&gt;=$G76,($K76-$L76)/($K76),(IF($I76&lt;=$L76,($G76-$I76)/($G76),(Table13[[#This Row],[PM Hi]]-Table13[[#This Row],[Lowest lo from open to squeeze]])/(Table13[[#This Row],[PM Hi]]))))</f>
        <v>0.19444444444444448</v>
      </c>
      <c r="AP76" s="18">
        <f>IF(Table13[[#This Row],[Prior day close]]&lt;=Table13[[#This Row],[PM LO]],IF($K76&gt;=$G76,($K76-$L76)/($K76-Table13[[#This Row],[Prior day close]]),(IF($I76&lt;=$L76,($G76-$I76)/($G76-Table13[[#This Row],[Prior day close]]),(Table13[[#This Row],[PM Hi]]-Table13[[#This Row],[Lowest lo from open to squeeze]])/(Table13[[#This Row],[PM Hi]]-Table13[[#This Row],[Prior day close]])))),IF($K76&gt;=$G76,($K76-$L76)/($K76-Table13[[#This Row],[PM LO]]),(IF($I76&lt;=$L76,($G76-$I76)/($G76-Table13[[#This Row],[PM LO]]),(Table13[[#This Row],[PM Hi]]-Table13[[#This Row],[Lowest lo from open to squeeze]])/(Table13[[#This Row],[PM Hi]]-Table13[[#This Row],[PM LO]])))))</f>
        <v>0.35532994923857875</v>
      </c>
      <c r="AQ76" s="18">
        <f>IF(K76&gt;=G76,(K76-L76)/(K76-E76),(IF(I76&lt;=L76,(G76-I76)/(G76-E76),(Table13[[#This Row],[PM Hi]]-Table13[[#This Row],[Lowest lo from open to squeeze]])/(Table13[[#This Row],[PM Hi]]-Table13[[#This Row],[Prior day close]]))))</f>
        <v>0.35532994923857875</v>
      </c>
      <c r="AR76" s="17">
        <f>390+Table13[[#This Row],[Time until ideal entry point (mins) from open]]</f>
        <v>395</v>
      </c>
      <c r="AS76" s="51">
        <f>(Table13[[#This Row],[Time until ideal entry + 390 (6:30)]]+Table13[[#This Row],[Duration of frontside (mins)]])/1440</f>
        <v>0.3347222222222222</v>
      </c>
    </row>
    <row r="77" spans="1:45" x14ac:dyDescent="0.25">
      <c r="A77" s="24" t="s">
        <v>137</v>
      </c>
      <c r="B77" s="11">
        <v>44111</v>
      </c>
      <c r="C77" s="47" t="s">
        <v>78</v>
      </c>
      <c r="D77" t="s">
        <v>138</v>
      </c>
      <c r="E77" s="12">
        <v>7.3</v>
      </c>
      <c r="F77" s="13">
        <v>7.3</v>
      </c>
      <c r="G77" s="12">
        <v>14.48</v>
      </c>
      <c r="H77" s="12">
        <v>7.3</v>
      </c>
      <c r="I77" s="12">
        <v>12.53</v>
      </c>
      <c r="J77" s="12">
        <v>12.97</v>
      </c>
      <c r="K77" s="12">
        <v>13.8</v>
      </c>
      <c r="L77" s="12">
        <v>11.75</v>
      </c>
      <c r="M77" s="12">
        <v>14.42</v>
      </c>
      <c r="N77" s="12">
        <v>14.42</v>
      </c>
      <c r="O77" s="13">
        <v>24844118</v>
      </c>
      <c r="P77" s="12">
        <v>255149901</v>
      </c>
      <c r="Q77" s="37">
        <v>40.22</v>
      </c>
      <c r="R77">
        <v>2.5</v>
      </c>
      <c r="S77" s="37" t="s">
        <v>56</v>
      </c>
      <c r="T77" s="37">
        <v>3156033</v>
      </c>
      <c r="U77" s="37" t="s">
        <v>44</v>
      </c>
      <c r="V77" s="37" t="s">
        <v>44</v>
      </c>
      <c r="W77" s="38">
        <v>3</v>
      </c>
      <c r="X77">
        <v>4</v>
      </c>
      <c r="Y77" s="39">
        <v>12</v>
      </c>
      <c r="Z77">
        <v>8</v>
      </c>
      <c r="AA77" s="40">
        <f>Table13[[#This Row],[Time until ideal entry + 390 (6:30)]]/(1440)</f>
        <v>0.27361111111111114</v>
      </c>
      <c r="AB77" s="18">
        <f t="shared" si="6"/>
        <v>0.98356164383561651</v>
      </c>
      <c r="AC77" s="18">
        <f>IF(Table13[[#This Row],[HOD AFTER PM HI]]&gt;=Table13[[#This Row],[PM Hi]],((Table13[[#This Row],[HOD AFTER PM HI]]-Table13[[#This Row],[Prior day close]])/Table13[[#This Row],[Prior day close]]),Table13[[#This Row],[Prior Close to PM Hi %]])</f>
        <v>0.98356164383561651</v>
      </c>
      <c r="AD77" s="42">
        <f>(Table13[[#This Row],[Price at hi of squeeze]]-Table13[[#This Row],[MKT Open Price]])/Table13[[#This Row],[MKT Open Price]]</f>
        <v>0.11179645335389354</v>
      </c>
      <c r="AE77" s="18">
        <f>(Table13[[#This Row],[Price at hi of squeeze]]-Table13[[#This Row],[PM Hi]])/Table13[[#This Row],[PM Hi]]</f>
        <v>-4.1436464088398135E-3</v>
      </c>
      <c r="AF77" s="18">
        <f t="shared" si="8"/>
        <v>0.22723404255319149</v>
      </c>
      <c r="AG77" s="20">
        <f>Table13[[#This Row],[PM VOL]]/1000000/Table13[[#This Row],[FLOAT(M)]]</f>
        <v>1.2624131999999999</v>
      </c>
      <c r="AH77" s="23">
        <f>(Table13[[#This Row],[Volume]]/1000000)/Table13[[#This Row],[FLOAT(M)]]</f>
        <v>9.9376472000000007</v>
      </c>
      <c r="AJ77" s="18">
        <f>(Table13[[#This Row],[PM Hi]]-Table13[[#This Row],[MKT Open Price]])/(Table13[[#This Row],[PM Hi]])</f>
        <v>0.10428176795580109</v>
      </c>
      <c r="AK77" s="16">
        <f>IF(Table13[[#This Row],[PM LO]]&gt;Table13[[#This Row],[Prior day close]],(Table13[[#This Row],[PM Hi]]-Table13[[#This Row],[MKT Open Price]])/(Table13[[#This Row],[PM Hi]]-Table13[[#This Row],[Prior day close]]),(Table13[[#This Row],[PM Hi]]-Table13[[#This Row],[MKT Open Price]])/(Table13[[#This Row],[PM Hi]]-Table13[[#This Row],[PM LO]]))</f>
        <v>0.21030640668523673</v>
      </c>
      <c r="AL77" s="18">
        <f>IF(Table13[[#This Row],[Prior day close]]&lt;Table13[[#This Row],[PM LO]],(J77-L77)/(J77-Table13[[#This Row],[Prior day close]]),(J77-L77)/(J77-Table13[[#This Row],[PM LO]]))</f>
        <v>0.21516754850088191</v>
      </c>
      <c r="AM77" s="18">
        <f>Table13[[#This Row],[Spike % on open before drop]]+AN77</f>
        <v>9.4063222821896733E-2</v>
      </c>
      <c r="AN77" s="16">
        <f t="shared" si="7"/>
        <v>9.4063222821896733E-2</v>
      </c>
      <c r="AO77" s="16"/>
      <c r="AP77" s="18">
        <f>IF(Table13[[#This Row],[Prior day close]]&lt;=Table13[[#This Row],[PM LO]],IF($K77&gt;=$G77,($K77-$L77)/($K77-Table13[[#This Row],[Prior day close]]),(IF($I77&lt;=$L77,($G77-$I77)/($G77-Table13[[#This Row],[Prior day close]]),(Table13[[#This Row],[PM Hi]]-Table13[[#This Row],[Lowest lo from open to squeeze]])/(Table13[[#This Row],[PM Hi]]-Table13[[#This Row],[Prior day close]])))),IF($K77&gt;=$G77,($K77-$L77)/($K77-Table13[[#This Row],[PM LO]]),(IF($I77&lt;=$L77,($G77-$I77)/($G77-Table13[[#This Row],[PM LO]]),(Table13[[#This Row],[PM Hi]]-Table13[[#This Row],[Lowest lo from open to squeeze]])/(Table13[[#This Row],[PM Hi]]-Table13[[#This Row],[PM LO]])))))</f>
        <v>0.38022284122562677</v>
      </c>
      <c r="AQ77" s="18">
        <f>IF(K77&gt;=G77,(K77-L77)/(K77-E77),(IF(I77&lt;=L77,(G77-I77)/(G77-E77),(Table13[[#This Row],[PM Hi]]-Table13[[#This Row],[Lowest lo from open to squeeze]])/(Table13[[#This Row],[PM Hi]]-Table13[[#This Row],[Prior day close]]))))</f>
        <v>0.38022284122562677</v>
      </c>
      <c r="AR77" s="17">
        <f>390+Table13[[#This Row],[Time until ideal entry point (mins) from open]]</f>
        <v>394</v>
      </c>
      <c r="AS77" s="51">
        <f>(Table13[[#This Row],[Time until ideal entry + 390 (6:30)]]+Table13[[#This Row],[Duration of frontside (mins)]])/1440</f>
        <v>0.27916666666666667</v>
      </c>
    </row>
    <row r="78" spans="1:45" x14ac:dyDescent="0.25">
      <c r="A78" s="24" t="s">
        <v>135</v>
      </c>
      <c r="B78" s="11">
        <v>44111</v>
      </c>
      <c r="C78" s="47" t="s">
        <v>78</v>
      </c>
      <c r="D78" t="s">
        <v>136</v>
      </c>
      <c r="E78" s="12">
        <v>1.63</v>
      </c>
      <c r="F78" s="13">
        <v>1.79</v>
      </c>
      <c r="G78" s="12">
        <v>3.3</v>
      </c>
      <c r="H78" s="12">
        <v>1.79</v>
      </c>
      <c r="I78" s="12">
        <v>2.94</v>
      </c>
      <c r="J78" s="12">
        <v>3.09</v>
      </c>
      <c r="K78" s="12">
        <v>3.5</v>
      </c>
      <c r="L78" s="12">
        <v>2.75</v>
      </c>
      <c r="M78" s="12">
        <v>4.93</v>
      </c>
      <c r="N78" s="12">
        <v>4.93</v>
      </c>
      <c r="O78" s="13">
        <v>160000090</v>
      </c>
      <c r="P78" s="12">
        <v>400000225</v>
      </c>
      <c r="Q78" s="37">
        <v>40</v>
      </c>
      <c r="R78">
        <v>10</v>
      </c>
      <c r="S78" s="37" t="s">
        <v>132</v>
      </c>
      <c r="T78" s="37">
        <v>5983865</v>
      </c>
      <c r="U78" s="37" t="s">
        <v>42</v>
      </c>
      <c r="V78" s="37" t="s">
        <v>44</v>
      </c>
      <c r="W78" s="38">
        <v>5</v>
      </c>
      <c r="X78">
        <v>6</v>
      </c>
      <c r="Y78" s="39">
        <v>2.9</v>
      </c>
      <c r="Z78">
        <v>19</v>
      </c>
      <c r="AA78" s="40">
        <f>Table13[[#This Row],[Time until ideal entry + 390 (6:30)]]/(1440)</f>
        <v>0.27500000000000002</v>
      </c>
      <c r="AB78" s="18">
        <f t="shared" si="6"/>
        <v>1.0245398773006136</v>
      </c>
      <c r="AC78" s="18">
        <f>IF(Table13[[#This Row],[HOD AFTER PM HI]]&gt;=Table13[[#This Row],[PM Hi]],((Table13[[#This Row],[HOD AFTER PM HI]]-Table13[[#This Row],[Prior day close]])/Table13[[#This Row],[Prior day close]]),Table13[[#This Row],[Prior Close to PM Hi %]])</f>
        <v>2.0245398773006134</v>
      </c>
      <c r="AD78" s="42">
        <f>(Table13[[#This Row],[Price at hi of squeeze]]-Table13[[#This Row],[MKT Open Price]])/Table13[[#This Row],[MKT Open Price]]</f>
        <v>0.59546925566343045</v>
      </c>
      <c r="AE78" s="18">
        <f>(Table13[[#This Row],[Price at hi of squeeze]]-Table13[[#This Row],[PM Hi]])/Table13[[#This Row],[PM Hi]]</f>
        <v>0.49393939393939396</v>
      </c>
      <c r="AF78" s="18">
        <f t="shared" si="8"/>
        <v>0.79272727272727261</v>
      </c>
      <c r="AG78" s="20">
        <f>Table13[[#This Row],[PM VOL]]/1000000/Table13[[#This Row],[FLOAT(M)]]</f>
        <v>0.59838649999999993</v>
      </c>
      <c r="AH78" s="23">
        <f>(Table13[[#This Row],[Volume]]/1000000)/Table13[[#This Row],[FLOAT(M)]]</f>
        <v>16.000008999999999</v>
      </c>
      <c r="AJ78" s="18">
        <f>(Table13[[#This Row],[PM Hi]]-Table13[[#This Row],[MKT Open Price]])/(Table13[[#This Row],[PM Hi]])</f>
        <v>6.363636363636363E-2</v>
      </c>
      <c r="AK78" s="16">
        <f>IF(Table13[[#This Row],[PM LO]]&gt;Table13[[#This Row],[Prior day close]],(Table13[[#This Row],[PM Hi]]-Table13[[#This Row],[MKT Open Price]])/(Table13[[#This Row],[PM Hi]]-Table13[[#This Row],[Prior day close]]),(Table13[[#This Row],[PM Hi]]-Table13[[#This Row],[MKT Open Price]])/(Table13[[#This Row],[PM Hi]]-Table13[[#This Row],[PM LO]]))</f>
        <v>0.12574850299401197</v>
      </c>
      <c r="AL78" s="18">
        <f>IF(Table13[[#This Row],[Prior day close]]&lt;Table13[[#This Row],[PM LO]],(J78-L78)/(J78-Table13[[#This Row],[Prior day close]]),(J78-L78)/(J78-Table13[[#This Row],[PM LO]]))</f>
        <v>0.23287671232876703</v>
      </c>
      <c r="AM78" s="18">
        <f>Table13[[#This Row],[Spike % on open before drop]]+AN78</f>
        <v>0.11003236245954688</v>
      </c>
      <c r="AN78" s="16">
        <f t="shared" si="7"/>
        <v>0.11003236245954688</v>
      </c>
      <c r="AO78" s="18">
        <f>IF($K78&gt;=$G78,($K78-$L78)/($K78),(IF($I78&lt;=$L78,($G78-$I78)/($G78),(Table13[[#This Row],[PM Hi]]-Table13[[#This Row],[Lowest lo from open to squeeze]])/(Table13[[#This Row],[PM Hi]]))))</f>
        <v>0.21428571428571427</v>
      </c>
      <c r="AP78" s="18">
        <f>IF(Table13[[#This Row],[Prior day close]]&lt;=Table13[[#This Row],[PM LO]],IF($K78&gt;=$G78,($K78-$L78)/($K78-Table13[[#This Row],[Prior day close]]),(IF($I78&lt;=$L78,($G78-$I78)/($G78-Table13[[#This Row],[Prior day close]]),(Table13[[#This Row],[PM Hi]]-Table13[[#This Row],[Lowest lo from open to squeeze]])/(Table13[[#This Row],[PM Hi]]-Table13[[#This Row],[Prior day close]])))),IF($K78&gt;=$G78,($K78-$L78)/($K78-Table13[[#This Row],[PM LO]]),(IF($I78&lt;=$L78,($G78-$I78)/($G78-Table13[[#This Row],[PM LO]]),(Table13[[#This Row],[PM Hi]]-Table13[[#This Row],[Lowest lo from open to squeeze]])/(Table13[[#This Row],[PM Hi]]-Table13[[#This Row],[PM LO]])))))</f>
        <v>0.40106951871657753</v>
      </c>
      <c r="AQ78" s="18">
        <f>IF(K78&gt;=G78,(K78-L78)/(K78-E78),(IF(I78&lt;=L78,(G78-I78)/(G78-E78),(Table13[[#This Row],[PM Hi]]-Table13[[#This Row],[Lowest lo from open to squeeze]])/(Table13[[#This Row],[PM Hi]]-Table13[[#This Row],[Prior day close]]))))</f>
        <v>0.40106951871657753</v>
      </c>
      <c r="AR78" s="17">
        <f>390+Table13[[#This Row],[Time until ideal entry point (mins) from open]]</f>
        <v>396</v>
      </c>
      <c r="AS78" s="51">
        <f>(Table13[[#This Row],[Time until ideal entry + 390 (6:30)]]+Table13[[#This Row],[Duration of frontside (mins)]])/1440</f>
        <v>0.28819444444444442</v>
      </c>
    </row>
    <row r="79" spans="1:45" x14ac:dyDescent="0.25">
      <c r="A79" s="24" t="s">
        <v>139</v>
      </c>
      <c r="B79" s="11">
        <v>44112</v>
      </c>
      <c r="C79" s="47" t="s">
        <v>78</v>
      </c>
      <c r="D79" t="s">
        <v>140</v>
      </c>
      <c r="E79" s="12">
        <v>1.31</v>
      </c>
      <c r="F79" s="13">
        <v>1.29</v>
      </c>
      <c r="G79" s="12">
        <v>2.2799999999999998</v>
      </c>
      <c r="H79" s="12">
        <v>1.08</v>
      </c>
      <c r="I79" s="12">
        <v>2.19</v>
      </c>
      <c r="J79" s="12">
        <v>2.2400000000000002</v>
      </c>
      <c r="K79" s="12">
        <v>2.4500000000000002</v>
      </c>
      <c r="L79" s="12">
        <v>2.0099999999999998</v>
      </c>
      <c r="M79" s="12">
        <v>3.93</v>
      </c>
      <c r="N79" s="12">
        <v>3.93</v>
      </c>
      <c r="O79" s="13">
        <v>331000000</v>
      </c>
      <c r="P79" s="12">
        <v>22173904</v>
      </c>
      <c r="Q79" s="37">
        <v>31.9</v>
      </c>
      <c r="R79">
        <v>21</v>
      </c>
      <c r="S79" s="37" t="s">
        <v>56</v>
      </c>
      <c r="T79" s="13">
        <v>22456474</v>
      </c>
      <c r="U79" s="37" t="s">
        <v>42</v>
      </c>
      <c r="V79" s="37" t="s">
        <v>44</v>
      </c>
      <c r="W79" s="38">
        <v>4</v>
      </c>
      <c r="X79">
        <v>4</v>
      </c>
      <c r="Y79" s="39">
        <v>2.08</v>
      </c>
      <c r="Z79">
        <v>43</v>
      </c>
      <c r="AA79" s="40">
        <f>Table13[[#This Row],[Time until ideal entry + 390 (6:30)]]/(1440)</f>
        <v>0.27361111111111114</v>
      </c>
      <c r="AB79" s="18">
        <f t="shared" si="6"/>
        <v>0.74045801526717536</v>
      </c>
      <c r="AC79" s="18">
        <f>IF(Table13[[#This Row],[HOD AFTER PM HI]]&gt;=Table13[[#This Row],[PM Hi]],((Table13[[#This Row],[HOD AFTER PM HI]]-Table13[[#This Row],[Prior day close]])/Table13[[#This Row],[Prior day close]]),Table13[[#This Row],[Prior Close to PM Hi %]])</f>
        <v>2</v>
      </c>
      <c r="AD79" s="42">
        <f>(Table13[[#This Row],[Price at hi of squeeze]]-Table13[[#This Row],[MKT Open Price]])/Table13[[#This Row],[MKT Open Price]]</f>
        <v>0.75446428571428559</v>
      </c>
      <c r="AE79" s="18">
        <f>(Table13[[#This Row],[Price at hi of squeeze]]-Table13[[#This Row],[PM Hi]])/Table13[[#This Row],[PM Hi]]</f>
        <v>0.72368421052631604</v>
      </c>
      <c r="AF79" s="18">
        <f t="shared" si="8"/>
        <v>0.95522388059701524</v>
      </c>
      <c r="AG79" s="20">
        <f>Table13[[#This Row],[PM VOL]]/1000000/Table13[[#This Row],[FLOAT(M)]]</f>
        <v>1.0693559047619048</v>
      </c>
      <c r="AH79" s="23">
        <f>(Table13[[#This Row],[Volume]]/1000000)/Table13[[#This Row],[FLOAT(M)]]</f>
        <v>15.761904761904763</v>
      </c>
      <c r="AJ79" s="18">
        <f>(Table13[[#This Row],[PM Hi]]-Table13[[#This Row],[MKT Open Price]])/(Table13[[#This Row],[PM Hi]])</f>
        <v>1.7543859649122629E-2</v>
      </c>
      <c r="AK79" s="16">
        <f>IF(Table13[[#This Row],[PM LO]]&gt;Table13[[#This Row],[Prior day close]],(Table13[[#This Row],[PM Hi]]-Table13[[#This Row],[MKT Open Price]])/(Table13[[#This Row],[PM Hi]]-Table13[[#This Row],[Prior day close]]),(Table13[[#This Row],[PM Hi]]-Table13[[#This Row],[MKT Open Price]])/(Table13[[#This Row],[PM Hi]]-Table13[[#This Row],[PM LO]]))</f>
        <v>3.3333333333333E-2</v>
      </c>
      <c r="AL79" s="18">
        <f>IF(Table13[[#This Row],[Prior day close]]&lt;Table13[[#This Row],[PM LO]],(J79-L79)/(J79-Table13[[#This Row],[Prior day close]]),(J79-L79)/(J79-Table13[[#This Row],[PM LO]]))</f>
        <v>0.19827586206896586</v>
      </c>
      <c r="AM79" s="18">
        <f>Table13[[#This Row],[Spike % on open before drop]]+AN79</f>
        <v>0.10267857142857161</v>
      </c>
      <c r="AN79" s="16">
        <f t="shared" si="7"/>
        <v>0.10267857142857161</v>
      </c>
      <c r="AO79" s="18">
        <f>IF($K79&gt;=$G79,($K79-$L79)/($K79),(IF($I79&lt;=$L79,($G79-$I79)/($G79),(Table13[[#This Row],[PM Hi]]-Table13[[#This Row],[Lowest lo from open to squeeze]])/(Table13[[#This Row],[PM Hi]]))))</f>
        <v>0.17959183673469403</v>
      </c>
      <c r="AP79" s="18">
        <f>IF(Table13[[#This Row],[Prior day close]]&lt;=Table13[[#This Row],[PM LO]],IF($K79&gt;=$G79,($K79-$L79)/($K79-Table13[[#This Row],[Prior day close]]),(IF($I79&lt;=$L79,($G79-$I79)/($G79-Table13[[#This Row],[Prior day close]]),(Table13[[#This Row],[PM Hi]]-Table13[[#This Row],[Lowest lo from open to squeeze]])/(Table13[[#This Row],[PM Hi]]-Table13[[#This Row],[Prior day close]])))),IF($K79&gt;=$G79,($K79-$L79)/($K79-Table13[[#This Row],[PM LO]]),(IF($I79&lt;=$L79,($G79-$I79)/($G79-Table13[[#This Row],[PM LO]]),(Table13[[#This Row],[PM Hi]]-Table13[[#This Row],[Lowest lo from open to squeeze]])/(Table13[[#This Row],[PM Hi]]-Table13[[#This Row],[PM LO]])))))</f>
        <v>0.32116788321167911</v>
      </c>
      <c r="AQ79" s="18">
        <f>IF(K79&gt;=G79,(K79-L79)/(K79-E79),(IF(I79&lt;=L79,(G79-I79)/(G79-E79),(Table13[[#This Row],[PM Hi]]-Table13[[#This Row],[Lowest lo from open to squeeze]])/(Table13[[#This Row],[PM Hi]]-Table13[[#This Row],[Prior day close]]))))</f>
        <v>0.38596491228070207</v>
      </c>
      <c r="AR79" s="17">
        <f>390+Table13[[#This Row],[Time until ideal entry point (mins) from open]]</f>
        <v>394</v>
      </c>
      <c r="AS79" s="51">
        <f>(Table13[[#This Row],[Time until ideal entry + 390 (6:30)]]+Table13[[#This Row],[Duration of frontside (mins)]])/1440</f>
        <v>0.3034722222222222</v>
      </c>
    </row>
    <row r="80" spans="1:45" x14ac:dyDescent="0.25">
      <c r="A80" s="24" t="s">
        <v>141</v>
      </c>
      <c r="B80" s="11">
        <v>44113</v>
      </c>
      <c r="C80" s="47" t="s">
        <v>78</v>
      </c>
      <c r="D80" t="s">
        <v>142</v>
      </c>
      <c r="E80" s="12">
        <v>10.15</v>
      </c>
      <c r="F80" s="13">
        <v>10.15</v>
      </c>
      <c r="G80" s="12">
        <v>17.3</v>
      </c>
      <c r="H80" s="12">
        <v>10</v>
      </c>
      <c r="I80" s="12">
        <v>15.41</v>
      </c>
      <c r="J80" s="12">
        <v>15.83</v>
      </c>
      <c r="K80" s="12">
        <v>17.25</v>
      </c>
      <c r="L80" s="12">
        <v>15.05</v>
      </c>
      <c r="M80" s="12">
        <v>24.33</v>
      </c>
      <c r="N80" s="12">
        <v>19.39</v>
      </c>
      <c r="O80" s="13">
        <v>109428663</v>
      </c>
      <c r="P80" s="12">
        <v>1791330799</v>
      </c>
      <c r="Q80" s="37">
        <v>118.46</v>
      </c>
      <c r="R80">
        <v>2.87</v>
      </c>
      <c r="S80" s="37"/>
      <c r="T80" s="37">
        <v>6328630</v>
      </c>
      <c r="U80" s="37" t="s">
        <v>42</v>
      </c>
      <c r="V80" s="37" t="s">
        <v>44</v>
      </c>
      <c r="W80" s="38">
        <v>6</v>
      </c>
      <c r="X80">
        <v>6</v>
      </c>
      <c r="Y80" s="39">
        <v>15.37</v>
      </c>
      <c r="Z80">
        <v>10</v>
      </c>
      <c r="AA80" s="40">
        <f>Table13[[#This Row],[Time until ideal entry + 390 (6:30)]]/(1440)</f>
        <v>0.27500000000000002</v>
      </c>
      <c r="AB80" s="18">
        <f t="shared" si="6"/>
        <v>0.70443349753694584</v>
      </c>
      <c r="AC80" s="18">
        <f>IF(Table13[[#This Row],[HOD AFTER PM HI]]&gt;=Table13[[#This Row],[PM Hi]],((Table13[[#This Row],[HOD AFTER PM HI]]-Table13[[#This Row],[Prior day close]])/Table13[[#This Row],[Prior day close]]),Table13[[#This Row],[Prior Close to PM Hi %]])</f>
        <v>1.3970443349753692</v>
      </c>
      <c r="AD80" s="42">
        <f>(Table13[[#This Row],[Price at hi of squeeze]]-Table13[[#This Row],[MKT Open Price]])/Table13[[#This Row],[MKT Open Price]]</f>
        <v>0.22488945041061278</v>
      </c>
      <c r="AE80" s="18">
        <f>(Table13[[#This Row],[Price at hi of squeeze]]-Table13[[#This Row],[PM Hi]])/Table13[[#This Row],[PM Hi]]</f>
        <v>0.12080924855491328</v>
      </c>
      <c r="AF80" s="18">
        <f t="shared" si="8"/>
        <v>0.28837209302325578</v>
      </c>
      <c r="AG80" s="20">
        <f>Table13[[#This Row],[PM VOL]]/1000000/Table13[[#This Row],[FLOAT(M)]]</f>
        <v>2.2050975609756098</v>
      </c>
      <c r="AH80" s="23">
        <f>(Table13[[#This Row],[Volume]]/1000000)/Table13[[#This Row],[FLOAT(M)]]</f>
        <v>38.128454006968639</v>
      </c>
      <c r="AJ80" s="18">
        <f>(Table13[[#This Row],[PM Hi]]-Table13[[#This Row],[MKT Open Price]])/(Table13[[#This Row],[PM Hi]])</f>
        <v>8.4971098265895981E-2</v>
      </c>
      <c r="AK80" s="16">
        <f>IF(Table13[[#This Row],[PM LO]]&gt;Table13[[#This Row],[Prior day close]],(Table13[[#This Row],[PM Hi]]-Table13[[#This Row],[MKT Open Price]])/(Table13[[#This Row],[PM Hi]]-Table13[[#This Row],[Prior day close]]),(Table13[[#This Row],[PM Hi]]-Table13[[#This Row],[MKT Open Price]])/(Table13[[#This Row],[PM Hi]]-Table13[[#This Row],[PM LO]]))</f>
        <v>0.20136986301369869</v>
      </c>
      <c r="AL80" s="18">
        <f>IF(Table13[[#This Row],[Prior day close]]&lt;Table13[[#This Row],[PM LO]],(J80-L80)/(J80-Table13[[#This Row],[Prior day close]]),(J80-L80)/(J80-Table13[[#This Row],[PM LO]]))</f>
        <v>0.13379073756432236</v>
      </c>
      <c r="AM80" s="18">
        <f>Table13[[#This Row],[Spike % on open before drop]]+AN80</f>
        <v>4.9273531269740954E-2</v>
      </c>
      <c r="AN80" s="16">
        <f t="shared" si="7"/>
        <v>4.9273531269740954E-2</v>
      </c>
      <c r="AO80" s="18">
        <f>IF($K80&gt;=$G80,($K80-$L80)/($K80),(IF($I80&lt;=$L80,($G80-$I80)/($G80),(Table13[[#This Row],[PM Hi]]-Table13[[#This Row],[Lowest lo from open to squeeze]])/(Table13[[#This Row],[PM Hi]]))))</f>
        <v>0.13005780346820808</v>
      </c>
      <c r="AP80" s="18">
        <f>IF(Table13[[#This Row],[Prior day close]]&lt;=Table13[[#This Row],[PM LO]],IF($K80&gt;=$G80,($K80-$L80)/($K80-Table13[[#This Row],[Prior day close]]),(IF($I80&lt;=$L80,($G80-$I80)/($G80-Table13[[#This Row],[Prior day close]]),(Table13[[#This Row],[PM Hi]]-Table13[[#This Row],[Lowest lo from open to squeeze]])/(Table13[[#This Row],[PM Hi]]-Table13[[#This Row],[Prior day close]])))),IF($K80&gt;=$G80,($K80-$L80)/($K80-Table13[[#This Row],[PM LO]]),(IF($I80&lt;=$L80,($G80-$I80)/($G80-Table13[[#This Row],[PM LO]]),(Table13[[#This Row],[PM Hi]]-Table13[[#This Row],[Lowest lo from open to squeeze]])/(Table13[[#This Row],[PM Hi]]-Table13[[#This Row],[PM LO]])))))</f>
        <v>0.30821917808219174</v>
      </c>
      <c r="AQ80" s="18">
        <f>IF(K80&gt;=G80,(K80-L80)/(K80-E80),(IF(I80&lt;=L80,(G80-I80)/(G80-E80),(Table13[[#This Row],[PM Hi]]-Table13[[#This Row],[Lowest lo from open to squeeze]])/(Table13[[#This Row],[PM Hi]]-Table13[[#This Row],[Prior day close]]))))</f>
        <v>0.31468531468531469</v>
      </c>
      <c r="AR80" s="17">
        <f>390+Table13[[#This Row],[Time until ideal entry point (mins) from open]]</f>
        <v>396</v>
      </c>
      <c r="AS80" s="51">
        <f>(Table13[[#This Row],[Time until ideal entry + 390 (6:30)]]+Table13[[#This Row],[Duration of frontside (mins)]])/1440</f>
        <v>0.28194444444444444</v>
      </c>
    </row>
    <row r="81" spans="1:45" x14ac:dyDescent="0.25">
      <c r="A81" s="24" t="s">
        <v>143</v>
      </c>
      <c r="B81" s="11">
        <v>44116</v>
      </c>
      <c r="C81" s="47" t="s">
        <v>78</v>
      </c>
      <c r="D81" t="s">
        <v>144</v>
      </c>
      <c r="E81" s="12">
        <v>2.48</v>
      </c>
      <c r="F81" s="13">
        <v>2.65</v>
      </c>
      <c r="G81" s="12">
        <v>4.88</v>
      </c>
      <c r="H81" s="12">
        <v>2.65</v>
      </c>
      <c r="I81" s="12">
        <v>3.82</v>
      </c>
      <c r="J81" s="12">
        <v>3.93</v>
      </c>
      <c r="K81" s="12">
        <v>3.96</v>
      </c>
      <c r="L81" s="12">
        <v>3.73</v>
      </c>
      <c r="M81" s="12">
        <v>4.75</v>
      </c>
      <c r="N81" s="12">
        <v>4.75</v>
      </c>
      <c r="O81" s="13">
        <v>111050287</v>
      </c>
      <c r="P81" s="12">
        <v>352029409</v>
      </c>
      <c r="Q81" s="37">
        <v>104.99</v>
      </c>
      <c r="R81">
        <v>22.61</v>
      </c>
      <c r="S81" s="37" t="s">
        <v>132</v>
      </c>
      <c r="T81" s="37">
        <v>9684755</v>
      </c>
      <c r="U81" s="37" t="s">
        <v>42</v>
      </c>
      <c r="V81" s="37" t="s">
        <v>44</v>
      </c>
      <c r="W81" s="38">
        <v>2</v>
      </c>
      <c r="X81">
        <v>3</v>
      </c>
      <c r="Y81" s="39">
        <v>3.82</v>
      </c>
      <c r="Z81">
        <v>38</v>
      </c>
      <c r="AA81" s="40">
        <f>Table13[[#This Row],[Time until ideal entry + 390 (6:30)]]/(1440)</f>
        <v>0.27291666666666664</v>
      </c>
      <c r="AB81" s="18">
        <f t="shared" si="6"/>
        <v>0.96774193548387089</v>
      </c>
      <c r="AC81" s="18">
        <f>IF(Table13[[#This Row],[HOD AFTER PM HI]]&gt;=Table13[[#This Row],[PM Hi]],((Table13[[#This Row],[HOD AFTER PM HI]]-Table13[[#This Row],[Prior day close]])/Table13[[#This Row],[Prior day close]]),Table13[[#This Row],[Prior Close to PM Hi %]])</f>
        <v>0.96774193548387089</v>
      </c>
      <c r="AD81" s="42">
        <f>(Table13[[#This Row],[Price at hi of squeeze]]-Table13[[#This Row],[MKT Open Price]])/Table13[[#This Row],[MKT Open Price]]</f>
        <v>0.2086513994910941</v>
      </c>
      <c r="AE81" s="18">
        <f>(Table13[[#This Row],[Price at hi of squeeze]]-Table13[[#This Row],[PM Hi]])/Table13[[#This Row],[PM Hi]]</f>
        <v>-2.663934426229506E-2</v>
      </c>
      <c r="AF81" s="18">
        <f t="shared" si="8"/>
        <v>0.27345844504021449</v>
      </c>
      <c r="AG81" s="20">
        <f>Table13[[#This Row],[PM VOL]]/1000000/Table13[[#This Row],[FLOAT(M)]]</f>
        <v>0.42833945157010167</v>
      </c>
      <c r="AH81" s="23">
        <f>(Table13[[#This Row],[Volume]]/1000000)/Table13[[#This Row],[FLOAT(M)]]</f>
        <v>4.9115562582927907</v>
      </c>
      <c r="AJ81" s="18">
        <f>(Table13[[#This Row],[PM Hi]]-Table13[[#This Row],[MKT Open Price]])/(Table13[[#This Row],[PM Hi]])</f>
        <v>0.19467213114754092</v>
      </c>
      <c r="AK81" s="16">
        <f>IF(Table13[[#This Row],[PM LO]]&gt;Table13[[#This Row],[Prior day close]],(Table13[[#This Row],[PM Hi]]-Table13[[#This Row],[MKT Open Price]])/(Table13[[#This Row],[PM Hi]]-Table13[[#This Row],[Prior day close]]),(Table13[[#This Row],[PM Hi]]-Table13[[#This Row],[MKT Open Price]])/(Table13[[#This Row],[PM Hi]]-Table13[[#This Row],[PM LO]]))</f>
        <v>0.39583333333333326</v>
      </c>
      <c r="AL81" s="18">
        <f>IF(Table13[[#This Row],[Prior day close]]&lt;Table13[[#This Row],[PM LO]],(J81-L81)/(J81-Table13[[#This Row],[Prior day close]]),(J81-L81)/(J81-Table13[[#This Row],[PM LO]]))</f>
        <v>0.13793103448275873</v>
      </c>
      <c r="AM81" s="18">
        <f>Table13[[#This Row],[Spike % on open before drop]]+AN81</f>
        <v>5.0890585241730325E-2</v>
      </c>
      <c r="AN81" s="16">
        <f t="shared" si="7"/>
        <v>5.0890585241730325E-2</v>
      </c>
      <c r="AO81" s="18">
        <f>IF($K81&gt;=$G81,($K81-$L81)/($K81),(IF($I81&lt;=$L81,($G81-$I81)/($G81),(Table13[[#This Row],[PM Hi]]-Table13[[#This Row],[Lowest lo from open to squeeze]])/(Table13[[#This Row],[PM Hi]]))))</f>
        <v>0.23565573770491802</v>
      </c>
      <c r="AP81" s="18">
        <f>IF(Table13[[#This Row],[Prior day close]]&lt;=Table13[[#This Row],[PM LO]],IF($K81&gt;=$G81,($K81-$L81)/($K81-Table13[[#This Row],[Prior day close]]),(IF($I81&lt;=$L81,($G81-$I81)/($G81-Table13[[#This Row],[Prior day close]]),(Table13[[#This Row],[PM Hi]]-Table13[[#This Row],[Lowest lo from open to squeeze]])/(Table13[[#This Row],[PM Hi]]-Table13[[#This Row],[Prior day close]])))),IF($K81&gt;=$G81,($K81-$L81)/($K81-Table13[[#This Row],[PM LO]]),(IF($I81&lt;=$L81,($G81-$I81)/($G81-Table13[[#This Row],[PM LO]]),(Table13[[#This Row],[PM Hi]]-Table13[[#This Row],[Lowest lo from open to squeeze]])/(Table13[[#This Row],[PM Hi]]-Table13[[#This Row],[PM LO]])))))</f>
        <v>0.47916666666666663</v>
      </c>
      <c r="AQ81" s="18">
        <f>IF(K81&gt;=G81,(K81-L81)/(K81-E81),(IF(I81&lt;=L81,(G81-I81)/(G81-E81),(Table13[[#This Row],[PM Hi]]-Table13[[#This Row],[Lowest lo from open to squeeze]])/(Table13[[#This Row],[PM Hi]]-Table13[[#This Row],[Prior day close]]))))</f>
        <v>0.47916666666666663</v>
      </c>
      <c r="AR81" s="17">
        <f>390+Table13[[#This Row],[Time until ideal entry point (mins) from open]]</f>
        <v>393</v>
      </c>
      <c r="AS81" s="51">
        <f>(Table13[[#This Row],[Time until ideal entry + 390 (6:30)]]+Table13[[#This Row],[Duration of frontside (mins)]])/1440</f>
        <v>0.29930555555555555</v>
      </c>
    </row>
    <row r="82" spans="1:45" x14ac:dyDescent="0.25">
      <c r="A82" s="24" t="s">
        <v>74</v>
      </c>
      <c r="B82" s="11">
        <v>44117</v>
      </c>
      <c r="C82" s="47" t="s">
        <v>78</v>
      </c>
      <c r="D82" t="s">
        <v>145</v>
      </c>
      <c r="E82" s="12">
        <v>1.79</v>
      </c>
      <c r="F82" s="13">
        <v>1.81</v>
      </c>
      <c r="G82" s="12">
        <v>3.67</v>
      </c>
      <c r="H82" s="12">
        <v>1.81</v>
      </c>
      <c r="I82" s="12">
        <v>2.83</v>
      </c>
      <c r="J82" s="12">
        <v>3</v>
      </c>
      <c r="K82" s="12">
        <v>3.08</v>
      </c>
      <c r="L82" s="12">
        <v>2.86</v>
      </c>
      <c r="M82" s="12">
        <v>3.99</v>
      </c>
      <c r="N82" s="12">
        <v>3.99</v>
      </c>
      <c r="O82" s="13">
        <v>192813070</v>
      </c>
      <c r="P82" s="12">
        <v>563014164</v>
      </c>
      <c r="Q82" s="37">
        <v>11.64</v>
      </c>
      <c r="R82">
        <v>3.75</v>
      </c>
      <c r="S82" s="37" t="s">
        <v>132</v>
      </c>
      <c r="T82" s="37">
        <v>16207970</v>
      </c>
      <c r="U82" s="37" t="s">
        <v>44</v>
      </c>
      <c r="V82" s="37" t="s">
        <v>44</v>
      </c>
      <c r="W82" s="38">
        <v>1</v>
      </c>
      <c r="X82">
        <v>2</v>
      </c>
      <c r="Y82" s="39">
        <v>3</v>
      </c>
      <c r="Z82">
        <v>151</v>
      </c>
      <c r="AA82" s="40">
        <f>Table13[[#This Row],[Time until ideal entry + 390 (6:30)]]/(1440)</f>
        <v>0.2722222222222222</v>
      </c>
      <c r="AB82" s="18">
        <f t="shared" si="6"/>
        <v>1.0502793296089385</v>
      </c>
      <c r="AC82" s="18">
        <f>IF(Table13[[#This Row],[HOD AFTER PM HI]]&gt;=Table13[[#This Row],[PM Hi]],((Table13[[#This Row],[HOD AFTER PM HI]]-Table13[[#This Row],[Prior day close]])/Table13[[#This Row],[Prior day close]]),Table13[[#This Row],[Prior Close to PM Hi %]])</f>
        <v>1.229050279329609</v>
      </c>
      <c r="AD82" s="42">
        <f>(Table13[[#This Row],[Price at hi of squeeze]]-Table13[[#This Row],[MKT Open Price]])/Table13[[#This Row],[MKT Open Price]]</f>
        <v>0.33000000000000007</v>
      </c>
      <c r="AE82" s="18">
        <f>(Table13[[#This Row],[Price at hi of squeeze]]-Table13[[#This Row],[PM Hi]])/Table13[[#This Row],[PM Hi]]</f>
        <v>8.7193460490463295E-2</v>
      </c>
      <c r="AF82" s="18">
        <f t="shared" si="8"/>
        <v>0.39510489510489522</v>
      </c>
      <c r="AG82" s="20">
        <f>Table13[[#This Row],[PM VOL]]/1000000/Table13[[#This Row],[FLOAT(M)]]</f>
        <v>4.3221253333333332</v>
      </c>
      <c r="AH82" s="23">
        <f>(Table13[[#This Row],[Volume]]/1000000)/Table13[[#This Row],[FLOAT(M)]]</f>
        <v>51.416818666666671</v>
      </c>
      <c r="AJ82" s="18">
        <f>(Table13[[#This Row],[PM Hi]]-Table13[[#This Row],[MKT Open Price]])/(Table13[[#This Row],[PM Hi]])</f>
        <v>0.18256130790190733</v>
      </c>
      <c r="AK82" s="16">
        <f>IF(Table13[[#This Row],[PM LO]]&gt;Table13[[#This Row],[Prior day close]],(Table13[[#This Row],[PM Hi]]-Table13[[#This Row],[MKT Open Price]])/(Table13[[#This Row],[PM Hi]]-Table13[[#This Row],[Prior day close]]),(Table13[[#This Row],[PM Hi]]-Table13[[#This Row],[MKT Open Price]])/(Table13[[#This Row],[PM Hi]]-Table13[[#This Row],[PM LO]]))</f>
        <v>0.35638297872340424</v>
      </c>
      <c r="AL82" s="18">
        <f>IF(Table13[[#This Row],[Prior day close]]&lt;Table13[[#This Row],[PM LO]],(J82-L82)/(J82-Table13[[#This Row],[Prior day close]]),(J82-L82)/(J82-Table13[[#This Row],[PM LO]]))</f>
        <v>0.11570247933884308</v>
      </c>
      <c r="AM82" s="18">
        <f>Table13[[#This Row],[Spike % on open before drop]]+AN82</f>
        <v>4.666666666666671E-2</v>
      </c>
      <c r="AN82" s="16">
        <f t="shared" si="7"/>
        <v>4.666666666666671E-2</v>
      </c>
      <c r="AO82" s="18">
        <f>IF($K82&gt;=$G82,($K82-$L82)/($K82),(IF($I82&lt;=$L82,($G82-$I82)/($G82),(Table13[[#This Row],[PM Hi]]-Table13[[#This Row],[Lowest lo from open to squeeze]])/(Table13[[#This Row],[PM Hi]]))))</f>
        <v>0.22888283378746591</v>
      </c>
      <c r="AP82" s="18">
        <f>IF(Table13[[#This Row],[Prior day close]]&lt;=Table13[[#This Row],[PM LO]],IF($K82&gt;=$G82,($K82-$L82)/($K82-Table13[[#This Row],[Prior day close]]),(IF($I82&lt;=$L82,($G82-$I82)/($G82-Table13[[#This Row],[Prior day close]]),(Table13[[#This Row],[PM Hi]]-Table13[[#This Row],[Lowest lo from open to squeeze]])/(Table13[[#This Row],[PM Hi]]-Table13[[#This Row],[Prior day close]])))),IF($K82&gt;=$G82,($K82-$L82)/($K82-Table13[[#This Row],[PM LO]]),(IF($I82&lt;=$L82,($G82-$I82)/($G82-Table13[[#This Row],[PM LO]]),(Table13[[#This Row],[PM Hi]]-Table13[[#This Row],[Lowest lo from open to squeeze]])/(Table13[[#This Row],[PM Hi]]-Table13[[#This Row],[PM LO]])))))</f>
        <v>0.4468085106382978</v>
      </c>
      <c r="AQ82" s="18">
        <f>IF(K82&gt;=G82,(K82-L82)/(K82-E82),(IF(I82&lt;=L82,(G82-I82)/(G82-E82),(Table13[[#This Row],[PM Hi]]-Table13[[#This Row],[Lowest lo from open to squeeze]])/(Table13[[#This Row],[PM Hi]]-Table13[[#This Row],[Prior day close]]))))</f>
        <v>0.4468085106382978</v>
      </c>
      <c r="AR82" s="17">
        <f>390+Table13[[#This Row],[Time until ideal entry point (mins) from open]]</f>
        <v>392</v>
      </c>
      <c r="AS82" s="51">
        <f>(Table13[[#This Row],[Time until ideal entry + 390 (6:30)]]+Table13[[#This Row],[Duration of frontside (mins)]])/1440</f>
        <v>0.37708333333333333</v>
      </c>
    </row>
    <row r="83" spans="1:45" x14ac:dyDescent="0.25">
      <c r="A83" s="24" t="s">
        <v>146</v>
      </c>
      <c r="B83" s="11">
        <v>44118</v>
      </c>
      <c r="C83" s="47" t="s">
        <v>78</v>
      </c>
      <c r="D83" t="s">
        <v>147</v>
      </c>
      <c r="E83" s="12">
        <v>3.02</v>
      </c>
      <c r="F83" s="13">
        <v>3.45</v>
      </c>
      <c r="G83" s="12">
        <v>5.37</v>
      </c>
      <c r="H83" s="12">
        <v>3.45</v>
      </c>
      <c r="I83" s="12">
        <v>4</v>
      </c>
      <c r="J83" s="12">
        <v>4.09</v>
      </c>
      <c r="K83" s="12">
        <v>4.28</v>
      </c>
      <c r="L83" s="12">
        <v>3.89</v>
      </c>
      <c r="M83" s="12">
        <v>5.72</v>
      </c>
      <c r="N83" s="12">
        <v>5.72</v>
      </c>
      <c r="O83" s="13">
        <v>49129081</v>
      </c>
      <c r="P83" s="12">
        <v>194059869</v>
      </c>
      <c r="Q83" s="37">
        <v>11.95</v>
      </c>
      <c r="R83">
        <v>3.96</v>
      </c>
      <c r="S83" s="37" t="s">
        <v>148</v>
      </c>
      <c r="T83" s="37">
        <v>4983668</v>
      </c>
      <c r="U83" s="37" t="s">
        <v>42</v>
      </c>
      <c r="V83" s="37" t="s">
        <v>44</v>
      </c>
      <c r="W83" s="38">
        <v>3</v>
      </c>
      <c r="X83">
        <v>4</v>
      </c>
      <c r="Y83" s="39">
        <v>4.0999999999999996</v>
      </c>
      <c r="Z83">
        <v>49</v>
      </c>
      <c r="AA83" s="40">
        <f>Table13[[#This Row],[Time until ideal entry + 390 (6:30)]]/(1440)</f>
        <v>0.27361111111111114</v>
      </c>
      <c r="AB83" s="18">
        <f t="shared" si="6"/>
        <v>0.77814569536423839</v>
      </c>
      <c r="AC83" s="18">
        <f>IF(Table13[[#This Row],[HOD AFTER PM HI]]&gt;=Table13[[#This Row],[PM Hi]],((Table13[[#This Row],[HOD AFTER PM HI]]-Table13[[#This Row],[Prior day close]])/Table13[[#This Row],[Prior day close]]),Table13[[#This Row],[Prior Close to PM Hi %]])</f>
        <v>0.89403973509933765</v>
      </c>
      <c r="AD83" s="42">
        <f>(Table13[[#This Row],[Price at hi of squeeze]]-Table13[[#This Row],[MKT Open Price]])/Table13[[#This Row],[MKT Open Price]]</f>
        <v>0.39853300733496333</v>
      </c>
      <c r="AE83" s="18">
        <f>(Table13[[#This Row],[Price at hi of squeeze]]-Table13[[#This Row],[PM Hi]])/Table13[[#This Row],[PM Hi]]</f>
        <v>6.5176908752327678E-2</v>
      </c>
      <c r="AF83" s="18">
        <f t="shared" si="8"/>
        <v>0.47043701799485849</v>
      </c>
      <c r="AG83" s="20">
        <f>Table13[[#This Row],[PM VOL]]/1000000/Table13[[#This Row],[FLOAT(M)]]</f>
        <v>1.2585020202020201</v>
      </c>
      <c r="AH83" s="23">
        <f>(Table13[[#This Row],[Volume]]/1000000)/Table13[[#This Row],[FLOAT(M)]]</f>
        <v>12.406333585858587</v>
      </c>
      <c r="AJ83" s="18">
        <f>(Table13[[#This Row],[PM Hi]]-Table13[[#This Row],[MKT Open Price]])/(Table13[[#This Row],[PM Hi]])</f>
        <v>0.23836126629422724</v>
      </c>
      <c r="AK83" s="16">
        <f>IF(Table13[[#This Row],[PM LO]]&gt;Table13[[#This Row],[Prior day close]],(Table13[[#This Row],[PM Hi]]-Table13[[#This Row],[MKT Open Price]])/(Table13[[#This Row],[PM Hi]]-Table13[[#This Row],[Prior day close]]),(Table13[[#This Row],[PM Hi]]-Table13[[#This Row],[MKT Open Price]])/(Table13[[#This Row],[PM Hi]]-Table13[[#This Row],[PM LO]]))</f>
        <v>0.54468085106382991</v>
      </c>
      <c r="AL83" s="18">
        <f>IF(Table13[[#This Row],[Prior day close]]&lt;Table13[[#This Row],[PM LO]],(J83-L83)/(J83-Table13[[#This Row],[Prior day close]]),(J83-L83)/(J83-Table13[[#This Row],[PM LO]]))</f>
        <v>0.18691588785046706</v>
      </c>
      <c r="AM83" s="18">
        <f>Table13[[#This Row],[Spike % on open before drop]]+AN83</f>
        <v>4.8899755501222428E-2</v>
      </c>
      <c r="AN83" s="16">
        <f t="shared" si="7"/>
        <v>4.8899755501222428E-2</v>
      </c>
      <c r="AO83" s="18">
        <f>IF($K83&gt;=$G83,($K83-$L83)/($K83),(IF($I83&lt;=$L83,($G83-$I83)/($G83),(Table13[[#This Row],[PM Hi]]-Table13[[#This Row],[Lowest lo from open to squeeze]])/(Table13[[#This Row],[PM Hi]]))))</f>
        <v>0.27560521415270017</v>
      </c>
      <c r="AP83" s="18">
        <f>IF(Table13[[#This Row],[Prior day close]]&lt;=Table13[[#This Row],[PM LO]],IF($K83&gt;=$G83,($K83-$L83)/($K83-Table13[[#This Row],[Prior day close]]),(IF($I83&lt;=$L83,($G83-$I83)/($G83-Table13[[#This Row],[Prior day close]]),(Table13[[#This Row],[PM Hi]]-Table13[[#This Row],[Lowest lo from open to squeeze]])/(Table13[[#This Row],[PM Hi]]-Table13[[#This Row],[Prior day close]])))),IF($K83&gt;=$G83,($K83-$L83)/($K83-Table13[[#This Row],[PM LO]]),(IF($I83&lt;=$L83,($G83-$I83)/($G83-Table13[[#This Row],[PM LO]]),(Table13[[#This Row],[PM Hi]]-Table13[[#This Row],[Lowest lo from open to squeeze]])/(Table13[[#This Row],[PM Hi]]-Table13[[#This Row],[PM LO]])))))</f>
        <v>0.62978723404255321</v>
      </c>
      <c r="AQ83" s="18">
        <f>IF(K83&gt;=G83,(K83-L83)/(K83-E83),(IF(I83&lt;=L83,(G83-I83)/(G83-E83),(Table13[[#This Row],[PM Hi]]-Table13[[#This Row],[Lowest lo from open to squeeze]])/(Table13[[#This Row],[PM Hi]]-Table13[[#This Row],[Prior day close]]))))</f>
        <v>0.62978723404255321</v>
      </c>
      <c r="AR83" s="17">
        <f>390+Table13[[#This Row],[Time until ideal entry point (mins) from open]]</f>
        <v>394</v>
      </c>
      <c r="AS83" s="51">
        <f>(Table13[[#This Row],[Time until ideal entry + 390 (6:30)]]+Table13[[#This Row],[Duration of frontside (mins)]])/1440</f>
        <v>0.30763888888888891</v>
      </c>
    </row>
    <row r="84" spans="1:45" x14ac:dyDescent="0.25">
      <c r="A84" s="24" t="s">
        <v>149</v>
      </c>
      <c r="B84" s="11">
        <v>44123</v>
      </c>
      <c r="C84" s="47" t="s">
        <v>78</v>
      </c>
      <c r="D84" t="s">
        <v>150</v>
      </c>
      <c r="E84" s="12">
        <v>2.14</v>
      </c>
      <c r="F84" s="13">
        <v>2.0499999999999998</v>
      </c>
      <c r="G84" s="12">
        <v>4.09</v>
      </c>
      <c r="H84" s="12">
        <v>1.75</v>
      </c>
      <c r="I84" s="12">
        <v>2.9</v>
      </c>
      <c r="J84" s="12">
        <v>3.3</v>
      </c>
      <c r="K84" s="12">
        <v>3.44</v>
      </c>
      <c r="L84" s="12">
        <v>2.75</v>
      </c>
      <c r="M84" s="12">
        <v>13.4</v>
      </c>
      <c r="N84" s="12">
        <v>13.4</v>
      </c>
      <c r="O84" s="13">
        <v>235290470</v>
      </c>
      <c r="P84" s="12">
        <v>1672915</v>
      </c>
      <c r="Q84" s="37">
        <v>80.400000000000006</v>
      </c>
      <c r="R84">
        <v>1.0900000000000001</v>
      </c>
      <c r="S84" s="37" t="s">
        <v>132</v>
      </c>
      <c r="T84" s="37">
        <v>6828373</v>
      </c>
      <c r="U84" s="37" t="s">
        <v>42</v>
      </c>
      <c r="V84" s="37" t="s">
        <v>42</v>
      </c>
      <c r="W84" s="38">
        <v>6</v>
      </c>
      <c r="X84">
        <v>7</v>
      </c>
      <c r="Y84" s="39">
        <v>3</v>
      </c>
      <c r="Z84">
        <v>107</v>
      </c>
      <c r="AA84" s="40">
        <f>Table13[[#This Row],[Time until ideal entry + 390 (6:30)]]/(1440)</f>
        <v>0.27569444444444446</v>
      </c>
      <c r="AB84" s="18">
        <f t="shared" si="6"/>
        <v>0.91121495327102786</v>
      </c>
      <c r="AC84" s="18">
        <f>IF(Table13[[#This Row],[HOD AFTER PM HI]]&gt;=Table13[[#This Row],[PM Hi]],((Table13[[#This Row],[HOD AFTER PM HI]]-Table13[[#This Row],[Prior day close]])/Table13[[#This Row],[Prior day close]]),Table13[[#This Row],[Prior Close to PM Hi %]])</f>
        <v>5.2616822429906538</v>
      </c>
      <c r="AD84" s="42">
        <f>(Table13[[#This Row],[Price at hi of squeeze]]-Table13[[#This Row],[MKT Open Price]])/Table13[[#This Row],[MKT Open Price]]</f>
        <v>3.060606060606061</v>
      </c>
      <c r="AE84" s="18">
        <f>(Table13[[#This Row],[Price at hi of squeeze]]-Table13[[#This Row],[PM Hi]])/Table13[[#This Row],[PM Hi]]</f>
        <v>2.2762836185819073</v>
      </c>
      <c r="AF84" s="18">
        <f t="shared" si="8"/>
        <v>3.872727272727273</v>
      </c>
      <c r="AG84" s="20">
        <f>Table13[[#This Row],[PM VOL]]/1000000/Table13[[#This Row],[FLOAT(M)]]</f>
        <v>6.2645623853211001</v>
      </c>
      <c r="AH84" s="23">
        <f>(Table13[[#This Row],[Volume]]/1000000)/Table13[[#This Row],[FLOAT(M)]]</f>
        <v>215.86281651376146</v>
      </c>
      <c r="AJ84" s="18">
        <f>(Table13[[#This Row],[PM Hi]]-Table13[[#This Row],[MKT Open Price]])/(Table13[[#This Row],[PM Hi]])</f>
        <v>0.19315403422982885</v>
      </c>
      <c r="AK84" s="16">
        <f>IF(Table13[[#This Row],[PM LO]]&gt;Table13[[#This Row],[Prior day close]],(Table13[[#This Row],[PM Hi]]-Table13[[#This Row],[MKT Open Price]])/(Table13[[#This Row],[PM Hi]]-Table13[[#This Row],[Prior day close]]),(Table13[[#This Row],[PM Hi]]-Table13[[#This Row],[MKT Open Price]])/(Table13[[#This Row],[PM Hi]]-Table13[[#This Row],[PM LO]]))</f>
        <v>0.33760683760683763</v>
      </c>
      <c r="AL84" s="18">
        <f>IF(Table13[[#This Row],[Prior day close]]&lt;Table13[[#This Row],[PM LO]],(J84-L84)/(J84-Table13[[#This Row],[Prior day close]]),(J84-L84)/(J84-Table13[[#This Row],[PM LO]]))</f>
        <v>0.35483870967741926</v>
      </c>
      <c r="AM84" s="18">
        <f>Table13[[#This Row],[Spike % on open before drop]]+AN84</f>
        <v>0.16666666666666663</v>
      </c>
      <c r="AN84" s="16">
        <f t="shared" si="7"/>
        <v>0.16666666666666663</v>
      </c>
      <c r="AO84" s="18">
        <f>IF($K84&gt;=$G84,($K84-$L84)/($K84),(IF($I84&lt;=$L84,($G84-$I84)/($G84),(Table13[[#This Row],[PM Hi]]-Table13[[#This Row],[Lowest lo from open to squeeze]])/(Table13[[#This Row],[PM Hi]]))))</f>
        <v>0.32762836185819066</v>
      </c>
      <c r="AP84" s="18">
        <f>IF(Table13[[#This Row],[Prior day close]]&lt;=Table13[[#This Row],[PM LO]],IF($K84&gt;=$G84,($K84-$L84)/($K84-Table13[[#This Row],[Prior day close]]),(IF($I84&lt;=$L84,($G84-$I84)/($G84-Table13[[#This Row],[Prior day close]]),(Table13[[#This Row],[PM Hi]]-Table13[[#This Row],[Lowest lo from open to squeeze]])/(Table13[[#This Row],[PM Hi]]-Table13[[#This Row],[Prior day close]])))),IF($K84&gt;=$G84,($K84-$L84)/($K84-Table13[[#This Row],[PM LO]]),(IF($I84&lt;=$L84,($G84-$I84)/($G84-Table13[[#This Row],[PM LO]]),(Table13[[#This Row],[PM Hi]]-Table13[[#This Row],[Lowest lo from open to squeeze]])/(Table13[[#This Row],[PM Hi]]-Table13[[#This Row],[PM LO]])))))</f>
        <v>0.57264957264957261</v>
      </c>
      <c r="AQ84" s="18">
        <f>IF(K84&gt;=G84,(K84-L84)/(K84-E84),(IF(I84&lt;=L84,(G84-I84)/(G84-E84),(Table13[[#This Row],[PM Hi]]-Table13[[#This Row],[Lowest lo from open to squeeze]])/(Table13[[#This Row],[PM Hi]]-Table13[[#This Row],[Prior day close]]))))</f>
        <v>0.68717948717948718</v>
      </c>
      <c r="AR84" s="17">
        <f>390+Table13[[#This Row],[Time until ideal entry point (mins) from open]]</f>
        <v>397</v>
      </c>
      <c r="AS84" s="51">
        <f>(Table13[[#This Row],[Time until ideal entry + 390 (6:30)]]+Table13[[#This Row],[Duration of frontside (mins)]])/1440</f>
        <v>0.35</v>
      </c>
    </row>
    <row r="85" spans="1:45" x14ac:dyDescent="0.25">
      <c r="A85" s="24" t="s">
        <v>151</v>
      </c>
      <c r="B85" s="11">
        <v>44124</v>
      </c>
      <c r="C85" s="47" t="s">
        <v>78</v>
      </c>
      <c r="D85" t="s">
        <v>152</v>
      </c>
      <c r="E85" s="12">
        <v>3.13</v>
      </c>
      <c r="F85" s="13">
        <v>2.9</v>
      </c>
      <c r="G85" s="12">
        <v>4.54</v>
      </c>
      <c r="H85" s="12">
        <v>2.48</v>
      </c>
      <c r="I85" s="12">
        <v>4.32</v>
      </c>
      <c r="J85" s="12">
        <v>4.5</v>
      </c>
      <c r="K85" s="12">
        <v>4.88</v>
      </c>
      <c r="L85" s="12">
        <v>3.62</v>
      </c>
      <c r="M85" s="12">
        <v>5.43</v>
      </c>
      <c r="N85" s="12">
        <v>5.43</v>
      </c>
      <c r="O85" s="13">
        <v>133110285</v>
      </c>
      <c r="P85" s="12">
        <v>407983023</v>
      </c>
      <c r="Q85" s="37">
        <v>27.04</v>
      </c>
      <c r="R85">
        <v>5.67</v>
      </c>
      <c r="S85" s="37" t="s">
        <v>132</v>
      </c>
      <c r="T85" s="37">
        <v>16477484</v>
      </c>
      <c r="U85" s="37" t="s">
        <v>82</v>
      </c>
      <c r="V85" s="37" t="s">
        <v>44</v>
      </c>
      <c r="W85" s="38">
        <v>13</v>
      </c>
      <c r="X85">
        <v>14</v>
      </c>
      <c r="Y85" s="39">
        <v>3.71</v>
      </c>
      <c r="Z85">
        <v>27</v>
      </c>
      <c r="AA85" s="40">
        <f>Table13[[#This Row],[Time until ideal entry + 390 (6:30)]]/(1440)</f>
        <v>0.28055555555555556</v>
      </c>
      <c r="AB85" s="18">
        <f t="shared" si="6"/>
        <v>0.45047923322683714</v>
      </c>
      <c r="AC85" s="18">
        <f>IF(Table13[[#This Row],[HOD AFTER PM HI]]&gt;=Table13[[#This Row],[PM Hi]],((Table13[[#This Row],[HOD AFTER PM HI]]-Table13[[#This Row],[Prior day close]])/Table13[[#This Row],[Prior day close]]),Table13[[#This Row],[Prior Close to PM Hi %]])</f>
        <v>0.73482428115015974</v>
      </c>
      <c r="AD85" s="42">
        <f>(Table13[[#This Row],[Price at hi of squeeze]]-Table13[[#This Row],[MKT Open Price]])/Table13[[#This Row],[MKT Open Price]]</f>
        <v>0.20666666666666661</v>
      </c>
      <c r="AE85" s="18">
        <f>(Table13[[#This Row],[Price at hi of squeeze]]-Table13[[#This Row],[PM Hi]])/Table13[[#This Row],[PM Hi]]</f>
        <v>0.19603524229074884</v>
      </c>
      <c r="AF85" s="18">
        <f t="shared" si="8"/>
        <v>0.49999999999999989</v>
      </c>
      <c r="AG85" s="20">
        <f>Table13[[#This Row],[PM VOL]]/1000000/Table13[[#This Row],[FLOAT(M)]]</f>
        <v>2.9060818342151675</v>
      </c>
      <c r="AH85" s="23">
        <f>(Table13[[#This Row],[Volume]]/1000000)/Table13[[#This Row],[FLOAT(M)]]</f>
        <v>23.476240740740742</v>
      </c>
      <c r="AJ85" s="18">
        <f>(Table13[[#This Row],[PM Hi]]-Table13[[#This Row],[MKT Open Price]])/(Table13[[#This Row],[PM Hi]])</f>
        <v>8.8105726872246774E-3</v>
      </c>
      <c r="AK85" s="16">
        <f>IF(Table13[[#This Row],[PM LO]]&gt;Table13[[#This Row],[Prior day close]],(Table13[[#This Row],[PM Hi]]-Table13[[#This Row],[MKT Open Price]])/(Table13[[#This Row],[PM Hi]]-Table13[[#This Row],[Prior day close]]),(Table13[[#This Row],[PM Hi]]-Table13[[#This Row],[MKT Open Price]])/(Table13[[#This Row],[PM Hi]]-Table13[[#This Row],[PM LO]]))</f>
        <v>1.9417475728155355E-2</v>
      </c>
      <c r="AL85" s="18">
        <f>IF(Table13[[#This Row],[Prior day close]]&lt;Table13[[#This Row],[PM LO]],(J85-L85)/(J85-Table13[[#This Row],[Prior day close]]),(J85-L85)/(J85-Table13[[#This Row],[PM LO]]))</f>
        <v>0.43564356435643559</v>
      </c>
      <c r="AM85" s="18">
        <f>Table13[[#This Row],[Spike % on open before drop]]+AN85</f>
        <v>0.19555555555555554</v>
      </c>
      <c r="AN85" s="16">
        <f t="shared" si="7"/>
        <v>0.19555555555555554</v>
      </c>
      <c r="AO85" s="18">
        <f>IF($K85&gt;=$G85,($K85-$L85)/($K85),(IF($I85&lt;=$L85,($G85-$I85)/($G85),(Table13[[#This Row],[PM Hi]]-Table13[[#This Row],[Lowest lo from open to squeeze]])/(Table13[[#This Row],[PM Hi]]))))</f>
        <v>0.25819672131147536</v>
      </c>
      <c r="AP85" s="18">
        <f>IF(Table13[[#This Row],[Prior day close]]&lt;=Table13[[#This Row],[PM LO]],IF($K85&gt;=$G85,($K85-$L85)/($K85-Table13[[#This Row],[Prior day close]]),(IF($I85&lt;=$L85,($G85-$I85)/($G85-Table13[[#This Row],[Prior day close]]),(Table13[[#This Row],[PM Hi]]-Table13[[#This Row],[Lowest lo from open to squeeze]])/(Table13[[#This Row],[PM Hi]]-Table13[[#This Row],[Prior day close]])))),IF($K85&gt;=$G85,($K85-$L85)/($K85-Table13[[#This Row],[PM LO]]),(IF($I85&lt;=$L85,($G85-$I85)/($G85-Table13[[#This Row],[PM LO]]),(Table13[[#This Row],[PM Hi]]-Table13[[#This Row],[Lowest lo from open to squeeze]])/(Table13[[#This Row],[PM Hi]]-Table13[[#This Row],[PM LO]])))))</f>
        <v>0.52499999999999991</v>
      </c>
      <c r="AQ85" s="18">
        <f>IF(K85&gt;=G85,(K85-L85)/(K85-E85),(IF(I85&lt;=L85,(G85-I85)/(G85-E85),(Table13[[#This Row],[PM Hi]]-Table13[[#This Row],[Lowest lo from open to squeeze]])/(Table13[[#This Row],[PM Hi]]-Table13[[#This Row],[Prior day close]]))))</f>
        <v>0.71999999999999986</v>
      </c>
      <c r="AR85" s="17">
        <f>390+Table13[[#This Row],[Time until ideal entry point (mins) from open]]</f>
        <v>404</v>
      </c>
      <c r="AS85" s="51">
        <f>(Table13[[#This Row],[Time until ideal entry + 390 (6:30)]]+Table13[[#This Row],[Duration of frontside (mins)]])/1440</f>
        <v>0.29930555555555555</v>
      </c>
    </row>
    <row r="86" spans="1:45" x14ac:dyDescent="0.25">
      <c r="A86" s="24" t="s">
        <v>153</v>
      </c>
      <c r="B86" s="11">
        <v>44125</v>
      </c>
      <c r="C86" s="47" t="s">
        <v>78</v>
      </c>
      <c r="D86" t="s">
        <v>154</v>
      </c>
      <c r="E86" s="12">
        <v>0.97</v>
      </c>
      <c r="F86" s="13">
        <v>1.05</v>
      </c>
      <c r="G86" s="12">
        <v>4</v>
      </c>
      <c r="H86" s="12">
        <v>1.05</v>
      </c>
      <c r="I86" s="12">
        <v>2.69</v>
      </c>
      <c r="J86" s="12">
        <v>2.94</v>
      </c>
      <c r="K86" s="12">
        <v>3.79</v>
      </c>
      <c r="L86" s="12">
        <v>2.52</v>
      </c>
      <c r="M86" s="12">
        <v>4.3600000000000003</v>
      </c>
      <c r="N86" s="12">
        <v>4.3600000000000003</v>
      </c>
      <c r="O86" s="13">
        <v>68920093</v>
      </c>
      <c r="P86" s="12">
        <v>97177331</v>
      </c>
      <c r="Q86" s="37">
        <v>9.8000000000000007</v>
      </c>
      <c r="R86">
        <v>10.47</v>
      </c>
      <c r="S86" s="37" t="s">
        <v>132</v>
      </c>
      <c r="T86" s="37">
        <v>8870117</v>
      </c>
      <c r="U86" s="37" t="s">
        <v>42</v>
      </c>
      <c r="V86" s="37" t="s">
        <v>44</v>
      </c>
      <c r="W86" s="38">
        <v>6</v>
      </c>
      <c r="X86">
        <v>7</v>
      </c>
      <c r="Y86" s="39">
        <v>2.63</v>
      </c>
      <c r="Z86">
        <v>19</v>
      </c>
      <c r="AA86" s="40">
        <f>Table13[[#This Row],[Time until ideal entry + 390 (6:30)]]/(1440)</f>
        <v>0.27569444444444446</v>
      </c>
      <c r="AB86" s="18">
        <f t="shared" si="6"/>
        <v>3.123711340206186</v>
      </c>
      <c r="AC86" s="18">
        <f>IF(Table13[[#This Row],[HOD AFTER PM HI]]&gt;=Table13[[#This Row],[PM Hi]],((Table13[[#This Row],[HOD AFTER PM HI]]-Table13[[#This Row],[Prior day close]])/Table13[[#This Row],[Prior day close]]),Table13[[#This Row],[Prior Close to PM Hi %]])</f>
        <v>3.4948453608247427</v>
      </c>
      <c r="AD86" s="42">
        <f>(Table13[[#This Row],[Price at hi of squeeze]]-Table13[[#This Row],[MKT Open Price]])/Table13[[#This Row],[MKT Open Price]]</f>
        <v>0.48299319727891171</v>
      </c>
      <c r="AE86" s="18">
        <f>(Table13[[#This Row],[Price at hi of squeeze]]-Table13[[#This Row],[PM Hi]])/Table13[[#This Row],[PM Hi]]</f>
        <v>9.000000000000008E-2</v>
      </c>
      <c r="AF86" s="18">
        <f t="shared" si="8"/>
        <v>0.73015873015873023</v>
      </c>
      <c r="AG86" s="20">
        <f>Table13[[#This Row],[PM VOL]]/1000000/Table13[[#This Row],[FLOAT(M)]]</f>
        <v>0.8471936007640879</v>
      </c>
      <c r="AH86" s="23">
        <f>(Table13[[#This Row],[Volume]]/1000000)/Table13[[#This Row],[FLOAT(M)]]</f>
        <v>6.5826258834765987</v>
      </c>
      <c r="AJ86" s="18">
        <f>(Table13[[#This Row],[PM Hi]]-Table13[[#This Row],[MKT Open Price]])/(Table13[[#This Row],[PM Hi]])</f>
        <v>0.26500000000000001</v>
      </c>
      <c r="AK86" s="16">
        <f>IF(Table13[[#This Row],[PM LO]]&gt;Table13[[#This Row],[Prior day close]],(Table13[[#This Row],[PM Hi]]-Table13[[#This Row],[MKT Open Price]])/(Table13[[#This Row],[PM Hi]]-Table13[[#This Row],[Prior day close]]),(Table13[[#This Row],[PM Hi]]-Table13[[#This Row],[MKT Open Price]])/(Table13[[#This Row],[PM Hi]]-Table13[[#This Row],[PM LO]]))</f>
        <v>0.34983498349834985</v>
      </c>
      <c r="AL86" s="18">
        <f>IF(Table13[[#This Row],[Prior day close]]&lt;Table13[[#This Row],[PM LO]],(J86-L86)/(J86-Table13[[#This Row],[Prior day close]]),(J86-L86)/(J86-Table13[[#This Row],[PM LO]]))</f>
        <v>0.21319796954314718</v>
      </c>
      <c r="AM86" s="18">
        <f>Table13[[#This Row],[Spike % on open before drop]]+AN86</f>
        <v>0.14285714285714285</v>
      </c>
      <c r="AN86" s="16">
        <f t="shared" si="7"/>
        <v>0.14285714285714285</v>
      </c>
      <c r="AO86" s="18">
        <f>IF($K86&gt;=$G86,($K86-$L86)/($K86),(IF($I86&lt;=$L86,($G86-$I86)/($G86),(Table13[[#This Row],[PM Hi]]-Table13[[#This Row],[Lowest lo from open to squeeze]])/(Table13[[#This Row],[PM Hi]]))))</f>
        <v>0.37</v>
      </c>
      <c r="AP86" s="18">
        <f>IF(Table13[[#This Row],[Prior day close]]&lt;=Table13[[#This Row],[PM LO]],IF($K86&gt;=$G86,($K86-$L86)/($K86-Table13[[#This Row],[Prior day close]]),(IF($I86&lt;=$L86,($G86-$I86)/($G86-Table13[[#This Row],[Prior day close]]),(Table13[[#This Row],[PM Hi]]-Table13[[#This Row],[Lowest lo from open to squeeze]])/(Table13[[#This Row],[PM Hi]]-Table13[[#This Row],[Prior day close]])))),IF($K86&gt;=$G86,($K86-$L86)/($K86-Table13[[#This Row],[PM LO]]),(IF($I86&lt;=$L86,($G86-$I86)/($G86-Table13[[#This Row],[PM LO]]),(Table13[[#This Row],[PM Hi]]-Table13[[#This Row],[Lowest lo from open to squeeze]])/(Table13[[#This Row],[PM Hi]]-Table13[[#This Row],[PM LO]])))))</f>
        <v>0.48844884488448842</v>
      </c>
      <c r="AQ86" s="18">
        <f>IF(K86&gt;=G86,(K86-L86)/(K86-E86),(IF(I86&lt;=L86,(G86-I86)/(G86-E86),(Table13[[#This Row],[PM Hi]]-Table13[[#This Row],[Lowest lo from open to squeeze]])/(Table13[[#This Row],[PM Hi]]-Table13[[#This Row],[Prior day close]]))))</f>
        <v>0.48844884488448842</v>
      </c>
      <c r="AR86" s="17">
        <f>390+Table13[[#This Row],[Time until ideal entry point (mins) from open]]</f>
        <v>397</v>
      </c>
      <c r="AS86" s="51">
        <f>(Table13[[#This Row],[Time until ideal entry + 390 (6:30)]]+Table13[[#This Row],[Duration of frontside (mins)]])/1440</f>
        <v>0.28888888888888886</v>
      </c>
    </row>
    <row r="87" spans="1:45" x14ac:dyDescent="0.25">
      <c r="A87" s="24" t="s">
        <v>156</v>
      </c>
      <c r="B87" s="11">
        <v>44133</v>
      </c>
      <c r="C87" s="47" t="s">
        <v>78</v>
      </c>
      <c r="D87" t="s">
        <v>157</v>
      </c>
      <c r="E87" s="12">
        <v>2.0299999999999998</v>
      </c>
      <c r="F87" s="13">
        <v>2.1</v>
      </c>
      <c r="G87" s="12">
        <v>4.92</v>
      </c>
      <c r="H87" s="12">
        <v>2.1</v>
      </c>
      <c r="I87" s="12">
        <v>4.42</v>
      </c>
      <c r="J87" s="12">
        <v>4.74</v>
      </c>
      <c r="K87" s="12">
        <v>5.1100000000000003</v>
      </c>
      <c r="L87" s="12">
        <v>4.2300000000000004</v>
      </c>
      <c r="M87" s="12">
        <v>5.08</v>
      </c>
      <c r="N87" s="12">
        <v>5.08</v>
      </c>
      <c r="O87" s="13">
        <v>72335666</v>
      </c>
      <c r="P87" s="12">
        <v>223878886</v>
      </c>
      <c r="Q87" s="37">
        <v>3.5</v>
      </c>
      <c r="R87">
        <v>1.72</v>
      </c>
      <c r="S87" s="37" t="s">
        <v>132</v>
      </c>
      <c r="T87" s="37">
        <v>10984149</v>
      </c>
      <c r="U87" s="37" t="s">
        <v>42</v>
      </c>
      <c r="V87" s="37" t="s">
        <v>44</v>
      </c>
      <c r="W87" s="38">
        <v>7</v>
      </c>
      <c r="X87">
        <v>8</v>
      </c>
      <c r="Y87" s="39">
        <v>4.32</v>
      </c>
      <c r="Z87">
        <v>34</v>
      </c>
      <c r="AA87" s="40">
        <f>Table13[[#This Row],[Time until ideal entry + 390 (6:30)]]/(1440)</f>
        <v>0.27638888888888891</v>
      </c>
      <c r="AB87" s="18">
        <f t="shared" si="6"/>
        <v>1.4236453201970445</v>
      </c>
      <c r="AC87" s="18">
        <f>IF(Table13[[#This Row],[HOD AFTER PM HI]]&gt;=Table13[[#This Row],[PM Hi]],((Table13[[#This Row],[HOD AFTER PM HI]]-Table13[[#This Row],[Prior day close]])/Table13[[#This Row],[Prior day close]]),Table13[[#This Row],[Prior Close to PM Hi %]])</f>
        <v>1.5024630541871924</v>
      </c>
      <c r="AD87" s="42">
        <f>(Table13[[#This Row],[Price at hi of squeeze]]-Table13[[#This Row],[MKT Open Price]])/Table13[[#This Row],[MKT Open Price]]</f>
        <v>7.1729957805907144E-2</v>
      </c>
      <c r="AE87" s="18">
        <f>(Table13[[#This Row],[Price at hi of squeeze]]-Table13[[#This Row],[PM Hi]])/Table13[[#This Row],[PM Hi]]</f>
        <v>3.2520325203252064E-2</v>
      </c>
      <c r="AF87" s="18">
        <f t="shared" si="8"/>
        <v>0.20094562647754127</v>
      </c>
      <c r="AG87" s="20">
        <f>Table13[[#This Row],[PM VOL]]/1000000/Table13[[#This Row],[FLOAT(M)]]</f>
        <v>6.3861331395348842</v>
      </c>
      <c r="AH87" s="23">
        <f>(Table13[[#This Row],[Volume]]/1000000)/Table13[[#This Row],[FLOAT(M)]]</f>
        <v>42.055619767441861</v>
      </c>
      <c r="AJ87" s="18">
        <f>(Table13[[#This Row],[PM Hi]]-Table13[[#This Row],[MKT Open Price]])/(Table13[[#This Row],[PM Hi]])</f>
        <v>3.6585365853658479E-2</v>
      </c>
      <c r="AK87" s="16">
        <f>IF(Table13[[#This Row],[PM LO]]&gt;Table13[[#This Row],[Prior day close]],(Table13[[#This Row],[PM Hi]]-Table13[[#This Row],[MKT Open Price]])/(Table13[[#This Row],[PM Hi]]-Table13[[#This Row],[Prior day close]]),(Table13[[#This Row],[PM Hi]]-Table13[[#This Row],[MKT Open Price]])/(Table13[[#This Row],[PM Hi]]-Table13[[#This Row],[PM LO]]))</f>
        <v>6.2283737024221353E-2</v>
      </c>
      <c r="AL87" s="18">
        <f>IF(Table13[[#This Row],[Prior day close]]&lt;Table13[[#This Row],[PM LO]],(J87-L87)/(J87-Table13[[#This Row],[Prior day close]]),(J87-L87)/(J87-Table13[[#This Row],[PM LO]]))</f>
        <v>0.18819188191881908</v>
      </c>
      <c r="AM87" s="18">
        <f>Table13[[#This Row],[Spike % on open before drop]]+AN87</f>
        <v>0.10759493670886071</v>
      </c>
      <c r="AN87" s="16">
        <f t="shared" si="7"/>
        <v>0.10759493670886071</v>
      </c>
      <c r="AO87" s="18">
        <f>IF($K87&gt;=$G87,($K87-$L87)/($K87),(IF($I87&lt;=$L87,($G87-$I87)/($G87),(Table13[[#This Row],[PM Hi]]-Table13[[#This Row],[Lowest lo from open to squeeze]])/(Table13[[#This Row],[PM Hi]]))))</f>
        <v>0.17221135029354204</v>
      </c>
      <c r="AP87" s="18">
        <f>IF(Table13[[#This Row],[Prior day close]]&lt;=Table13[[#This Row],[PM LO]],IF($K87&gt;=$G87,($K87-$L87)/($K87-Table13[[#This Row],[Prior day close]]),(IF($I87&lt;=$L87,($G87-$I87)/($G87-Table13[[#This Row],[Prior day close]]),(Table13[[#This Row],[PM Hi]]-Table13[[#This Row],[Lowest lo from open to squeeze]])/(Table13[[#This Row],[PM Hi]]-Table13[[#This Row],[Prior day close]])))),IF($K87&gt;=$G87,($K87-$L87)/($K87-Table13[[#This Row],[PM LO]]),(IF($I87&lt;=$L87,($G87-$I87)/($G87-Table13[[#This Row],[PM LO]]),(Table13[[#This Row],[PM Hi]]-Table13[[#This Row],[Lowest lo from open to squeeze]])/(Table13[[#This Row],[PM Hi]]-Table13[[#This Row],[PM LO]])))))</f>
        <v>0.28571428571428564</v>
      </c>
      <c r="AQ87" s="18">
        <f>IF(K87&gt;=G87,(K87-L87)/(K87-E87),(IF(I87&lt;=L87,(G87-I87)/(G87-E87),(Table13[[#This Row],[PM Hi]]-Table13[[#This Row],[Lowest lo from open to squeeze]])/(Table13[[#This Row],[PM Hi]]-Table13[[#This Row],[Prior day close]]))))</f>
        <v>0.28571428571428564</v>
      </c>
      <c r="AR87" s="17">
        <f>390+Table13[[#This Row],[Time until ideal entry point (mins) from open]]</f>
        <v>398</v>
      </c>
      <c r="AS87" s="51">
        <f>(Table13[[#This Row],[Time until ideal entry + 390 (6:30)]]+Table13[[#This Row],[Duration of frontside (mins)]])/1440</f>
        <v>0.3</v>
      </c>
    </row>
    <row r="88" spans="1:45" x14ac:dyDescent="0.25">
      <c r="A88" s="24" t="s">
        <v>158</v>
      </c>
      <c r="B88" s="11">
        <v>44134</v>
      </c>
      <c r="C88" s="47" t="s">
        <v>78</v>
      </c>
      <c r="D88" t="s">
        <v>159</v>
      </c>
      <c r="E88" s="12">
        <v>1.48</v>
      </c>
      <c r="F88" s="13">
        <v>1.66</v>
      </c>
      <c r="G88" s="12">
        <v>2.6</v>
      </c>
      <c r="H88" s="12">
        <v>1.66</v>
      </c>
      <c r="I88" s="12">
        <v>1.94</v>
      </c>
      <c r="J88" s="12">
        <v>2.2799999999999998</v>
      </c>
      <c r="K88" s="12">
        <v>2.39</v>
      </c>
      <c r="L88" s="12">
        <v>2.06</v>
      </c>
      <c r="M88" s="12">
        <v>3.1</v>
      </c>
      <c r="N88" s="12">
        <v>3.1</v>
      </c>
      <c r="O88" s="13">
        <v>194522812</v>
      </c>
      <c r="P88" s="12">
        <v>384182553</v>
      </c>
      <c r="Q88" s="37">
        <v>29.55</v>
      </c>
      <c r="R88">
        <v>18.079999999999998</v>
      </c>
      <c r="S88" s="37" t="s">
        <v>160</v>
      </c>
      <c r="T88" s="13">
        <v>16462879</v>
      </c>
      <c r="U88" s="37" t="s">
        <v>42</v>
      </c>
      <c r="V88" s="37" t="s">
        <v>44</v>
      </c>
      <c r="W88" s="38">
        <v>7</v>
      </c>
      <c r="X88">
        <v>8</v>
      </c>
      <c r="Y88" s="39">
        <v>2.1</v>
      </c>
      <c r="Z88">
        <v>124</v>
      </c>
      <c r="AA88" s="40">
        <f>Table13[[#This Row],[Time until ideal entry + 390 (6:30)]]/(1440)</f>
        <v>0.27638888888888891</v>
      </c>
      <c r="AB88" s="18">
        <f t="shared" ref="AB88:AB110" si="9">(G88-E88)/E88</f>
        <v>0.7567567567567568</v>
      </c>
      <c r="AC88" s="18">
        <f>IF(Table13[[#This Row],[HOD AFTER PM HI]]&gt;=Table13[[#This Row],[PM Hi]],((Table13[[#This Row],[HOD AFTER PM HI]]-Table13[[#This Row],[Prior day close]])/Table13[[#This Row],[Prior day close]]),Table13[[#This Row],[Prior Close to PM Hi %]])</f>
        <v>1.0945945945945947</v>
      </c>
      <c r="AD88" s="42">
        <f>(Table13[[#This Row],[Price at hi of squeeze]]-Table13[[#This Row],[MKT Open Price]])/Table13[[#This Row],[MKT Open Price]]</f>
        <v>0.35964912280701772</v>
      </c>
      <c r="AE88" s="18">
        <f>(Table13[[#This Row],[Price at hi of squeeze]]-Table13[[#This Row],[PM Hi]])/Table13[[#This Row],[PM Hi]]</f>
        <v>0.19230769230769229</v>
      </c>
      <c r="AF88" s="18">
        <f t="shared" si="8"/>
        <v>0.50485436893203883</v>
      </c>
      <c r="AG88" s="20">
        <f>Table13[[#This Row],[PM VOL]]/1000000/Table13[[#This Row],[FLOAT(M)]]</f>
        <v>0.91055746681415939</v>
      </c>
      <c r="AH88" s="23">
        <f>(Table13[[#This Row],[Volume]]/1000000)/Table13[[#This Row],[FLOAT(M)]]</f>
        <v>10.759005088495575</v>
      </c>
      <c r="AJ88" s="18">
        <f>(Table13[[#This Row],[PM Hi]]-Table13[[#This Row],[MKT Open Price]])/(Table13[[#This Row],[PM Hi]])</f>
        <v>0.12307692307692318</v>
      </c>
      <c r="AK88" s="16">
        <f>IF(Table13[[#This Row],[PM LO]]&gt;Table13[[#This Row],[Prior day close]],(Table13[[#This Row],[PM Hi]]-Table13[[#This Row],[MKT Open Price]])/(Table13[[#This Row],[PM Hi]]-Table13[[#This Row],[Prior day close]]),(Table13[[#This Row],[PM Hi]]-Table13[[#This Row],[MKT Open Price]])/(Table13[[#This Row],[PM Hi]]-Table13[[#This Row],[PM LO]]))</f>
        <v>0.28571428571428592</v>
      </c>
      <c r="AL88" s="18">
        <f>IF(Table13[[#This Row],[Prior day close]]&lt;Table13[[#This Row],[PM LO]],(J88-L88)/(J88-Table13[[#This Row],[Prior day close]]),(J88-L88)/(J88-Table13[[#This Row],[PM LO]]))</f>
        <v>0.27499999999999974</v>
      </c>
      <c r="AM88" s="18">
        <f>Table13[[#This Row],[Spike % on open before drop]]+AN88</f>
        <v>9.6491228070175336E-2</v>
      </c>
      <c r="AN88" s="16">
        <f t="shared" si="7"/>
        <v>9.6491228070175336E-2</v>
      </c>
      <c r="AO88" s="18">
        <f>IF($K88&gt;=$G88,($K88-$L88)/($K88),(IF($I88&lt;=$L88,($G88-$I88)/($G88),(Table13[[#This Row],[PM Hi]]-Table13[[#This Row],[Lowest lo from open to squeeze]])/(Table13[[#This Row],[PM Hi]]))))</f>
        <v>0.25384615384615389</v>
      </c>
      <c r="AP88" s="18">
        <f>IF(Table13[[#This Row],[Prior day close]]&lt;=Table13[[#This Row],[PM LO]],IF($K88&gt;=$G88,($K88-$L88)/($K88-Table13[[#This Row],[Prior day close]]),(IF($I88&lt;=$L88,($G88-$I88)/($G88-Table13[[#This Row],[Prior day close]]),(Table13[[#This Row],[PM Hi]]-Table13[[#This Row],[Lowest lo from open to squeeze]])/(Table13[[#This Row],[PM Hi]]-Table13[[#This Row],[Prior day close]])))),IF($K88&gt;=$G88,($K88-$L88)/($K88-Table13[[#This Row],[PM LO]]),(IF($I88&lt;=$L88,($G88-$I88)/($G88-Table13[[#This Row],[PM LO]]),(Table13[[#This Row],[PM Hi]]-Table13[[#This Row],[Lowest lo from open to squeeze]])/(Table13[[#This Row],[PM Hi]]-Table13[[#This Row],[PM LO]])))))</f>
        <v>0.5892857142857143</v>
      </c>
      <c r="AQ88" s="18">
        <f>IF(K88&gt;=G88,(K88-L88)/(K88-E88),(IF(I88&lt;=L88,(G88-I88)/(G88-E88),(Table13[[#This Row],[PM Hi]]-Table13[[#This Row],[Lowest lo from open to squeeze]])/(Table13[[#This Row],[PM Hi]]-Table13[[#This Row],[Prior day close]]))))</f>
        <v>0.5892857142857143</v>
      </c>
      <c r="AR88" s="17">
        <f>390+Table13[[#This Row],[Time until ideal entry point (mins) from open]]</f>
        <v>398</v>
      </c>
      <c r="AS88" s="51">
        <f>(Table13[[#This Row],[Time until ideal entry + 390 (6:30)]]+Table13[[#This Row],[Duration of frontside (mins)]])/1440</f>
        <v>0.36249999999999999</v>
      </c>
    </row>
    <row r="89" spans="1:45" x14ac:dyDescent="0.25">
      <c r="A89" s="24" t="s">
        <v>161</v>
      </c>
      <c r="B89" s="11">
        <v>44145</v>
      </c>
      <c r="C89" s="47" t="s">
        <v>78</v>
      </c>
      <c r="D89" t="s">
        <v>162</v>
      </c>
      <c r="E89" s="12">
        <v>2.2000000000000002</v>
      </c>
      <c r="F89" s="13">
        <v>2.21</v>
      </c>
      <c r="G89" s="12">
        <v>3.68</v>
      </c>
      <c r="H89" s="12">
        <v>2.21</v>
      </c>
      <c r="I89" s="12">
        <v>2.81</v>
      </c>
      <c r="J89" s="12">
        <v>3.01</v>
      </c>
      <c r="K89" s="12">
        <v>3.15</v>
      </c>
      <c r="L89" s="12">
        <v>2.72</v>
      </c>
      <c r="M89" s="12">
        <v>3.9</v>
      </c>
      <c r="N89" s="12">
        <v>3.88</v>
      </c>
      <c r="O89" s="13">
        <v>131163994</v>
      </c>
      <c r="P89" s="12">
        <v>44792722</v>
      </c>
      <c r="Q89" s="37">
        <v>16.739999999999998</v>
      </c>
      <c r="R89">
        <v>6.67</v>
      </c>
      <c r="S89" s="37" t="s">
        <v>132</v>
      </c>
      <c r="T89" s="37">
        <v>9040302</v>
      </c>
      <c r="U89" s="37" t="s">
        <v>44</v>
      </c>
      <c r="V89" s="37" t="s">
        <v>44</v>
      </c>
      <c r="W89" s="38">
        <v>9</v>
      </c>
      <c r="X89">
        <v>10</v>
      </c>
      <c r="Y89" s="39">
        <v>2.76</v>
      </c>
      <c r="Z89">
        <v>131</v>
      </c>
      <c r="AA89" s="40">
        <f>Table13[[#This Row],[Time until ideal entry + 390 (6:30)]]/(1440)</f>
        <v>0.27777777777777779</v>
      </c>
      <c r="AB89" s="18">
        <f t="shared" si="9"/>
        <v>0.67272727272727262</v>
      </c>
      <c r="AC89" s="18">
        <f>IF(Table13[[#This Row],[HOD AFTER PM HI]]&gt;=Table13[[#This Row],[PM Hi]],((Table13[[#This Row],[HOD AFTER PM HI]]-Table13[[#This Row],[Prior day close]])/Table13[[#This Row],[Prior day close]]),Table13[[#This Row],[Prior Close to PM Hi %]])</f>
        <v>0.7727272727272726</v>
      </c>
      <c r="AD89" s="42">
        <f>(Table13[[#This Row],[Price at hi of squeeze]]-Table13[[#This Row],[MKT Open Price]])/Table13[[#This Row],[MKT Open Price]]</f>
        <v>0.2890365448504984</v>
      </c>
      <c r="AE89" s="18">
        <f>(Table13[[#This Row],[Price at hi of squeeze]]-Table13[[#This Row],[PM Hi]])/Table13[[#This Row],[PM Hi]]</f>
        <v>5.4347826086956444E-2</v>
      </c>
      <c r="AF89" s="18">
        <f t="shared" si="8"/>
        <v>0.42647058823529399</v>
      </c>
      <c r="AG89" s="20">
        <f>Table13[[#This Row],[PM VOL]]/1000000/Table13[[#This Row],[FLOAT(M)]]</f>
        <v>1.3553676161919042</v>
      </c>
      <c r="AH89" s="23">
        <f>(Table13[[#This Row],[Volume]]/1000000)/Table13[[#This Row],[FLOAT(M)]]</f>
        <v>19.66476671664168</v>
      </c>
      <c r="AJ89" s="18">
        <f>(Table13[[#This Row],[PM Hi]]-Table13[[#This Row],[MKT Open Price]])/(Table13[[#This Row],[PM Hi]])</f>
        <v>0.18206521739130443</v>
      </c>
      <c r="AK89" s="16">
        <f>IF(Table13[[#This Row],[PM LO]]&gt;Table13[[#This Row],[Prior day close]],(Table13[[#This Row],[PM Hi]]-Table13[[#This Row],[MKT Open Price]])/(Table13[[#This Row],[PM Hi]]-Table13[[#This Row],[Prior day close]]),(Table13[[#This Row],[PM Hi]]-Table13[[#This Row],[MKT Open Price]])/(Table13[[#This Row],[PM Hi]]-Table13[[#This Row],[PM LO]]))</f>
        <v>0.45270270270270296</v>
      </c>
      <c r="AL89" s="18">
        <f>IF(Table13[[#This Row],[Prior day close]]&lt;Table13[[#This Row],[PM LO]],(J89-L89)/(J89-Table13[[#This Row],[Prior day close]]),(J89-L89)/(J89-Table13[[#This Row],[PM LO]]))</f>
        <v>0.35802469135802434</v>
      </c>
      <c r="AM89" s="18">
        <f>Table13[[#This Row],[Spike % on open before drop]]+AN89</f>
        <v>9.6345514950165981E-2</v>
      </c>
      <c r="AN89" s="16">
        <f t="shared" si="7"/>
        <v>9.6345514950165981E-2</v>
      </c>
      <c r="AO89" s="18">
        <f>IF($K89&gt;=$G89,($K89-$L89)/($K89),(IF($I89&lt;=$L89,($G89-$I89)/($G89),(Table13[[#This Row],[PM Hi]]-Table13[[#This Row],[Lowest lo from open to squeeze]])/(Table13[[#This Row],[PM Hi]]))))</f>
        <v>0.2608695652173913</v>
      </c>
      <c r="AP89" s="18">
        <f>IF(Table13[[#This Row],[Prior day close]]&lt;=Table13[[#This Row],[PM LO]],IF($K89&gt;=$G89,($K89-$L89)/($K89-Table13[[#This Row],[Prior day close]]),(IF($I89&lt;=$L89,($G89-$I89)/($G89-Table13[[#This Row],[Prior day close]]),(Table13[[#This Row],[PM Hi]]-Table13[[#This Row],[Lowest lo from open to squeeze]])/(Table13[[#This Row],[PM Hi]]-Table13[[#This Row],[Prior day close]])))),IF($K89&gt;=$G89,($K89-$L89)/($K89-Table13[[#This Row],[PM LO]]),(IF($I89&lt;=$L89,($G89-$I89)/($G89-Table13[[#This Row],[PM LO]]),(Table13[[#This Row],[PM Hi]]-Table13[[#This Row],[Lowest lo from open to squeeze]])/(Table13[[#This Row],[PM Hi]]-Table13[[#This Row],[PM LO]])))))</f>
        <v>0.64864864864864868</v>
      </c>
      <c r="AQ89" s="18">
        <f>IF(K89&gt;=G89,(K89-L89)/(K89-E89),(IF(I89&lt;=L89,(G89-I89)/(G89-E89),(Table13[[#This Row],[PM Hi]]-Table13[[#This Row],[Lowest lo from open to squeeze]])/(Table13[[#This Row],[PM Hi]]-Table13[[#This Row],[Prior day close]]))))</f>
        <v>0.64864864864864868</v>
      </c>
      <c r="AR89" s="17">
        <f>390+Table13[[#This Row],[Time until ideal entry point (mins) from open]]</f>
        <v>400</v>
      </c>
      <c r="AS89" s="51">
        <f>(Table13[[#This Row],[Time until ideal entry + 390 (6:30)]]+Table13[[#This Row],[Duration of frontside (mins)]])/1440</f>
        <v>0.36875000000000002</v>
      </c>
    </row>
    <row r="90" spans="1:45" x14ac:dyDescent="0.25">
      <c r="A90" s="24" t="s">
        <v>164</v>
      </c>
      <c r="B90" s="11">
        <v>44148</v>
      </c>
      <c r="C90" s="47" t="s">
        <v>78</v>
      </c>
      <c r="D90" t="s">
        <v>165</v>
      </c>
      <c r="E90" s="12">
        <v>4.47</v>
      </c>
      <c r="F90" s="13">
        <v>4.45</v>
      </c>
      <c r="G90" s="12">
        <v>6.2</v>
      </c>
      <c r="H90" s="12">
        <v>4.3</v>
      </c>
      <c r="I90" s="12">
        <v>4.66</v>
      </c>
      <c r="J90" s="12">
        <v>5.28</v>
      </c>
      <c r="K90" s="12">
        <v>5.85</v>
      </c>
      <c r="L90" s="12">
        <v>5.17</v>
      </c>
      <c r="M90" s="12">
        <v>7.02</v>
      </c>
      <c r="N90" s="12">
        <v>6.83</v>
      </c>
      <c r="O90" s="13">
        <v>92887702</v>
      </c>
      <c r="P90" s="12">
        <v>577761506</v>
      </c>
      <c r="Q90" s="37">
        <v>277.38</v>
      </c>
      <c r="R90">
        <v>20.75</v>
      </c>
      <c r="S90" s="37" t="s">
        <v>132</v>
      </c>
      <c r="T90" s="37">
        <v>3990032</v>
      </c>
      <c r="U90" s="37" t="s">
        <v>42</v>
      </c>
      <c r="V90" s="37" t="s">
        <v>44</v>
      </c>
      <c r="W90" s="38">
        <v>15</v>
      </c>
      <c r="X90">
        <v>15</v>
      </c>
      <c r="Y90" s="39">
        <v>5.27</v>
      </c>
      <c r="Z90">
        <v>64</v>
      </c>
      <c r="AA90" s="40">
        <f>Table13[[#This Row],[Time until ideal entry + 390 (6:30)]]/(1440)</f>
        <v>0.28125</v>
      </c>
      <c r="AB90" s="18">
        <f t="shared" si="9"/>
        <v>0.38702460850111869</v>
      </c>
      <c r="AC90" s="18">
        <f>IF(Table13[[#This Row],[HOD AFTER PM HI]]&gt;=Table13[[#This Row],[PM Hi]],((Table13[[#This Row],[HOD AFTER PM HI]]-Table13[[#This Row],[Prior day close]])/Table13[[#This Row],[Prior day close]]),Table13[[#This Row],[Prior Close to PM Hi %]])</f>
        <v>0.57046979865771807</v>
      </c>
      <c r="AD90" s="42">
        <f>(Table13[[#This Row],[Price at hi of squeeze]]-Table13[[#This Row],[MKT Open Price]])/Table13[[#This Row],[MKT Open Price]]</f>
        <v>0.29356060606060602</v>
      </c>
      <c r="AE90" s="18">
        <f>(Table13[[#This Row],[Price at hi of squeeze]]-Table13[[#This Row],[PM Hi]])/Table13[[#This Row],[PM Hi]]</f>
        <v>0.10161290322580643</v>
      </c>
      <c r="AF90" s="18">
        <f t="shared" si="8"/>
        <v>0.32108317214700194</v>
      </c>
      <c r="AG90" s="20">
        <f>Table13[[#This Row],[PM VOL]]/1000000/Table13[[#This Row],[FLOAT(M)]]</f>
        <v>0.19229069879518071</v>
      </c>
      <c r="AH90" s="23">
        <f>(Table13[[#This Row],[Volume]]/1000000)/Table13[[#This Row],[FLOAT(M)]]</f>
        <v>4.4765157590361451</v>
      </c>
      <c r="AJ90" s="18">
        <f>(Table13[[#This Row],[PM Hi]]-Table13[[#This Row],[MKT Open Price]])/(Table13[[#This Row],[PM Hi]])</f>
        <v>0.14838709677419354</v>
      </c>
      <c r="AK90" s="16">
        <f>IF(Table13[[#This Row],[PM LO]]&gt;Table13[[#This Row],[Prior day close]],(Table13[[#This Row],[PM Hi]]-Table13[[#This Row],[MKT Open Price]])/(Table13[[#This Row],[PM Hi]]-Table13[[#This Row],[Prior day close]]),(Table13[[#This Row],[PM Hi]]-Table13[[#This Row],[MKT Open Price]])/(Table13[[#This Row],[PM Hi]]-Table13[[#This Row],[PM LO]]))</f>
        <v>0.48421052631578937</v>
      </c>
      <c r="AL90" s="18">
        <f>IF(Table13[[#This Row],[Prior day close]]&lt;Table13[[#This Row],[PM LO]],(J90-L90)/(J90-Table13[[#This Row],[Prior day close]]),(J90-L90)/(J90-Table13[[#This Row],[PM LO]]))</f>
        <v>0.11224489795918395</v>
      </c>
      <c r="AM90" s="18">
        <f>Table13[[#This Row],[Spike % on open before drop]]+AN90</f>
        <v>2.0833333333333395E-2</v>
      </c>
      <c r="AN90" s="16">
        <f t="shared" ref="AN90:AN110" si="10">(J90-L90)/J90</f>
        <v>2.0833333333333395E-2</v>
      </c>
      <c r="AO90" s="18">
        <f>IF($K90&gt;=$G90,($K90-$L90)/($K90),(IF($I90&lt;=$L90,($G90-$I90)/($G90),(Table13[[#This Row],[PM Hi]]-Table13[[#This Row],[Lowest lo from open to squeeze]])/(Table13[[#This Row],[PM Hi]]))))</f>
        <v>0.24838709677419354</v>
      </c>
      <c r="AP90" s="18">
        <f>IF(Table13[[#This Row],[Prior day close]]&lt;=Table13[[#This Row],[PM LO]],IF($K90&gt;=$G90,($K90-$L90)/($K90-Table13[[#This Row],[Prior day close]]),(IF($I90&lt;=$L90,($G90-$I90)/($G90-Table13[[#This Row],[Prior day close]]),(Table13[[#This Row],[PM Hi]]-Table13[[#This Row],[Lowest lo from open to squeeze]])/(Table13[[#This Row],[PM Hi]]-Table13[[#This Row],[Prior day close]])))),IF($K90&gt;=$G90,($K90-$L90)/($K90-Table13[[#This Row],[PM LO]]),(IF($I90&lt;=$L90,($G90-$I90)/($G90-Table13[[#This Row],[PM LO]]),(Table13[[#This Row],[PM Hi]]-Table13[[#This Row],[Lowest lo from open to squeeze]])/(Table13[[#This Row],[PM Hi]]-Table13[[#This Row],[PM LO]])))))</f>
        <v>0.81052631578947354</v>
      </c>
      <c r="AQ90" s="18">
        <f>IF(K90&gt;=G90,(K90-L90)/(K90-E90),(IF(I90&lt;=L90,(G90-I90)/(G90-E90),(Table13[[#This Row],[PM Hi]]-Table13[[#This Row],[Lowest lo from open to squeeze]])/(Table13[[#This Row],[PM Hi]]-Table13[[#This Row],[Prior day close]]))))</f>
        <v>0.89017341040462405</v>
      </c>
      <c r="AR90" s="17">
        <f>390+Table13[[#This Row],[Time until ideal entry point (mins) from open]]</f>
        <v>405</v>
      </c>
      <c r="AS90" s="51">
        <f>(Table13[[#This Row],[Time until ideal entry + 390 (6:30)]]+Table13[[#This Row],[Duration of frontside (mins)]])/1440</f>
        <v>0.32569444444444445</v>
      </c>
    </row>
    <row r="91" spans="1:45" x14ac:dyDescent="0.25">
      <c r="A91" s="24" t="s">
        <v>166</v>
      </c>
      <c r="B91" s="11">
        <v>44153</v>
      </c>
      <c r="C91" s="47" t="s">
        <v>78</v>
      </c>
      <c r="D91" t="s">
        <v>167</v>
      </c>
      <c r="E91" s="12">
        <v>2.37</v>
      </c>
      <c r="F91" s="13">
        <v>2.38</v>
      </c>
      <c r="G91" s="12">
        <v>3.45</v>
      </c>
      <c r="H91" s="12">
        <v>2.38</v>
      </c>
      <c r="I91" s="12">
        <v>3.33</v>
      </c>
      <c r="J91" s="12">
        <v>3.45</v>
      </c>
      <c r="K91" s="12">
        <v>3.48</v>
      </c>
      <c r="L91" s="12">
        <v>3.21</v>
      </c>
      <c r="M91" s="12">
        <v>4.99</v>
      </c>
      <c r="N91" s="12">
        <v>4.99</v>
      </c>
      <c r="O91" s="13">
        <v>156520328</v>
      </c>
      <c r="P91" s="12">
        <v>712167492</v>
      </c>
      <c r="Q91" s="37">
        <v>417.86</v>
      </c>
      <c r="R91">
        <v>154.43</v>
      </c>
      <c r="S91" s="37" t="s">
        <v>132</v>
      </c>
      <c r="T91" s="37">
        <v>5425259</v>
      </c>
      <c r="U91" s="37" t="s">
        <v>42</v>
      </c>
      <c r="V91" s="37" t="s">
        <v>42</v>
      </c>
      <c r="W91" s="38">
        <v>3</v>
      </c>
      <c r="X91">
        <v>2</v>
      </c>
      <c r="Y91" s="39">
        <v>3.28</v>
      </c>
      <c r="Z91">
        <v>14</v>
      </c>
      <c r="AA91" s="40">
        <f>Table13[[#This Row],[Time until ideal entry + 390 (6:30)]]/(1440)</f>
        <v>0.2722222222222222</v>
      </c>
      <c r="AB91" s="18">
        <f t="shared" si="9"/>
        <v>0.45569620253164556</v>
      </c>
      <c r="AC91" s="18">
        <f>IF(Table13[[#This Row],[HOD AFTER PM HI]]&gt;=Table13[[#This Row],[PM Hi]],((Table13[[#This Row],[HOD AFTER PM HI]]-Table13[[#This Row],[Prior day close]])/Table13[[#This Row],[Prior day close]]),Table13[[#This Row],[Prior Close to PM Hi %]])</f>
        <v>1.1054852320675106</v>
      </c>
      <c r="AD91" s="42">
        <f>(Table13[[#This Row],[Price at hi of squeeze]]-Table13[[#This Row],[MKT Open Price]])/Table13[[#This Row],[MKT Open Price]]</f>
        <v>0.44637681159420289</v>
      </c>
      <c r="AE91" s="18">
        <f>(Table13[[#This Row],[Price at hi of squeeze]]-Table13[[#This Row],[PM Hi]])/Table13[[#This Row],[PM Hi]]</f>
        <v>0.44637681159420289</v>
      </c>
      <c r="AF91" s="18">
        <f t="shared" si="8"/>
        <v>0.55451713395638635</v>
      </c>
      <c r="AG91" s="20">
        <f>Table13[[#This Row],[PM VOL]]/1000000/Table13[[#This Row],[FLOAT(M)]]</f>
        <v>3.513086187916855E-2</v>
      </c>
      <c r="AH91" s="23">
        <f>(Table13[[#This Row],[Volume]]/1000000)/Table13[[#This Row],[FLOAT(M)]]</f>
        <v>1.0135357637764684</v>
      </c>
      <c r="AJ91" s="18">
        <f>(Table13[[#This Row],[PM Hi]]-Table13[[#This Row],[MKT Open Price]])/(Table13[[#This Row],[PM Hi]])</f>
        <v>0</v>
      </c>
      <c r="AK91" s="16">
        <f>IF(Table13[[#This Row],[PM LO]]&gt;Table13[[#This Row],[Prior day close]],(Table13[[#This Row],[PM Hi]]-Table13[[#This Row],[MKT Open Price]])/(Table13[[#This Row],[PM Hi]]-Table13[[#This Row],[Prior day close]]),(Table13[[#This Row],[PM Hi]]-Table13[[#This Row],[MKT Open Price]])/(Table13[[#This Row],[PM Hi]]-Table13[[#This Row],[PM LO]]))</f>
        <v>0</v>
      </c>
      <c r="AL91" s="18">
        <f>IF(Table13[[#This Row],[Prior day close]]&lt;Table13[[#This Row],[PM LO]],(J91-L91)/(J91-Table13[[#This Row],[Prior day close]]),(J91-L91)/(J91-Table13[[#This Row],[PM LO]]))</f>
        <v>0.2222222222222224</v>
      </c>
      <c r="AM91" s="18">
        <f>Table13[[#This Row],[Spike % on open before drop]]+AN91</f>
        <v>6.9565217391304404E-2</v>
      </c>
      <c r="AN91" s="16">
        <f t="shared" si="10"/>
        <v>6.9565217391304404E-2</v>
      </c>
      <c r="AO91" s="18">
        <f>IF($K91&gt;=$G91,($K91-$L91)/($K91),(IF($I91&lt;=$L91,($G91-$I91)/($G91),(Table13[[#This Row],[PM Hi]]-Table13[[#This Row],[Lowest lo from open to squeeze]])/(Table13[[#This Row],[PM Hi]]))))</f>
        <v>7.7586206896551727E-2</v>
      </c>
      <c r="AP91" s="18">
        <f>IF(Table13[[#This Row],[Prior day close]]&lt;=Table13[[#This Row],[PM LO]],IF($K91&gt;=$G91,($K91-$L91)/($K91-Table13[[#This Row],[Prior day close]]),(IF($I91&lt;=$L91,($G91-$I91)/($G91-Table13[[#This Row],[Prior day close]]),(Table13[[#This Row],[PM Hi]]-Table13[[#This Row],[Lowest lo from open to squeeze]])/(Table13[[#This Row],[PM Hi]]-Table13[[#This Row],[Prior day close]])))),IF($K91&gt;=$G91,($K91-$L91)/($K91-Table13[[#This Row],[PM LO]]),(IF($I91&lt;=$L91,($G91-$I91)/($G91-Table13[[#This Row],[PM LO]]),(Table13[[#This Row],[PM Hi]]-Table13[[#This Row],[Lowest lo from open to squeeze]])/(Table13[[#This Row],[PM Hi]]-Table13[[#This Row],[PM LO]])))))</f>
        <v>0.24324324324324328</v>
      </c>
      <c r="AQ91" s="18">
        <f>IF(K91&gt;=G91,(K91-L91)/(K91-E91),(IF(I91&lt;=L91,(G91-I91)/(G91-E91),(Table13[[#This Row],[PM Hi]]-Table13[[#This Row],[Lowest lo from open to squeeze]])/(Table13[[#This Row],[PM Hi]]-Table13[[#This Row],[Prior day close]]))))</f>
        <v>0.24324324324324328</v>
      </c>
      <c r="AR91" s="17">
        <f>390+Table13[[#This Row],[Time until ideal entry point (mins) from open]]</f>
        <v>392</v>
      </c>
      <c r="AS91" s="51">
        <f>(Table13[[#This Row],[Time until ideal entry + 390 (6:30)]]+Table13[[#This Row],[Duration of frontside (mins)]])/1440</f>
        <v>0.28194444444444444</v>
      </c>
    </row>
    <row r="92" spans="1:45" x14ac:dyDescent="0.25">
      <c r="A92" s="24" t="s">
        <v>105</v>
      </c>
      <c r="B92" s="11">
        <v>44155</v>
      </c>
      <c r="C92" s="47" t="s">
        <v>78</v>
      </c>
      <c r="D92" t="s">
        <v>168</v>
      </c>
      <c r="E92" s="12">
        <v>6.08</v>
      </c>
      <c r="F92" s="13">
        <v>6.15</v>
      </c>
      <c r="G92" s="12">
        <v>8.48</v>
      </c>
      <c r="H92" s="12">
        <v>5.6</v>
      </c>
      <c r="I92" s="12">
        <v>7.26</v>
      </c>
      <c r="J92" s="12">
        <v>7.52</v>
      </c>
      <c r="K92" s="12">
        <v>7.67</v>
      </c>
      <c r="L92" s="12">
        <v>7.12</v>
      </c>
      <c r="M92" s="12">
        <v>9.8699999999999992</v>
      </c>
      <c r="N92" s="12">
        <v>9.8699999999999992</v>
      </c>
      <c r="O92" s="13">
        <v>135149950</v>
      </c>
      <c r="P92" s="12">
        <v>1092673830</v>
      </c>
      <c r="Q92" s="37">
        <v>150</v>
      </c>
      <c r="R92">
        <v>21</v>
      </c>
      <c r="S92" s="37" t="s">
        <v>119</v>
      </c>
      <c r="T92" s="37">
        <v>16134396</v>
      </c>
      <c r="U92" s="37" t="s">
        <v>44</v>
      </c>
      <c r="V92" s="37" t="s">
        <v>42</v>
      </c>
      <c r="W92" s="38">
        <v>2</v>
      </c>
      <c r="X92">
        <v>2</v>
      </c>
      <c r="Y92" s="39">
        <v>7.23</v>
      </c>
      <c r="Z92">
        <v>80</v>
      </c>
      <c r="AA92" s="40">
        <f>Table13[[#This Row],[Time until ideal entry + 390 (6:30)]]/(1440)</f>
        <v>0.2722222222222222</v>
      </c>
      <c r="AB92" s="18">
        <f t="shared" si="9"/>
        <v>0.39473684210526322</v>
      </c>
      <c r="AC92" s="18">
        <f>IF(Table13[[#This Row],[HOD AFTER PM HI]]&gt;=Table13[[#This Row],[PM Hi]],((Table13[[#This Row],[HOD AFTER PM HI]]-Table13[[#This Row],[Prior day close]])/Table13[[#This Row],[Prior day close]]),Table13[[#This Row],[Prior Close to PM Hi %]])</f>
        <v>0.62335526315789458</v>
      </c>
      <c r="AD92" s="42">
        <f>(Table13[[#This Row],[Price at hi of squeeze]]-Table13[[#This Row],[MKT Open Price]])/Table13[[#This Row],[MKT Open Price]]</f>
        <v>0.31249999999999994</v>
      </c>
      <c r="AE92" s="18">
        <f>(Table13[[#This Row],[Price at hi of squeeze]]-Table13[[#This Row],[PM Hi]])/Table13[[#This Row],[PM Hi]]</f>
        <v>0.16391509433962248</v>
      </c>
      <c r="AF92" s="18">
        <f t="shared" si="8"/>
        <v>0.38623595505617964</v>
      </c>
      <c r="AG92" s="20">
        <f>Table13[[#This Row],[PM VOL]]/1000000/Table13[[#This Row],[FLOAT(M)]]</f>
        <v>0.76830457142857134</v>
      </c>
      <c r="AH92" s="23">
        <f>(Table13[[#This Row],[Volume]]/1000000)/Table13[[#This Row],[FLOAT(M)]]</f>
        <v>6.435711904761904</v>
      </c>
      <c r="AJ92" s="18">
        <f>(Table13[[#This Row],[PM Hi]]-Table13[[#This Row],[MKT Open Price]])/(Table13[[#This Row],[PM Hi]])</f>
        <v>0.11320754716981142</v>
      </c>
      <c r="AK92" s="16">
        <f>IF(Table13[[#This Row],[PM LO]]&gt;Table13[[#This Row],[Prior day close]],(Table13[[#This Row],[PM Hi]]-Table13[[#This Row],[MKT Open Price]])/(Table13[[#This Row],[PM Hi]]-Table13[[#This Row],[Prior day close]]),(Table13[[#This Row],[PM Hi]]-Table13[[#This Row],[MKT Open Price]])/(Table13[[#This Row],[PM Hi]]-Table13[[#This Row],[PM LO]]))</f>
        <v>0.33333333333333354</v>
      </c>
      <c r="AL92" s="18">
        <f>IF(Table13[[#This Row],[Prior day close]]&lt;Table13[[#This Row],[PM LO]],(J92-L92)/(J92-Table13[[#This Row],[Prior day close]]),(J92-L92)/(J92-Table13[[#This Row],[PM LO]]))</f>
        <v>0.20833333333333307</v>
      </c>
      <c r="AM92" s="18">
        <f>Table13[[#This Row],[Spike % on open before drop]]+AN92</f>
        <v>5.3191489361702059E-2</v>
      </c>
      <c r="AN92" s="16">
        <f t="shared" si="10"/>
        <v>5.3191489361702059E-2</v>
      </c>
      <c r="AO92" s="18">
        <f>IF($K92&gt;=$G92,($K92-$L92)/($K92),(IF($I92&lt;=$L92,($G92-$I92)/($G92),(Table13[[#This Row],[PM Hi]]-Table13[[#This Row],[Lowest lo from open to squeeze]])/(Table13[[#This Row],[PM Hi]]))))</f>
        <v>0.16037735849056606</v>
      </c>
      <c r="AP92" s="18">
        <f>IF(Table13[[#This Row],[Prior day close]]&lt;=Table13[[#This Row],[PM LO]],IF($K92&gt;=$G92,($K92-$L92)/($K92-Table13[[#This Row],[Prior day close]]),(IF($I92&lt;=$L92,($G92-$I92)/($G92-Table13[[#This Row],[Prior day close]]),(Table13[[#This Row],[PM Hi]]-Table13[[#This Row],[Lowest lo from open to squeeze]])/(Table13[[#This Row],[PM Hi]]-Table13[[#This Row],[Prior day close]])))),IF($K92&gt;=$G92,($K92-$L92)/($K92-Table13[[#This Row],[PM LO]]),(IF($I92&lt;=$L92,($G92-$I92)/($G92-Table13[[#This Row],[PM LO]]),(Table13[[#This Row],[PM Hi]]-Table13[[#This Row],[Lowest lo from open to squeeze]])/(Table13[[#This Row],[PM Hi]]-Table13[[#This Row],[PM LO]])))))</f>
        <v>0.47222222222222221</v>
      </c>
      <c r="AQ92" s="18">
        <f>IF(K92&gt;=G92,(K92-L92)/(K92-E92),(IF(I92&lt;=L92,(G92-I92)/(G92-E92),(Table13[[#This Row],[PM Hi]]-Table13[[#This Row],[Lowest lo from open to squeeze]])/(Table13[[#This Row],[PM Hi]]-Table13[[#This Row],[Prior day close]]))))</f>
        <v>0.56666666666666676</v>
      </c>
      <c r="AR92" s="17">
        <f>390+Table13[[#This Row],[Time until ideal entry point (mins) from open]]</f>
        <v>392</v>
      </c>
      <c r="AS92" s="51">
        <f>(Table13[[#This Row],[Time until ideal entry + 390 (6:30)]]+Table13[[#This Row],[Duration of frontside (mins)]])/1440</f>
        <v>0.32777777777777778</v>
      </c>
    </row>
    <row r="93" spans="1:45" x14ac:dyDescent="0.25">
      <c r="A93" s="24" t="s">
        <v>69</v>
      </c>
      <c r="B93" s="11">
        <v>44158</v>
      </c>
      <c r="C93" s="47" t="s">
        <v>78</v>
      </c>
      <c r="D93" t="s">
        <v>169</v>
      </c>
      <c r="E93" s="12">
        <v>2.08</v>
      </c>
      <c r="F93" s="13">
        <v>2.13</v>
      </c>
      <c r="G93" s="12">
        <v>3.14</v>
      </c>
      <c r="H93" s="12">
        <v>2.13</v>
      </c>
      <c r="I93" s="12">
        <v>2.94</v>
      </c>
      <c r="J93" s="12">
        <v>3.05</v>
      </c>
      <c r="K93" s="12">
        <v>3.23</v>
      </c>
      <c r="L93" s="12">
        <v>2.75</v>
      </c>
      <c r="M93" s="12">
        <v>9.02</v>
      </c>
      <c r="N93" s="12">
        <v>4.17</v>
      </c>
      <c r="O93" s="13">
        <v>300228380</v>
      </c>
      <c r="P93" s="12">
        <v>2590970919</v>
      </c>
      <c r="Q93" s="37">
        <v>30</v>
      </c>
      <c r="R93">
        <v>8.8800000000000008</v>
      </c>
      <c r="S93" s="37" t="s">
        <v>155</v>
      </c>
      <c r="T93" s="37">
        <v>12828489</v>
      </c>
      <c r="U93" s="37" t="s">
        <v>44</v>
      </c>
      <c r="V93" s="37" t="s">
        <v>44</v>
      </c>
      <c r="W93" s="38">
        <v>10</v>
      </c>
      <c r="X93">
        <v>10</v>
      </c>
      <c r="Y93" s="39"/>
      <c r="Z93"/>
      <c r="AA93" s="40">
        <f>Table13[[#This Row],[Time until ideal entry + 390 (6:30)]]/(1440)</f>
        <v>0.27777777777777779</v>
      </c>
      <c r="AB93" s="18">
        <f t="shared" si="9"/>
        <v>0.50961538461538458</v>
      </c>
      <c r="AC93" s="18">
        <f>IF(Table13[[#This Row],[HOD AFTER PM HI]]&gt;=Table13[[#This Row],[PM Hi]],((Table13[[#This Row],[HOD AFTER PM HI]]-Table13[[#This Row],[Prior day close]])/Table13[[#This Row],[Prior day close]]),Table13[[#This Row],[Prior Close to PM Hi %]])</f>
        <v>3.3365384615384612</v>
      </c>
      <c r="AD93" s="42">
        <f>(Table13[[#This Row],[Price at hi of squeeze]]-Table13[[#This Row],[MKT Open Price]])/Table13[[#This Row],[MKT Open Price]]</f>
        <v>0.3672131147540984</v>
      </c>
      <c r="AE93" s="18">
        <f>(Table13[[#This Row],[Price at hi of squeeze]]-Table13[[#This Row],[PM Hi]])/Table13[[#This Row],[PM Hi]]</f>
        <v>0.3280254777070063</v>
      </c>
      <c r="AF93" s="18">
        <f t="shared" si="8"/>
        <v>0.51636363636363636</v>
      </c>
      <c r="AG93" s="20">
        <f>Table13[[#This Row],[PM VOL]]/1000000/Table13[[#This Row],[FLOAT(M)]]</f>
        <v>1.4446496621621621</v>
      </c>
      <c r="AH93" s="23">
        <f>(Table13[[#This Row],[Volume]]/1000000)/Table13[[#This Row],[FLOAT(M)]]</f>
        <v>33.809502252252251</v>
      </c>
      <c r="AJ93" s="18">
        <f>(Table13[[#This Row],[PM Hi]]-Table13[[#This Row],[MKT Open Price]])/(Table13[[#This Row],[PM Hi]])</f>
        <v>2.8662420382165699E-2</v>
      </c>
      <c r="AK93" s="16">
        <f>IF(Table13[[#This Row],[PM LO]]&gt;Table13[[#This Row],[Prior day close]],(Table13[[#This Row],[PM Hi]]-Table13[[#This Row],[MKT Open Price]])/(Table13[[#This Row],[PM Hi]]-Table13[[#This Row],[Prior day close]]),(Table13[[#This Row],[PM Hi]]-Table13[[#This Row],[MKT Open Price]])/(Table13[[#This Row],[PM Hi]]-Table13[[#This Row],[PM LO]]))</f>
        <v>8.4905660377358777E-2</v>
      </c>
      <c r="AL93" s="18">
        <f>IF(Table13[[#This Row],[Prior day close]]&lt;Table13[[#This Row],[PM LO]],(J93-L93)/(J93-Table13[[#This Row],[Prior day close]]),(J93-L93)/(J93-Table13[[#This Row],[PM LO]]))</f>
        <v>0.30927835051546382</v>
      </c>
      <c r="AM93" s="18">
        <f>Table13[[#This Row],[Spike % on open before drop]]+AN93</f>
        <v>9.8360655737704861E-2</v>
      </c>
      <c r="AN93" s="16">
        <f t="shared" si="10"/>
        <v>9.8360655737704861E-2</v>
      </c>
      <c r="AO93" s="18">
        <f>IF($K93&gt;=$G93,($K93-$L93)/($K93),(IF($I93&lt;=$L93,($G93-$I93)/($G93),(Table13[[#This Row],[PM Hi]]-Table13[[#This Row],[Lowest lo from open to squeeze]])/(Table13[[#This Row],[PM Hi]]))))</f>
        <v>0.14860681114551083</v>
      </c>
      <c r="AP93" s="18">
        <f>IF(Table13[[#This Row],[Prior day close]]&lt;=Table13[[#This Row],[PM LO]],IF($K93&gt;=$G93,($K93-$L93)/($K93-Table13[[#This Row],[Prior day close]]),(IF($I93&lt;=$L93,($G93-$I93)/($G93-Table13[[#This Row],[Prior day close]]),(Table13[[#This Row],[PM Hi]]-Table13[[#This Row],[Lowest lo from open to squeeze]])/(Table13[[#This Row],[PM Hi]]-Table13[[#This Row],[Prior day close]])))),IF($K93&gt;=$G93,($K93-$L93)/($K93-Table13[[#This Row],[PM LO]]),(IF($I93&lt;=$L93,($G93-$I93)/($G93-Table13[[#This Row],[PM LO]]),(Table13[[#This Row],[PM Hi]]-Table13[[#This Row],[Lowest lo from open to squeeze]])/(Table13[[#This Row],[PM Hi]]-Table13[[#This Row],[PM LO]])))))</f>
        <v>0.41739130434782612</v>
      </c>
      <c r="AQ93" s="18">
        <f>IF(K93&gt;=G93,(K93-L93)/(K93-E93),(IF(I93&lt;=L93,(G93-I93)/(G93-E93),(Table13[[#This Row],[PM Hi]]-Table13[[#This Row],[Lowest lo from open to squeeze]])/(Table13[[#This Row],[PM Hi]]-Table13[[#This Row],[Prior day close]]))))</f>
        <v>0.41739130434782612</v>
      </c>
      <c r="AR93" s="17">
        <f>390+Table13[[#This Row],[Time until ideal entry point (mins) from open]]</f>
        <v>400</v>
      </c>
      <c r="AS93" s="51">
        <f>(Table13[[#This Row],[Time until ideal entry + 390 (6:30)]]+Table13[[#This Row],[Duration of frontside (mins)]])/1440</f>
        <v>0.27777777777777779</v>
      </c>
    </row>
    <row r="94" spans="1:45" x14ac:dyDescent="0.25">
      <c r="A94" s="24" t="s">
        <v>143</v>
      </c>
      <c r="B94" s="45">
        <v>44168</v>
      </c>
      <c r="C94" s="47" t="s">
        <v>78</v>
      </c>
      <c r="D94" t="s">
        <v>181</v>
      </c>
      <c r="E94" s="12">
        <v>2.42</v>
      </c>
      <c r="F94" s="13">
        <v>2.4</v>
      </c>
      <c r="G94" s="12">
        <v>5.2</v>
      </c>
      <c r="H94" s="12">
        <v>2.4</v>
      </c>
      <c r="I94" s="12">
        <v>4.12</v>
      </c>
      <c r="J94" s="12">
        <v>4.3899999999999997</v>
      </c>
      <c r="K94" s="12">
        <v>4.78</v>
      </c>
      <c r="L94" s="12">
        <v>3.83</v>
      </c>
      <c r="M94" s="12">
        <v>5.91</v>
      </c>
      <c r="N94" s="12">
        <v>5.13</v>
      </c>
      <c r="O94" s="13">
        <v>198937626</v>
      </c>
      <c r="P94" s="12">
        <v>924065272</v>
      </c>
      <c r="Q94" s="37">
        <v>107.52</v>
      </c>
      <c r="R94">
        <v>22.74</v>
      </c>
      <c r="S94" s="37" t="s">
        <v>132</v>
      </c>
      <c r="T94" s="37">
        <v>23403663</v>
      </c>
      <c r="U94" s="37" t="s">
        <v>42</v>
      </c>
      <c r="V94" s="37" t="s">
        <v>44</v>
      </c>
      <c r="W94" s="38">
        <v>14</v>
      </c>
      <c r="X94">
        <v>14</v>
      </c>
      <c r="Y94" s="39">
        <v>3.9</v>
      </c>
      <c r="Z94"/>
      <c r="AA94" s="40">
        <f>Table13[[#This Row],[Time until ideal entry + 390 (6:30)]]/(1440)</f>
        <v>0.28055555555555556</v>
      </c>
      <c r="AB94" s="18">
        <f t="shared" si="9"/>
        <v>1.1487603305785126</v>
      </c>
      <c r="AC94" s="18">
        <f>IF(Table13[[#This Row],[HOD AFTER PM HI]]&gt;=Table13[[#This Row],[PM Hi]],((Table13[[#This Row],[HOD AFTER PM HI]]-Table13[[#This Row],[Prior day close]])/Table13[[#This Row],[Prior day close]]),Table13[[#This Row],[Prior Close to PM Hi %]])</f>
        <v>1.4421487603305787</v>
      </c>
      <c r="AD94" s="42">
        <f>(Table13[[#This Row],[Price at hi of squeeze]]-Table13[[#This Row],[MKT Open Price]])/Table13[[#This Row],[MKT Open Price]]</f>
        <v>0.16856492027334857</v>
      </c>
      <c r="AE94" s="18">
        <f>(Table13[[#This Row],[Price at hi of squeeze]]-Table13[[#This Row],[PM Hi]])/Table13[[#This Row],[PM Hi]]</f>
        <v>-1.3461538461538516E-2</v>
      </c>
      <c r="AF94" s="18">
        <f t="shared" si="8"/>
        <v>0.3394255874673629</v>
      </c>
      <c r="AG94" s="20">
        <f>Table13[[#This Row],[PM VOL]]/1000000/Table13[[#This Row],[FLOAT(M)]]</f>
        <v>1.0291848284960423</v>
      </c>
      <c r="AH94" s="23">
        <f>(Table13[[#This Row],[Volume]]/1000000)/Table13[[#This Row],[FLOAT(M)]]</f>
        <v>8.7483564643799472</v>
      </c>
      <c r="AJ94" s="18">
        <f>(Table13[[#This Row],[PM Hi]]-Table13[[#This Row],[MKT Open Price]])/(Table13[[#This Row],[PM Hi]])</f>
        <v>0.15576923076923085</v>
      </c>
      <c r="AK94" s="16">
        <f>IF(Table13[[#This Row],[PM LO]]&gt;Table13[[#This Row],[Prior day close]],(Table13[[#This Row],[PM Hi]]-Table13[[#This Row],[MKT Open Price]])/(Table13[[#This Row],[PM Hi]]-Table13[[#This Row],[Prior day close]]),(Table13[[#This Row],[PM Hi]]-Table13[[#This Row],[MKT Open Price]])/(Table13[[#This Row],[PM Hi]]-Table13[[#This Row],[PM LO]]))</f>
        <v>0.28928571428571442</v>
      </c>
      <c r="AL94" s="18">
        <f>IF(Table13[[#This Row],[Prior day close]]&lt;Table13[[#This Row],[PM LO]],(J94-L94)/(J94-Table13[[#This Row],[Prior day close]]),(J94-L94)/(J94-Table13[[#This Row],[PM LO]]))</f>
        <v>0.28140703517587923</v>
      </c>
      <c r="AM94" s="18">
        <f>Table13[[#This Row],[Spike % on open before drop]]+AN94</f>
        <v>0.12756264236902043</v>
      </c>
      <c r="AN94" s="16">
        <f t="shared" si="10"/>
        <v>0.12756264236902043</v>
      </c>
      <c r="AO94" s="18">
        <f>IF($K94&gt;=$G94,($K94-$L94)/($K94),(IF($I94&lt;=$L94,($G94-$I94)/($G94),(Table13[[#This Row],[PM Hi]]-Table13[[#This Row],[Lowest lo from open to squeeze]])/(Table13[[#This Row],[PM Hi]]))))</f>
        <v>0.26346153846153847</v>
      </c>
      <c r="AP94" s="18">
        <f>IF(Table13[[#This Row],[Prior day close]]&lt;=Table13[[#This Row],[PM LO]],IF($K94&gt;=$G94,($K94-$L94)/($K94-Table13[[#This Row],[Prior day close]]),(IF($I94&lt;=$L94,($G94-$I94)/($G94-Table13[[#This Row],[Prior day close]]),(Table13[[#This Row],[PM Hi]]-Table13[[#This Row],[Lowest lo from open to squeeze]])/(Table13[[#This Row],[PM Hi]]-Table13[[#This Row],[Prior day close]])))),IF($K94&gt;=$G94,($K94-$L94)/($K94-Table13[[#This Row],[PM LO]]),(IF($I94&lt;=$L94,($G94-$I94)/($G94-Table13[[#This Row],[PM LO]]),(Table13[[#This Row],[PM Hi]]-Table13[[#This Row],[Lowest lo from open to squeeze]])/(Table13[[#This Row],[PM Hi]]-Table13[[#This Row],[PM LO]])))))</f>
        <v>0.48928571428571427</v>
      </c>
      <c r="AQ94" s="18">
        <f>IF(K94&gt;=G94,(K94-L94)/(K94-E94),(IF(I94&lt;=L94,(G94-I94)/(G94-E94),(Table13[[#This Row],[PM Hi]]-Table13[[#This Row],[Lowest lo from open to squeeze]])/(Table13[[#This Row],[PM Hi]]-Table13[[#This Row],[Prior day close]]))))</f>
        <v>0.49280575539568344</v>
      </c>
      <c r="AR94" s="17">
        <f>390+Table13[[#This Row],[Time until ideal entry point (mins) from open]]</f>
        <v>404</v>
      </c>
      <c r="AS94" s="51">
        <f>(Table13[[#This Row],[Time until ideal entry + 390 (6:30)]]+Table13[[#This Row],[Duration of frontside (mins)]])/1440</f>
        <v>0.28055555555555556</v>
      </c>
    </row>
    <row r="95" spans="1:45" x14ac:dyDescent="0.25">
      <c r="A95" s="24" t="s">
        <v>133</v>
      </c>
      <c r="B95" s="45">
        <v>44169</v>
      </c>
      <c r="C95" s="47" t="s">
        <v>78</v>
      </c>
      <c r="D95" t="s">
        <v>182</v>
      </c>
      <c r="E95" s="12">
        <v>3.59</v>
      </c>
      <c r="F95" s="13">
        <v>3.54</v>
      </c>
      <c r="G95" s="12">
        <v>5.27</v>
      </c>
      <c r="H95" s="12">
        <v>3.54</v>
      </c>
      <c r="I95" s="12">
        <v>4.91</v>
      </c>
      <c r="J95" s="12">
        <v>5.04</v>
      </c>
      <c r="K95" s="12">
        <v>5.4</v>
      </c>
      <c r="L95" s="12">
        <v>4.8099999999999996</v>
      </c>
      <c r="M95" s="12">
        <v>6.16</v>
      </c>
      <c r="N95" s="12">
        <v>6.06</v>
      </c>
      <c r="O95" s="13">
        <v>118051116</v>
      </c>
      <c r="P95" s="12">
        <v>492863409</v>
      </c>
      <c r="Q95" s="37">
        <v>31.59</v>
      </c>
      <c r="R95">
        <v>3</v>
      </c>
      <c r="S95" s="37" t="s">
        <v>155</v>
      </c>
      <c r="T95" s="37">
        <v>7417196</v>
      </c>
      <c r="U95" s="37" t="s">
        <v>44</v>
      </c>
      <c r="V95" s="37" t="s">
        <v>44</v>
      </c>
      <c r="W95" s="38">
        <v>8</v>
      </c>
      <c r="X95">
        <v>8</v>
      </c>
      <c r="Y95" s="39">
        <v>4.8</v>
      </c>
      <c r="Z95">
        <v>20</v>
      </c>
      <c r="AA95" s="40">
        <f>Table13[[#This Row],[Time until ideal entry + 390 (6:30)]]/(1440)</f>
        <v>0.27638888888888891</v>
      </c>
      <c r="AB95" s="18">
        <f t="shared" si="9"/>
        <v>0.46796657381615592</v>
      </c>
      <c r="AC95" s="18">
        <f>IF(Table13[[#This Row],[HOD AFTER PM HI]]&gt;=Table13[[#This Row],[PM Hi]],((Table13[[#This Row],[HOD AFTER PM HI]]-Table13[[#This Row],[Prior day close]])/Table13[[#This Row],[Prior day close]]),Table13[[#This Row],[Prior Close to PM Hi %]])</f>
        <v>0.71587743732590536</v>
      </c>
      <c r="AD95" s="42">
        <f>(Table13[[#This Row],[Price at hi of squeeze]]-Table13[[#This Row],[MKT Open Price]])/Table13[[#This Row],[MKT Open Price]]</f>
        <v>0.2023809523809523</v>
      </c>
      <c r="AE95" s="18">
        <f>(Table13[[#This Row],[Price at hi of squeeze]]-Table13[[#This Row],[PM Hi]])/Table13[[#This Row],[PM Hi]]</f>
        <v>0.14990512333965847</v>
      </c>
      <c r="AF95" s="18">
        <f t="shared" si="8"/>
        <v>0.25987525987525989</v>
      </c>
      <c r="AG95" s="20">
        <f>Table13[[#This Row],[PM VOL]]/1000000/Table13[[#This Row],[FLOAT(M)]]</f>
        <v>2.4723986666666664</v>
      </c>
      <c r="AH95" s="23">
        <f>(Table13[[#This Row],[Volume]]/1000000)/Table13[[#This Row],[FLOAT(M)]]</f>
        <v>39.350372</v>
      </c>
      <c r="AJ95" s="18">
        <f>(Table13[[#This Row],[PM Hi]]-Table13[[#This Row],[MKT Open Price]])/(Table13[[#This Row],[PM Hi]])</f>
        <v>4.3643263757115663E-2</v>
      </c>
      <c r="AK95" s="16">
        <f>IF(Table13[[#This Row],[PM LO]]&gt;Table13[[#This Row],[Prior day close]],(Table13[[#This Row],[PM Hi]]-Table13[[#This Row],[MKT Open Price]])/(Table13[[#This Row],[PM Hi]]-Table13[[#This Row],[Prior day close]]),(Table13[[#This Row],[PM Hi]]-Table13[[#This Row],[MKT Open Price]])/(Table13[[#This Row],[PM Hi]]-Table13[[#This Row],[PM LO]]))</f>
        <v>0.13294797687861248</v>
      </c>
      <c r="AL95" s="18">
        <f>IF(Table13[[#This Row],[Prior day close]]&lt;Table13[[#This Row],[PM LO]],(J95-L95)/(J95-Table13[[#This Row],[Prior day close]]),(J95-L95)/(J95-Table13[[#This Row],[PM LO]]))</f>
        <v>0.15333333333333363</v>
      </c>
      <c r="AM95" s="18">
        <f>Table13[[#This Row],[Spike % on open before drop]]+AN95</f>
        <v>4.5634920634920723E-2</v>
      </c>
      <c r="AN95" s="16">
        <f t="shared" si="10"/>
        <v>4.5634920634920723E-2</v>
      </c>
      <c r="AO95" s="18">
        <f>IF($K95&gt;=$G95,($K95-$L95)/($K95),(IF($I95&lt;=$L95,($G95-$I95)/($G95),(Table13[[#This Row],[PM Hi]]-Table13[[#This Row],[Lowest lo from open to squeeze]])/(Table13[[#This Row],[PM Hi]]))))</f>
        <v>0.10925925925925939</v>
      </c>
      <c r="AP95" s="18">
        <f>IF(Table13[[#This Row],[Prior day close]]&lt;=Table13[[#This Row],[PM LO]],IF($K95&gt;=$G95,($K95-$L95)/($K95-Table13[[#This Row],[Prior day close]]),(IF($I95&lt;=$L95,($G95-$I95)/($G95-Table13[[#This Row],[Prior day close]]),(Table13[[#This Row],[PM Hi]]-Table13[[#This Row],[Lowest lo from open to squeeze]])/(Table13[[#This Row],[PM Hi]]-Table13[[#This Row],[Prior day close]])))),IF($K95&gt;=$G95,($K95-$L95)/($K95-Table13[[#This Row],[PM LO]]),(IF($I95&lt;=$L95,($G95-$I95)/($G95-Table13[[#This Row],[PM LO]]),(Table13[[#This Row],[PM Hi]]-Table13[[#This Row],[Lowest lo from open to squeeze]])/(Table13[[#This Row],[PM Hi]]-Table13[[#This Row],[PM LO]])))))</f>
        <v>0.31720430107526915</v>
      </c>
      <c r="AQ95" s="18">
        <f>IF(K95&gt;=G95,(K95-L95)/(K95-E95),(IF(I95&lt;=L95,(G95-I95)/(G95-E95),(Table13[[#This Row],[PM Hi]]-Table13[[#This Row],[Lowest lo from open to squeeze]])/(Table13[[#This Row],[PM Hi]]-Table13[[#This Row],[Prior day close]]))))</f>
        <v>0.32596685082872962</v>
      </c>
      <c r="AR95" s="17">
        <f>390+Table13[[#This Row],[Time until ideal entry point (mins) from open]]</f>
        <v>398</v>
      </c>
      <c r="AS95" s="51">
        <f>(Table13[[#This Row],[Time until ideal entry + 390 (6:30)]]+Table13[[#This Row],[Duration of frontside (mins)]])/1440</f>
        <v>0.2902777777777778</v>
      </c>
    </row>
    <row r="96" spans="1:45" hidden="1" x14ac:dyDescent="0.25">
      <c r="A96" s="24" t="s">
        <v>163</v>
      </c>
      <c r="B96" s="45">
        <v>44172</v>
      </c>
      <c r="C96" s="47" t="s">
        <v>78</v>
      </c>
      <c r="D96" t="s">
        <v>183</v>
      </c>
      <c r="E96" s="12"/>
      <c r="F96" s="13"/>
      <c r="G96" s="12"/>
      <c r="H96" s="12"/>
      <c r="I96" s="12"/>
      <c r="J96" s="12"/>
      <c r="K96" s="12"/>
      <c r="L96" s="12"/>
      <c r="O96" s="13">
        <v>59199252</v>
      </c>
      <c r="P96" s="12">
        <v>474778001</v>
      </c>
      <c r="Q96" s="37">
        <v>57</v>
      </c>
      <c r="R96">
        <v>1.32</v>
      </c>
      <c r="S96" s="37" t="s">
        <v>132</v>
      </c>
      <c r="T96" s="37">
        <v>3799664</v>
      </c>
      <c r="U96" s="37" t="s">
        <v>44</v>
      </c>
      <c r="V96" s="37" t="s">
        <v>44</v>
      </c>
      <c r="W96" s="38"/>
      <c r="X96"/>
      <c r="Y96" s="39"/>
      <c r="Z96"/>
      <c r="AA96" s="40">
        <f>Table13[[#This Row],[Time until ideal entry + 390 (6:30)]]/(1440)</f>
        <v>0.27083333333333331</v>
      </c>
      <c r="AB96" s="18" t="e">
        <f t="shared" si="9"/>
        <v>#DIV/0!</v>
      </c>
      <c r="AC96" s="18" t="e">
        <f>IF(Table13[[#This Row],[HOD AFTER PM HI]]&gt;=Table13[[#This Row],[PM Hi]],((Table13[[#This Row],[HOD AFTER PM HI]]-Table13[[#This Row],[Prior day close]])/Table13[[#This Row],[Prior day close]]),Table13[[#This Row],[Prior Close to PM Hi %]])</f>
        <v>#DIV/0!</v>
      </c>
      <c r="AD96" s="42" t="e">
        <f>(Table13[[#This Row],[Price at hi of squeeze]]-Table13[[#This Row],[MKT Open Price]])/Table13[[#This Row],[MKT Open Price]]</f>
        <v>#DIV/0!</v>
      </c>
      <c r="AE96" s="18" t="e">
        <f>(Table13[[#This Row],[Price at hi of squeeze]]-Table13[[#This Row],[PM Hi]])/Table13[[#This Row],[PM Hi]]</f>
        <v>#DIV/0!</v>
      </c>
      <c r="AF96" s="18" t="e">
        <f t="shared" si="8"/>
        <v>#DIV/0!</v>
      </c>
      <c r="AG96" s="20">
        <f>Table13[[#This Row],[PM VOL]]/1000000/Table13[[#This Row],[FLOAT(M)]]</f>
        <v>2.8785333333333329</v>
      </c>
      <c r="AH96" s="23">
        <f>(Table13[[#This Row],[Volume]]/1000000)/Table13[[#This Row],[FLOAT(M)]]</f>
        <v>44.84791818181818</v>
      </c>
      <c r="AJ96" s="18" t="e">
        <f>(Table13[[#This Row],[PM Hi]]-Table13[[#This Row],[MKT Open Price]])/(Table13[[#This Row],[PM Hi]])</f>
        <v>#DIV/0!</v>
      </c>
      <c r="AK96" s="16" t="e">
        <f>IF(Table13[[#This Row],[PM LO]]&gt;Table13[[#This Row],[Prior day close]],(Table13[[#This Row],[PM Hi]]-Table13[[#This Row],[MKT Open Price]])/(Table13[[#This Row],[PM Hi]]-Table13[[#This Row],[Prior day close]]),(Table13[[#This Row],[PM Hi]]-Table13[[#This Row],[MKT Open Price]])/(Table13[[#This Row],[PM Hi]]-Table13[[#This Row],[PM LO]]))</f>
        <v>#DIV/0!</v>
      </c>
      <c r="AL96" s="18" t="e">
        <f>IF(Table13[[#This Row],[Prior day close]]&lt;Table13[[#This Row],[PM LO]],(J96-L96)/(J96-Table13[[#This Row],[Prior day close]]),(J96-L96)/(J96-Table13[[#This Row],[PM LO]]))</f>
        <v>#DIV/0!</v>
      </c>
      <c r="AM96" s="18" t="e">
        <f>Table13[[#This Row],[Spike % on open before drop]]+AN96</f>
        <v>#DIV/0!</v>
      </c>
      <c r="AN96" s="16" t="e">
        <f t="shared" si="10"/>
        <v>#DIV/0!</v>
      </c>
      <c r="AO96" s="18" t="e">
        <f>IF($K96&gt;=$G96,($K96-$L96)/($K96),(IF($I96&lt;=$L96,($G96-$I96)/($G96),(Table13[[#This Row],[PM Hi]]-Table13[[#This Row],[Lowest lo from open to squeeze]])/(Table13[[#This Row],[PM Hi]]))))</f>
        <v>#DIV/0!</v>
      </c>
      <c r="AP96" s="18" t="e">
        <f>IF(Table13[[#This Row],[Prior day close]]&lt;=Table13[[#This Row],[PM LO]],IF($K96&gt;=$G96,($K96-$L96)/($K96-Table13[[#This Row],[Prior day close]]),(IF($I96&lt;=$L96,($G96-$I96)/($G96-Table13[[#This Row],[Prior day close]]),(Table13[[#This Row],[PM Hi]]-Table13[[#This Row],[Lowest lo from open to squeeze]])/(Table13[[#This Row],[PM Hi]]-Table13[[#This Row],[Prior day close]])))),IF($K96&gt;=$G96,($K96-$L96)/($K96-Table13[[#This Row],[PM LO]]),(IF($I96&lt;=$L96,($G96-$I96)/($G96-Table13[[#This Row],[PM LO]]),(Table13[[#This Row],[PM Hi]]-Table13[[#This Row],[Lowest lo from open to squeeze]])/(Table13[[#This Row],[PM Hi]]-Table13[[#This Row],[PM LO]])))))</f>
        <v>#DIV/0!</v>
      </c>
      <c r="AQ96" s="18" t="e">
        <f>IF(K96&gt;=G96,(K96-L96)/(K96-E96),(IF(I96&lt;=L96,(G96-I96)/(G96-E96),(Table13[[#This Row],[PM Hi]]-Table13[[#This Row],[Lowest lo from open to squeeze]])/(Table13[[#This Row],[PM Hi]]-Table13[[#This Row],[Prior day close]]))))</f>
        <v>#DIV/0!</v>
      </c>
      <c r="AR96" s="17">
        <f>390+Table13[[#This Row],[Time until ideal entry point (mins) from open]]</f>
        <v>390</v>
      </c>
      <c r="AS96" s="51">
        <f>(Table13[[#This Row],[Time until ideal entry + 390 (6:30)]]+Table13[[#This Row],[Duration of frontside (mins)]])/1440</f>
        <v>0.27083333333333331</v>
      </c>
    </row>
    <row r="97" spans="1:45" x14ac:dyDescent="0.25">
      <c r="A97" s="24" t="s">
        <v>93</v>
      </c>
      <c r="B97" s="45">
        <v>44173</v>
      </c>
      <c r="C97" s="47" t="s">
        <v>78</v>
      </c>
      <c r="D97" t="s">
        <v>184</v>
      </c>
      <c r="E97" s="12">
        <v>1.44</v>
      </c>
      <c r="F97" s="13">
        <v>1.41</v>
      </c>
      <c r="G97" s="12">
        <v>5.64</v>
      </c>
      <c r="H97" s="12">
        <v>1.41</v>
      </c>
      <c r="I97" s="12">
        <v>5.31</v>
      </c>
      <c r="J97" s="12">
        <v>5.47</v>
      </c>
      <c r="K97" s="12">
        <v>5.91</v>
      </c>
      <c r="L97" s="12">
        <v>5.2</v>
      </c>
      <c r="M97" s="12">
        <v>7.86</v>
      </c>
      <c r="N97" s="12">
        <v>7.86</v>
      </c>
      <c r="O97" s="13">
        <v>267725520</v>
      </c>
      <c r="P97" s="12">
        <v>1829903929</v>
      </c>
      <c r="Q97" s="37">
        <v>90</v>
      </c>
      <c r="R97">
        <v>53.14</v>
      </c>
      <c r="S97" s="37" t="s">
        <v>155</v>
      </c>
      <c r="T97" s="37">
        <v>46152390</v>
      </c>
      <c r="U97" s="37" t="s">
        <v>42</v>
      </c>
      <c r="V97" s="37" t="s">
        <v>44</v>
      </c>
      <c r="W97" s="38">
        <v>3</v>
      </c>
      <c r="X97">
        <v>3</v>
      </c>
      <c r="Y97" s="39">
        <v>5.34</v>
      </c>
      <c r="Z97">
        <v>25</v>
      </c>
      <c r="AA97" s="40">
        <f>Table13[[#This Row],[Time until ideal entry + 390 (6:30)]]/(1440)</f>
        <v>0.27291666666666664</v>
      </c>
      <c r="AB97" s="18">
        <f t="shared" si="9"/>
        <v>2.9166666666666661</v>
      </c>
      <c r="AC97" s="18">
        <f>IF(Table13[[#This Row],[HOD AFTER PM HI]]&gt;=Table13[[#This Row],[PM Hi]],((Table13[[#This Row],[HOD AFTER PM HI]]-Table13[[#This Row],[Prior day close]])/Table13[[#This Row],[Prior day close]]),Table13[[#This Row],[Prior Close to PM Hi %]])</f>
        <v>4.458333333333333</v>
      </c>
      <c r="AD97" s="42">
        <f>(Table13[[#This Row],[Price at hi of squeeze]]-Table13[[#This Row],[MKT Open Price]])/Table13[[#This Row],[MKT Open Price]]</f>
        <v>0.43692870201096906</v>
      </c>
      <c r="AE97" s="18">
        <f>(Table13[[#This Row],[Price at hi of squeeze]]-Table13[[#This Row],[PM Hi]])/Table13[[#This Row],[PM Hi]]</f>
        <v>0.39361702127659587</v>
      </c>
      <c r="AF97" s="18">
        <f t="shared" si="8"/>
        <v>0.5115384615384615</v>
      </c>
      <c r="AG97" s="20">
        <f>Table13[[#This Row],[PM VOL]]/1000000/Table13[[#This Row],[FLOAT(M)]]</f>
        <v>0.86850564546480991</v>
      </c>
      <c r="AH97" s="23">
        <f>(Table13[[#This Row],[Volume]]/1000000)/Table13[[#This Row],[FLOAT(M)]]</f>
        <v>5.038116672939406</v>
      </c>
      <c r="AJ97" s="18">
        <f>(Table13[[#This Row],[PM Hi]]-Table13[[#This Row],[MKT Open Price]])/(Table13[[#This Row],[PM Hi]])</f>
        <v>3.0141843971631194E-2</v>
      </c>
      <c r="AK97" s="16">
        <f>IF(Table13[[#This Row],[PM LO]]&gt;Table13[[#This Row],[Prior day close]],(Table13[[#This Row],[PM Hi]]-Table13[[#This Row],[MKT Open Price]])/(Table13[[#This Row],[PM Hi]]-Table13[[#This Row],[Prior day close]]),(Table13[[#This Row],[PM Hi]]-Table13[[#This Row],[MKT Open Price]])/(Table13[[#This Row],[PM Hi]]-Table13[[#This Row],[PM LO]]))</f>
        <v>4.0189125295508263E-2</v>
      </c>
      <c r="AL97" s="18">
        <f>IF(Table13[[#This Row],[Prior day close]]&lt;Table13[[#This Row],[PM LO]],(J97-L97)/(J97-Table13[[#This Row],[Prior day close]]),(J97-L97)/(J97-Table13[[#This Row],[PM LO]]))</f>
        <v>6.6502463054187097E-2</v>
      </c>
      <c r="AM97" s="18">
        <f>Table13[[#This Row],[Spike % on open before drop]]+AN97</f>
        <v>4.9360146252285117E-2</v>
      </c>
      <c r="AN97" s="16">
        <f t="shared" si="10"/>
        <v>4.9360146252285117E-2</v>
      </c>
      <c r="AO97" s="18">
        <f>IF($K97&gt;=$G97,($K97-$L97)/($K97),(IF($I97&lt;=$L97,($G97-$I97)/($G97),(Table13[[#This Row],[PM Hi]]-Table13[[#This Row],[Lowest lo from open to squeeze]])/(Table13[[#This Row],[PM Hi]]))))</f>
        <v>0.12013536379018612</v>
      </c>
      <c r="AP97" s="18">
        <f>IF(Table13[[#This Row],[Prior day close]]&lt;=Table13[[#This Row],[PM LO]],IF($K97&gt;=$G97,($K97-$L97)/($K97-Table13[[#This Row],[Prior day close]]),(IF($I97&lt;=$L97,($G97-$I97)/($G97-Table13[[#This Row],[Prior day close]]),(Table13[[#This Row],[PM Hi]]-Table13[[#This Row],[Lowest lo from open to squeeze]])/(Table13[[#This Row],[PM Hi]]-Table13[[#This Row],[Prior day close]])))),IF($K97&gt;=$G97,($K97-$L97)/($K97-Table13[[#This Row],[PM LO]]),(IF($I97&lt;=$L97,($G97-$I97)/($G97-Table13[[#This Row],[PM LO]]),(Table13[[#This Row],[PM Hi]]-Table13[[#This Row],[Lowest lo from open to squeeze]])/(Table13[[#This Row],[PM Hi]]-Table13[[#This Row],[PM LO]])))))</f>
        <v>0.15777777777777777</v>
      </c>
      <c r="AQ97" s="18">
        <f>IF(K97&gt;=G97,(K97-L97)/(K97-E97),(IF(I97&lt;=L97,(G97-I97)/(G97-E97),(Table13[[#This Row],[PM Hi]]-Table13[[#This Row],[Lowest lo from open to squeeze]])/(Table13[[#This Row],[PM Hi]]-Table13[[#This Row],[Prior day close]]))))</f>
        <v>0.15883668903803128</v>
      </c>
      <c r="AR97" s="17">
        <f>390+Table13[[#This Row],[Time until ideal entry point (mins) from open]]</f>
        <v>393</v>
      </c>
      <c r="AS97" s="51">
        <f>(Table13[[#This Row],[Time until ideal entry + 390 (6:30)]]+Table13[[#This Row],[Duration of frontside (mins)]])/1440</f>
        <v>0.2902777777777778</v>
      </c>
    </row>
    <row r="98" spans="1:45" x14ac:dyDescent="0.25">
      <c r="A98" s="24" t="s">
        <v>170</v>
      </c>
      <c r="B98" s="45">
        <v>44173</v>
      </c>
      <c r="C98" s="47" t="s">
        <v>78</v>
      </c>
      <c r="D98" t="s">
        <v>186</v>
      </c>
      <c r="E98" s="12">
        <v>1.8</v>
      </c>
      <c r="F98" s="13">
        <v>1.78</v>
      </c>
      <c r="G98" s="12">
        <v>2.84</v>
      </c>
      <c r="H98" s="12">
        <v>1.78</v>
      </c>
      <c r="I98" s="12">
        <v>2.33</v>
      </c>
      <c r="J98" s="12">
        <v>2.35</v>
      </c>
      <c r="K98" s="12">
        <v>2.37</v>
      </c>
      <c r="L98" s="12">
        <v>2.21</v>
      </c>
      <c r="M98" s="12">
        <v>4.04</v>
      </c>
      <c r="N98" s="12">
        <v>4.04</v>
      </c>
      <c r="O98" s="13">
        <v>204106920</v>
      </c>
      <c r="P98" s="12">
        <v>600074344</v>
      </c>
      <c r="Q98" s="37">
        <v>146.78</v>
      </c>
      <c r="R98">
        <v>51.47</v>
      </c>
      <c r="S98" s="37" t="s">
        <v>187</v>
      </c>
      <c r="T98" s="37">
        <v>7035998</v>
      </c>
      <c r="U98" s="37" t="s">
        <v>82</v>
      </c>
      <c r="V98" s="37" t="s">
        <v>44</v>
      </c>
      <c r="W98" s="38">
        <v>2</v>
      </c>
      <c r="X98">
        <v>2</v>
      </c>
      <c r="Y98" s="39">
        <v>2.27</v>
      </c>
      <c r="Z98">
        <v>141</v>
      </c>
      <c r="AA98" s="40">
        <f>Table13[[#This Row],[Time until ideal entry + 390 (6:30)]]/(1440)</f>
        <v>0.2722222222222222</v>
      </c>
      <c r="AB98" s="18">
        <f t="shared" si="9"/>
        <v>0.57777777777777761</v>
      </c>
      <c r="AC98" s="18">
        <f>IF(Table13[[#This Row],[HOD AFTER PM HI]]&gt;=Table13[[#This Row],[PM Hi]],((Table13[[#This Row],[HOD AFTER PM HI]]-Table13[[#This Row],[Prior day close]])/Table13[[#This Row],[Prior day close]]),Table13[[#This Row],[Prior Close to PM Hi %]])</f>
        <v>1.2444444444444445</v>
      </c>
      <c r="AD98" s="42">
        <f>(Table13[[#This Row],[Price at hi of squeeze]]-Table13[[#This Row],[MKT Open Price]])/Table13[[#This Row],[MKT Open Price]]</f>
        <v>0.71914893617021269</v>
      </c>
      <c r="AE98" s="18">
        <f>(Table13[[#This Row],[Price at hi of squeeze]]-Table13[[#This Row],[PM Hi]])/Table13[[#This Row],[PM Hi]]</f>
        <v>0.42253521126760574</v>
      </c>
      <c r="AF98" s="18">
        <f t="shared" si="8"/>
        <v>0.82805429864253399</v>
      </c>
      <c r="AG98" s="20">
        <f>Table13[[#This Row],[PM VOL]]/1000000/Table13[[#This Row],[FLOAT(M)]]</f>
        <v>0.13670095201088014</v>
      </c>
      <c r="AH98" s="23">
        <f>(Table13[[#This Row],[Volume]]/1000000)/Table13[[#This Row],[FLOAT(M)]]</f>
        <v>3.9655511948707987</v>
      </c>
      <c r="AJ98" s="18">
        <f>(Table13[[#This Row],[PM Hi]]-Table13[[#This Row],[MKT Open Price]])/(Table13[[#This Row],[PM Hi]])</f>
        <v>0.17253521126760557</v>
      </c>
      <c r="AK98" s="16">
        <f>IF(Table13[[#This Row],[PM LO]]&gt;Table13[[#This Row],[Prior day close]],(Table13[[#This Row],[PM Hi]]-Table13[[#This Row],[MKT Open Price]])/(Table13[[#This Row],[PM Hi]]-Table13[[#This Row],[Prior day close]]),(Table13[[#This Row],[PM Hi]]-Table13[[#This Row],[MKT Open Price]])/(Table13[[#This Row],[PM Hi]]-Table13[[#This Row],[PM LO]]))</f>
        <v>0.46226415094339607</v>
      </c>
      <c r="AL98" s="18">
        <f>IF(Table13[[#This Row],[Prior day close]]&lt;Table13[[#This Row],[PM LO]],(J98-L98)/(J98-Table13[[#This Row],[Prior day close]]),(J98-L98)/(J98-Table13[[#This Row],[PM LO]]))</f>
        <v>0.24561403508771948</v>
      </c>
      <c r="AM98" s="18">
        <f>Table13[[#This Row],[Spike % on open before drop]]+AN98</f>
        <v>5.9574468085106434E-2</v>
      </c>
      <c r="AN98" s="16">
        <f t="shared" si="10"/>
        <v>5.9574468085106434E-2</v>
      </c>
      <c r="AO98" s="18">
        <f>IF($K98&gt;=$G98,($K98-$L98)/($K98),(IF($I98&lt;=$L98,($G98-$I98)/($G98),(Table13[[#This Row],[PM Hi]]-Table13[[#This Row],[Lowest lo from open to squeeze]])/(Table13[[#This Row],[PM Hi]]))))</f>
        <v>0.22183098591549294</v>
      </c>
      <c r="AP98" s="18">
        <f>IF(Table13[[#This Row],[Prior day close]]&lt;=Table13[[#This Row],[PM LO]],IF($K98&gt;=$G98,($K98-$L98)/($K98-Table13[[#This Row],[Prior day close]]),(IF($I98&lt;=$L98,($G98-$I98)/($G98-Table13[[#This Row],[Prior day close]]),(Table13[[#This Row],[PM Hi]]-Table13[[#This Row],[Lowest lo from open to squeeze]])/(Table13[[#This Row],[PM Hi]]-Table13[[#This Row],[Prior day close]])))),IF($K98&gt;=$G98,($K98-$L98)/($K98-Table13[[#This Row],[PM LO]]),(IF($I98&lt;=$L98,($G98-$I98)/($G98-Table13[[#This Row],[PM LO]]),(Table13[[#This Row],[PM Hi]]-Table13[[#This Row],[Lowest lo from open to squeeze]])/(Table13[[#This Row],[PM Hi]]-Table13[[#This Row],[PM LO]])))))</f>
        <v>0.59433962264150941</v>
      </c>
      <c r="AQ98" s="18">
        <f>IF(K98&gt;=G98,(K98-L98)/(K98-E98),(IF(I98&lt;=L98,(G98-I98)/(G98-E98),(Table13[[#This Row],[PM Hi]]-Table13[[#This Row],[Lowest lo from open to squeeze]])/(Table13[[#This Row],[PM Hi]]-Table13[[#This Row],[Prior day close]]))))</f>
        <v>0.60576923076923073</v>
      </c>
      <c r="AR98" s="17">
        <f>390+Table13[[#This Row],[Time until ideal entry point (mins) from open]]</f>
        <v>392</v>
      </c>
      <c r="AS98" s="51">
        <f>(Table13[[#This Row],[Time until ideal entry + 390 (6:30)]]+Table13[[#This Row],[Duration of frontside (mins)]])/1440</f>
        <v>0.37013888888888891</v>
      </c>
    </row>
    <row r="99" spans="1:45" hidden="1" x14ac:dyDescent="0.25">
      <c r="A99" s="24" t="s">
        <v>171</v>
      </c>
      <c r="B99" s="45">
        <v>44174</v>
      </c>
      <c r="C99" s="47" t="s">
        <v>78</v>
      </c>
      <c r="D99" t="s">
        <v>188</v>
      </c>
      <c r="E99" s="12">
        <v>1.06</v>
      </c>
      <c r="F99" s="13">
        <v>1.0900000000000001</v>
      </c>
      <c r="G99" s="12">
        <v>4.57</v>
      </c>
      <c r="H99" s="12">
        <v>1.08</v>
      </c>
      <c r="I99" s="12">
        <v>3.27</v>
      </c>
      <c r="J99" s="12">
        <v>3.87</v>
      </c>
      <c r="K99" s="12">
        <v>4.4000000000000004</v>
      </c>
      <c r="L99" s="12">
        <v>3.86</v>
      </c>
      <c r="M99" s="12">
        <v>5.85</v>
      </c>
      <c r="N99" s="12">
        <v>5.42</v>
      </c>
      <c r="O99" s="13">
        <v>183579580</v>
      </c>
      <c r="P99" s="12">
        <v>524119700</v>
      </c>
      <c r="Q99" s="37">
        <v>10</v>
      </c>
      <c r="R99">
        <v>2</v>
      </c>
      <c r="S99" s="37" t="s">
        <v>189</v>
      </c>
      <c r="T99" s="37">
        <v>15045002</v>
      </c>
      <c r="U99" s="37" t="s">
        <v>42</v>
      </c>
      <c r="V99" s="37" t="s">
        <v>44</v>
      </c>
      <c r="W99" s="38">
        <v>1</v>
      </c>
      <c r="X99">
        <v>2</v>
      </c>
      <c r="Y99" s="39">
        <v>4</v>
      </c>
      <c r="Z99">
        <v>22</v>
      </c>
      <c r="AA99" s="40">
        <f>Table13[[#This Row],[Time until ideal entry + 390 (6:30)]]/(1440)</f>
        <v>0.2722222222222222</v>
      </c>
      <c r="AB99" s="18">
        <f t="shared" si="9"/>
        <v>3.3113207547169812</v>
      </c>
      <c r="AC99" s="18">
        <f>IF(Table13[[#This Row],[HOD AFTER PM HI]]&gt;=Table13[[#This Row],[PM Hi]],((Table13[[#This Row],[HOD AFTER PM HI]]-Table13[[#This Row],[Prior day close]])/Table13[[#This Row],[Prior day close]]),Table13[[#This Row],[Prior Close to PM Hi %]])</f>
        <v>4.5188679245283012</v>
      </c>
      <c r="AD99" s="42">
        <f>(Table13[[#This Row],[Price at hi of squeeze]]-Table13[[#This Row],[MKT Open Price]])/Table13[[#This Row],[MKT Open Price]]</f>
        <v>0.40051679586563299</v>
      </c>
      <c r="AE99" s="18">
        <f>(Table13[[#This Row],[Price at hi of squeeze]]-Table13[[#This Row],[PM Hi]])/Table13[[#This Row],[PM Hi]]</f>
        <v>0.18599562363238503</v>
      </c>
      <c r="AF99" s="18">
        <f t="shared" si="8"/>
        <v>0.4041450777202073</v>
      </c>
      <c r="AG99" s="20">
        <f>Table13[[#This Row],[PM VOL]]/1000000/Table13[[#This Row],[FLOAT(M)]]</f>
        <v>7.5225010000000001</v>
      </c>
      <c r="AH99" s="23">
        <f>(Table13[[#This Row],[Volume]]/1000000)/Table13[[#This Row],[FLOAT(M)]]</f>
        <v>91.789789999999996</v>
      </c>
      <c r="AJ99" s="18">
        <f>(Table13[[#This Row],[PM Hi]]-Table13[[#This Row],[MKT Open Price]])/(Table13[[#This Row],[PM Hi]])</f>
        <v>0.15317286652078776</v>
      </c>
      <c r="AK99" s="16">
        <f>IF(Table13[[#This Row],[PM LO]]&gt;Table13[[#This Row],[Prior day close]],(Table13[[#This Row],[PM Hi]]-Table13[[#This Row],[MKT Open Price]])/(Table13[[#This Row],[PM Hi]]-Table13[[#This Row],[Prior day close]]),(Table13[[#This Row],[PM Hi]]-Table13[[#This Row],[MKT Open Price]])/(Table13[[#This Row],[PM Hi]]-Table13[[#This Row],[PM LO]]))</f>
        <v>0.19943019943019946</v>
      </c>
      <c r="AL99" s="18">
        <f>IF(Table13[[#This Row],[Prior day close]]&lt;Table13[[#This Row],[PM LO]],(J99-L99)/(J99-Table13[[#This Row],[Prior day close]]),(J99-L99)/(J99-Table13[[#This Row],[PM LO]]))</f>
        <v>3.5587188612100466E-3</v>
      </c>
      <c r="AM99" s="18">
        <f>Table13[[#This Row],[Spike % on open before drop]]+AN99</f>
        <v>2.5839793281654342E-3</v>
      </c>
      <c r="AN99" s="16">
        <f t="shared" si="10"/>
        <v>2.5839793281654342E-3</v>
      </c>
      <c r="AO99" s="18">
        <f>IF($K99&gt;=$G99,($K99-$L99)/($K99),(IF($I99&lt;=$L99,($G99-$I99)/($G99),(Table13[[#This Row],[PM Hi]]-Table13[[#This Row],[Lowest lo from open to squeeze]])/(Table13[[#This Row],[PM Hi]]))))</f>
        <v>0.28446389496717728</v>
      </c>
      <c r="AP99" s="18">
        <f>IF(Table13[[#This Row],[Prior day close]]&lt;=Table13[[#This Row],[PM LO]],IF($K99&gt;=$G99,($K99-$L99)/($K99-Table13[[#This Row],[Prior day close]]),(IF($I99&lt;=$L99,($G99-$I99)/($G99-Table13[[#This Row],[Prior day close]]),(Table13[[#This Row],[PM Hi]]-Table13[[#This Row],[Lowest lo from open to squeeze]])/(Table13[[#This Row],[PM Hi]]-Table13[[#This Row],[Prior day close]])))),IF($K99&gt;=$G99,($K99-$L99)/($K99-Table13[[#This Row],[PM LO]]),(IF($I99&lt;=$L99,($G99-$I99)/($G99-Table13[[#This Row],[PM LO]]),(Table13[[#This Row],[PM Hi]]-Table13[[#This Row],[Lowest lo from open to squeeze]])/(Table13[[#This Row],[PM Hi]]-Table13[[#This Row],[PM LO]])))))</f>
        <v>0.37037037037037041</v>
      </c>
      <c r="AQ99" s="18">
        <f>IF(K99&gt;=G99,(K99-L99)/(K99-E99),(IF(I99&lt;=L99,(G99-I99)/(G99-E99),(Table13[[#This Row],[PM Hi]]-Table13[[#This Row],[Lowest lo from open to squeeze]])/(Table13[[#This Row],[PM Hi]]-Table13[[#This Row],[Prior day close]]))))</f>
        <v>0.37037037037037041</v>
      </c>
      <c r="AR99" s="17">
        <f>390+Table13[[#This Row],[Time until ideal entry point (mins) from open]]</f>
        <v>392</v>
      </c>
      <c r="AS99" s="51">
        <f>(Table13[[#This Row],[Time until ideal entry + 390 (6:30)]]+Table13[[#This Row],[Duration of frontside (mins)]])/1440</f>
        <v>0.28749999999999998</v>
      </c>
    </row>
    <row r="100" spans="1:45" x14ac:dyDescent="0.25">
      <c r="A100" s="24" t="s">
        <v>172</v>
      </c>
      <c r="B100" s="11">
        <v>44193</v>
      </c>
      <c r="C100" s="47" t="s">
        <v>78</v>
      </c>
      <c r="D100" t="s">
        <v>190</v>
      </c>
      <c r="E100" s="12">
        <v>4</v>
      </c>
      <c r="F100" s="13">
        <v>3.8</v>
      </c>
      <c r="G100" s="12">
        <v>7.89</v>
      </c>
      <c r="H100" s="12">
        <v>3.27</v>
      </c>
      <c r="I100" s="12">
        <v>5.62</v>
      </c>
      <c r="J100" s="12">
        <v>6</v>
      </c>
      <c r="K100" s="12">
        <v>6.37</v>
      </c>
      <c r="L100" s="12">
        <v>5.62</v>
      </c>
      <c r="M100" s="12">
        <v>38</v>
      </c>
      <c r="N100" s="12">
        <v>38</v>
      </c>
      <c r="O100" s="13">
        <v>46701175</v>
      </c>
      <c r="P100" s="12">
        <v>493631419</v>
      </c>
      <c r="Q100" s="37">
        <v>21</v>
      </c>
      <c r="R100">
        <v>5</v>
      </c>
      <c r="S100" s="37" t="s">
        <v>148</v>
      </c>
      <c r="T100" s="37">
        <v>3964156</v>
      </c>
      <c r="U100" s="37" t="s">
        <v>42</v>
      </c>
      <c r="V100" s="37" t="s">
        <v>44</v>
      </c>
      <c r="W100" s="38">
        <v>2</v>
      </c>
      <c r="X100">
        <v>2</v>
      </c>
      <c r="Y100" s="39">
        <v>5.71</v>
      </c>
      <c r="Z100">
        <v>240</v>
      </c>
      <c r="AA100" s="40">
        <f>Table13[[#This Row],[Time until ideal entry + 390 (6:30)]]/(1440)</f>
        <v>0.2722222222222222</v>
      </c>
      <c r="AB100" s="18">
        <f t="shared" si="9"/>
        <v>0.97249999999999992</v>
      </c>
      <c r="AC100" s="18">
        <f>IF(Table13[[#This Row],[HOD AFTER PM HI]]&gt;=Table13[[#This Row],[PM Hi]],((Table13[[#This Row],[HOD AFTER PM HI]]-Table13[[#This Row],[Prior day close]])/Table13[[#This Row],[Prior day close]]),Table13[[#This Row],[Prior Close to PM Hi %]])</f>
        <v>8.5</v>
      </c>
      <c r="AD100" s="42">
        <f>(Table13[[#This Row],[Price at hi of squeeze]]-Table13[[#This Row],[MKT Open Price]])/Table13[[#This Row],[MKT Open Price]]</f>
        <v>5.333333333333333</v>
      </c>
      <c r="AE100" s="18">
        <f>(Table13[[#This Row],[Price at hi of squeeze]]-Table13[[#This Row],[PM Hi]])/Table13[[#This Row],[PM Hi]]</f>
        <v>3.8162230671736377</v>
      </c>
      <c r="AF100" s="18">
        <f t="shared" si="8"/>
        <v>5.7615658362989324</v>
      </c>
      <c r="AG100" s="20">
        <f>Table13[[#This Row],[PM VOL]]/1000000/Table13[[#This Row],[FLOAT(M)]]</f>
        <v>0.79283119999999996</v>
      </c>
      <c r="AH100" s="23">
        <f>(Table13[[#This Row],[Volume]]/1000000)/Table13[[#This Row],[FLOAT(M)]]</f>
        <v>9.3402349999999998</v>
      </c>
      <c r="AJ100" s="18">
        <f>(Table13[[#This Row],[PM Hi]]-Table13[[#This Row],[MKT Open Price]])/(Table13[[#This Row],[PM Hi]])</f>
        <v>0.23954372623574141</v>
      </c>
      <c r="AK100" s="16">
        <f>IF(Table13[[#This Row],[PM LO]]&gt;Table13[[#This Row],[Prior day close]],(Table13[[#This Row],[PM Hi]]-Table13[[#This Row],[MKT Open Price]])/(Table13[[#This Row],[PM Hi]]-Table13[[#This Row],[Prior day close]]),(Table13[[#This Row],[PM Hi]]-Table13[[#This Row],[MKT Open Price]])/(Table13[[#This Row],[PM Hi]]-Table13[[#This Row],[PM LO]]))</f>
        <v>0.40909090909090912</v>
      </c>
      <c r="AL100" s="18">
        <f>IF(Table13[[#This Row],[Prior day close]]&lt;Table13[[#This Row],[PM LO]],(J100-L100)/(J100-Table13[[#This Row],[Prior day close]]),(J100-L100)/(J100-Table13[[#This Row],[PM LO]]))</f>
        <v>0.13919413919413914</v>
      </c>
      <c r="AM100" s="18">
        <f>Table13[[#This Row],[Spike % on open before drop]]+AN100</f>
        <v>6.3333333333333311E-2</v>
      </c>
      <c r="AN100" s="16">
        <f t="shared" si="10"/>
        <v>6.3333333333333311E-2</v>
      </c>
      <c r="AO100" s="18">
        <f>IF($K100&gt;=$G100,($K100-$L100)/($K100),(IF($I100&lt;=$L100,($G100-$I100)/($G100),(Table13[[#This Row],[PM Hi]]-Table13[[#This Row],[Lowest lo from open to squeeze]])/(Table13[[#This Row],[PM Hi]]))))</f>
        <v>0.2877059569074778</v>
      </c>
      <c r="AP100" s="18">
        <f>IF(Table13[[#This Row],[Prior day close]]&lt;=Table13[[#This Row],[PM LO]],IF($K100&gt;=$G100,($K100-$L100)/($K100-Table13[[#This Row],[Prior day close]]),(IF($I100&lt;=$L100,($G100-$I100)/($G100-Table13[[#This Row],[Prior day close]]),(Table13[[#This Row],[PM Hi]]-Table13[[#This Row],[Lowest lo from open to squeeze]])/(Table13[[#This Row],[PM Hi]]-Table13[[#This Row],[Prior day close]])))),IF($K100&gt;=$G100,($K100-$L100)/($K100-Table13[[#This Row],[PM LO]]),(IF($I100&lt;=$L100,($G100-$I100)/($G100-Table13[[#This Row],[PM LO]]),(Table13[[#This Row],[PM Hi]]-Table13[[#This Row],[Lowest lo from open to squeeze]])/(Table13[[#This Row],[PM Hi]]-Table13[[#This Row],[PM LO]])))))</f>
        <v>0.49134199134199136</v>
      </c>
      <c r="AQ100" s="18">
        <f>IF(K100&gt;=G100,(K100-L100)/(K100-E100),(IF(I100&lt;=L100,(G100-I100)/(G100-E100),(Table13[[#This Row],[PM Hi]]-Table13[[#This Row],[Lowest lo from open to squeeze]])/(Table13[[#This Row],[PM Hi]]-Table13[[#This Row],[Prior day close]]))))</f>
        <v>0.58354755784061696</v>
      </c>
      <c r="AR100" s="17">
        <f>390+Table13[[#This Row],[Time until ideal entry point (mins) from open]]</f>
        <v>392</v>
      </c>
      <c r="AS100" s="51">
        <f>(Table13[[#This Row],[Time until ideal entry + 390 (6:30)]]+Table13[[#This Row],[Duration of frontside (mins)]])/1440</f>
        <v>0.43888888888888888</v>
      </c>
    </row>
    <row r="101" spans="1:45" x14ac:dyDescent="0.25">
      <c r="A101" s="24" t="s">
        <v>83</v>
      </c>
      <c r="B101" s="11">
        <v>44194</v>
      </c>
      <c r="C101" s="47" t="s">
        <v>78</v>
      </c>
      <c r="D101" t="s">
        <v>193</v>
      </c>
      <c r="E101" s="12">
        <v>1.07</v>
      </c>
      <c r="F101" s="13">
        <v>1.1499999999999999</v>
      </c>
      <c r="G101" s="12">
        <v>2.78</v>
      </c>
      <c r="H101" s="12">
        <v>1.1499999999999999</v>
      </c>
      <c r="I101" s="12">
        <v>1.55</v>
      </c>
      <c r="J101" s="12">
        <v>2.14</v>
      </c>
      <c r="K101" s="12">
        <v>2.2999999999999998</v>
      </c>
      <c r="L101" s="12">
        <v>2.12</v>
      </c>
      <c r="M101" s="12">
        <v>2.84</v>
      </c>
      <c r="N101" s="12">
        <v>2.74</v>
      </c>
      <c r="O101" s="13">
        <v>231331800</v>
      </c>
      <c r="P101" s="12">
        <v>447627033</v>
      </c>
      <c r="Q101" s="37">
        <v>25.15</v>
      </c>
      <c r="R101">
        <v>10.56</v>
      </c>
      <c r="S101" s="37" t="s">
        <v>155</v>
      </c>
      <c r="T101" s="37">
        <v>26680956</v>
      </c>
      <c r="U101" s="37" t="s">
        <v>194</v>
      </c>
      <c r="V101" s="37" t="s">
        <v>44</v>
      </c>
      <c r="W101" s="38">
        <v>1</v>
      </c>
      <c r="X101">
        <v>6</v>
      </c>
      <c r="Y101" s="39">
        <v>2.2200000000000002</v>
      </c>
      <c r="Z101">
        <v>14</v>
      </c>
      <c r="AA101" s="40">
        <f>Table13[[#This Row],[Time until ideal entry + 390 (6:30)]]/(1440)</f>
        <v>0.27500000000000002</v>
      </c>
      <c r="AB101" s="18">
        <f t="shared" si="9"/>
        <v>1.5981308411214949</v>
      </c>
      <c r="AC101" s="18">
        <f>IF(Table13[[#This Row],[HOD AFTER PM HI]]&gt;=Table13[[#This Row],[PM Hi]],((Table13[[#This Row],[HOD AFTER PM HI]]-Table13[[#This Row],[Prior day close]])/Table13[[#This Row],[Prior day close]]),Table13[[#This Row],[Prior Close to PM Hi %]])</f>
        <v>1.6542056074766351</v>
      </c>
      <c r="AD101" s="42">
        <f>(Table13[[#This Row],[Price at hi of squeeze]]-Table13[[#This Row],[MKT Open Price]])/Table13[[#This Row],[MKT Open Price]]</f>
        <v>0.28037383177570097</v>
      </c>
      <c r="AE101" s="18">
        <f>(Table13[[#This Row],[Price at hi of squeeze]]-Table13[[#This Row],[PM Hi]])/Table13[[#This Row],[PM Hi]]</f>
        <v>-1.4388489208632947E-2</v>
      </c>
      <c r="AF101" s="18" t="e">
        <f>(#REF!-L101)/L101</f>
        <v>#REF!</v>
      </c>
      <c r="AG101" s="20">
        <f>Table13[[#This Row],[PM VOL]]/1000000/Table13[[#This Row],[FLOAT(M)]]</f>
        <v>2.5266056818181815</v>
      </c>
      <c r="AH101" s="23">
        <f>(Table13[[#This Row],[Volume]]/1000000)/Table13[[#This Row],[FLOAT(M)]]</f>
        <v>21.906420454545451</v>
      </c>
      <c r="AJ101" s="18">
        <f>(Table13[[#This Row],[PM Hi]]-Table13[[#This Row],[MKT Open Price]])/(Table13[[#This Row],[PM Hi]])</f>
        <v>0.2302158273381294</v>
      </c>
      <c r="AK101" s="16">
        <f>IF(Table13[[#This Row],[PM LO]]&gt;Table13[[#This Row],[Prior day close]],(Table13[[#This Row],[PM Hi]]-Table13[[#This Row],[MKT Open Price]])/(Table13[[#This Row],[PM Hi]]-Table13[[#This Row],[Prior day close]]),(Table13[[#This Row],[PM Hi]]-Table13[[#This Row],[MKT Open Price]])/(Table13[[#This Row],[PM Hi]]-Table13[[#This Row],[PM LO]]))</f>
        <v>0.37426900584795308</v>
      </c>
      <c r="AL101" s="18">
        <f>IF(Table13[[#This Row],[Prior day close]]&lt;Table13[[#This Row],[PM LO]],(J101-L101)/(J101-Table13[[#This Row],[Prior day close]]),(J101-L101)/(J101-Table13[[#This Row],[PM LO]]))</f>
        <v>1.8691588785046745E-2</v>
      </c>
      <c r="AM101" s="18">
        <f>Table13[[#This Row],[Spike % on open before drop]]+AN101</f>
        <v>9.3457943925233725E-3</v>
      </c>
      <c r="AN101" s="16">
        <f t="shared" si="10"/>
        <v>9.3457943925233725E-3</v>
      </c>
      <c r="AO101" s="18">
        <f>IF($K101&gt;=$G101,($K101-$L101)/($K101),(IF($I101&lt;=$L101,($G101-$I101)/($G101),(Table13[[#This Row],[PM Hi]]-Table13[[#This Row],[Lowest lo from open to squeeze]])/(Table13[[#This Row],[PM Hi]]))))</f>
        <v>0.4424460431654676</v>
      </c>
      <c r="AP101" s="18">
        <f>IF(Table13[[#This Row],[Prior day close]]&lt;=Table13[[#This Row],[PM LO]],IF($K101&gt;=$G101,($K101-$L101)/($K101-Table13[[#This Row],[Prior day close]]),(IF($I101&lt;=$L101,($G101-$I101)/($G101-Table13[[#This Row],[Prior day close]]),(Table13[[#This Row],[PM Hi]]-Table13[[#This Row],[Lowest lo from open to squeeze]])/(Table13[[#This Row],[PM Hi]]-Table13[[#This Row],[Prior day close]])))),IF($K101&gt;=$G101,($K101-$L101)/($K101-Table13[[#This Row],[PM LO]]),(IF($I101&lt;=$L101,($G101-$I101)/($G101-Table13[[#This Row],[PM LO]]),(Table13[[#This Row],[PM Hi]]-Table13[[#This Row],[Lowest lo from open to squeeze]])/(Table13[[#This Row],[PM Hi]]-Table13[[#This Row],[PM LO]])))))</f>
        <v>0.7192982456140351</v>
      </c>
      <c r="AQ101" s="18">
        <f>IF(K101&gt;=G101,(K101-L101)/(K101-E101),(IF(I101&lt;=L101,(G101-I101)/(G101-E101),(Table13[[#This Row],[PM Hi]]-Table13[[#This Row],[Lowest lo from open to squeeze]])/(Table13[[#This Row],[PM Hi]]-Table13[[#This Row],[Prior day close]]))))</f>
        <v>0.7192982456140351</v>
      </c>
      <c r="AR101" s="17">
        <f>390+Table13[[#This Row],[Time until ideal entry point (mins) from open]]</f>
        <v>396</v>
      </c>
      <c r="AS101" s="51">
        <f>(Table13[[#This Row],[Time until ideal entry + 390 (6:30)]]+Table13[[#This Row],[Duration of frontside (mins)]])/1440</f>
        <v>0.28472222222222221</v>
      </c>
    </row>
    <row r="102" spans="1:45" x14ac:dyDescent="0.25">
      <c r="A102" s="24" t="s">
        <v>173</v>
      </c>
      <c r="B102" s="11">
        <v>44195</v>
      </c>
      <c r="C102" s="47" t="s">
        <v>78</v>
      </c>
      <c r="D102" t="s">
        <v>195</v>
      </c>
      <c r="E102" s="12">
        <v>1.36</v>
      </c>
      <c r="F102" s="13">
        <v>1.4</v>
      </c>
      <c r="G102" s="12">
        <v>2.38</v>
      </c>
      <c r="H102" s="12">
        <v>1.37</v>
      </c>
      <c r="I102" s="12">
        <v>1.37</v>
      </c>
      <c r="J102" s="12">
        <v>1.92</v>
      </c>
      <c r="K102" s="12">
        <v>2.27</v>
      </c>
      <c r="L102" s="12">
        <v>1.84</v>
      </c>
      <c r="M102" s="12">
        <v>5.56</v>
      </c>
      <c r="N102" s="12">
        <v>5.56</v>
      </c>
      <c r="O102" s="13">
        <v>119470640</v>
      </c>
      <c r="P102" s="12">
        <v>348854268</v>
      </c>
      <c r="Q102" s="37">
        <v>18.3</v>
      </c>
      <c r="R102">
        <v>5.74</v>
      </c>
      <c r="S102" s="37" t="s">
        <v>132</v>
      </c>
      <c r="T102" s="37">
        <v>8188511</v>
      </c>
      <c r="U102" s="37" t="s">
        <v>42</v>
      </c>
      <c r="V102" s="37" t="s">
        <v>44</v>
      </c>
      <c r="W102" s="38">
        <v>14</v>
      </c>
      <c r="X102">
        <v>14</v>
      </c>
      <c r="Y102" s="39">
        <v>1.88</v>
      </c>
      <c r="Z102">
        <v>38</v>
      </c>
      <c r="AA102" s="40">
        <f>Table13[[#This Row],[Time until ideal entry + 390 (6:30)]]/(1440)</f>
        <v>0.28055555555555556</v>
      </c>
      <c r="AB102" s="18">
        <f t="shared" si="9"/>
        <v>0.74999999999999978</v>
      </c>
      <c r="AC102" s="18">
        <f>IF(Table13[[#This Row],[HOD AFTER PM HI]]&gt;=Table13[[#This Row],[PM Hi]],((Table13[[#This Row],[HOD AFTER PM HI]]-Table13[[#This Row],[Prior day close]])/Table13[[#This Row],[Prior day close]]),Table13[[#This Row],[Prior Close to PM Hi %]])</f>
        <v>3.0882352941176463</v>
      </c>
      <c r="AD102" s="42">
        <f>(Table13[[#This Row],[Price at hi of squeeze]]-Table13[[#This Row],[MKT Open Price]])/Table13[[#This Row],[MKT Open Price]]</f>
        <v>1.8958333333333333</v>
      </c>
      <c r="AE102" s="18">
        <f>(Table13[[#This Row],[Price at hi of squeeze]]-Table13[[#This Row],[PM Hi]])/Table13[[#This Row],[PM Hi]]</f>
        <v>1.3361344537815125</v>
      </c>
      <c r="AF102" s="18">
        <f>(N102-L102)/L102</f>
        <v>2.0217391304347823</v>
      </c>
      <c r="AG102" s="20">
        <f>Table13[[#This Row],[PM VOL]]/1000000/Table13[[#This Row],[FLOAT(M)]]</f>
        <v>1.4265698606271777</v>
      </c>
      <c r="AH102" s="23">
        <f>(Table13[[#This Row],[Volume]]/1000000)/Table13[[#This Row],[FLOAT(M)]]</f>
        <v>20.813700348432054</v>
      </c>
      <c r="AJ102" s="18">
        <f>(Table13[[#This Row],[PM Hi]]-Table13[[#This Row],[MKT Open Price]])/(Table13[[#This Row],[PM Hi]])</f>
        <v>0.19327731092436976</v>
      </c>
      <c r="AK102" s="16">
        <f>IF(Table13[[#This Row],[PM LO]]&gt;Table13[[#This Row],[Prior day close]],(Table13[[#This Row],[PM Hi]]-Table13[[#This Row],[MKT Open Price]])/(Table13[[#This Row],[PM Hi]]-Table13[[#This Row],[Prior day close]]),(Table13[[#This Row],[PM Hi]]-Table13[[#This Row],[MKT Open Price]])/(Table13[[#This Row],[PM Hi]]-Table13[[#This Row],[PM LO]]))</f>
        <v>0.45098039215686281</v>
      </c>
      <c r="AL102" s="18">
        <f>IF(Table13[[#This Row],[Prior day close]]&lt;Table13[[#This Row],[PM LO]],(J102-L102)/(J102-Table13[[#This Row],[Prior day close]]),(J102-L102)/(J102-Table13[[#This Row],[PM LO]]))</f>
        <v>0.14285714285714263</v>
      </c>
      <c r="AM102" s="18">
        <f>Table13[[#This Row],[Spike % on open before drop]]+AN102</f>
        <v>4.1666666666666588E-2</v>
      </c>
      <c r="AN102" s="16">
        <f t="shared" si="10"/>
        <v>4.1666666666666588E-2</v>
      </c>
      <c r="AO102" s="18">
        <f>IF($K102&gt;=$G102,($K102-$L102)/($K102),(IF($I102&lt;=$L102,($G102-$I102)/($G102),(Table13[[#This Row],[PM Hi]]-Table13[[#This Row],[Lowest lo from open to squeeze]])/(Table13[[#This Row],[PM Hi]]))))</f>
        <v>0.4243697478991596</v>
      </c>
      <c r="AP102" s="18">
        <f>IF(Table13[[#This Row],[Prior day close]]&lt;=Table13[[#This Row],[PM LO]],IF($K102&gt;=$G102,($K102-$L102)/($K102-Table13[[#This Row],[Prior day close]]),(IF($I102&lt;=$L102,($G102-$I102)/($G102-Table13[[#This Row],[Prior day close]]),(Table13[[#This Row],[PM Hi]]-Table13[[#This Row],[Lowest lo from open to squeeze]])/(Table13[[#This Row],[PM Hi]]-Table13[[#This Row],[Prior day close]])))),IF($K102&gt;=$G102,($K102-$L102)/($K102-Table13[[#This Row],[PM LO]]),(IF($I102&lt;=$L102,($G102-$I102)/($G102-Table13[[#This Row],[PM LO]]),(Table13[[#This Row],[PM Hi]]-Table13[[#This Row],[Lowest lo from open to squeeze]])/(Table13[[#This Row],[PM Hi]]-Table13[[#This Row],[PM LO]])))))</f>
        <v>0.99019607843137258</v>
      </c>
      <c r="AQ102" s="18">
        <f>IF(K102&gt;=G102,(K102-L102)/(K102-E102),(IF(I102&lt;=L102,(G102-I102)/(G102-E102),(Table13[[#This Row],[PM Hi]]-Table13[[#This Row],[Lowest lo from open to squeeze]])/(Table13[[#This Row],[PM Hi]]-Table13[[#This Row],[Prior day close]]))))</f>
        <v>0.99019607843137258</v>
      </c>
      <c r="AR102" s="17">
        <f>390+Table13[[#This Row],[Time until ideal entry point (mins) from open]]</f>
        <v>404</v>
      </c>
      <c r="AS102" s="51">
        <f>(Table13[[#This Row],[Time until ideal entry + 390 (6:30)]]+Table13[[#This Row],[Duration of frontside (mins)]])/1440</f>
        <v>0.30694444444444446</v>
      </c>
    </row>
    <row r="103" spans="1:45" x14ac:dyDescent="0.25">
      <c r="A103" s="24" t="s">
        <v>174</v>
      </c>
      <c r="B103" s="11">
        <v>44200</v>
      </c>
      <c r="C103" s="47" t="s">
        <v>78</v>
      </c>
      <c r="D103" t="s">
        <v>196</v>
      </c>
      <c r="E103" s="12">
        <v>2.16</v>
      </c>
      <c r="F103" s="13">
        <v>2.1</v>
      </c>
      <c r="G103" s="12">
        <v>3.88</v>
      </c>
      <c r="H103" s="12">
        <v>2.06</v>
      </c>
      <c r="I103" s="12">
        <v>2.66</v>
      </c>
      <c r="J103" s="12">
        <v>2.9</v>
      </c>
      <c r="K103" s="12">
        <v>2.9</v>
      </c>
      <c r="L103" s="12">
        <v>2.87</v>
      </c>
      <c r="M103" s="12">
        <v>3.85</v>
      </c>
      <c r="N103" s="12">
        <v>3.74</v>
      </c>
      <c r="O103" s="13">
        <v>37742608</v>
      </c>
      <c r="P103" s="12">
        <v>90204833</v>
      </c>
      <c r="Q103" s="37">
        <v>20.7</v>
      </c>
      <c r="R103">
        <v>1.93</v>
      </c>
      <c r="S103" s="37" t="s">
        <v>132</v>
      </c>
      <c r="T103" s="37">
        <v>3195364</v>
      </c>
      <c r="U103" s="37" t="s">
        <v>42</v>
      </c>
      <c r="V103" s="37" t="s">
        <v>44</v>
      </c>
      <c r="W103" s="38">
        <v>1</v>
      </c>
      <c r="X103">
        <v>3</v>
      </c>
      <c r="Y103" s="39">
        <v>3.06</v>
      </c>
      <c r="Z103">
        <v>10</v>
      </c>
      <c r="AA103" s="40">
        <f>Table13[[#This Row],[Time until ideal entry + 390 (6:30)]]/(1440)</f>
        <v>0.27291666666666664</v>
      </c>
      <c r="AB103" s="18">
        <f t="shared" si="9"/>
        <v>0.79629629629629617</v>
      </c>
      <c r="AC103" s="18">
        <f>IF(Table13[[#This Row],[HOD AFTER PM HI]]&gt;=Table13[[#This Row],[PM Hi]],((Table13[[#This Row],[HOD AFTER PM HI]]-Table13[[#This Row],[Prior day close]])/Table13[[#This Row],[Prior day close]]),Table13[[#This Row],[Prior Close to PM Hi %]])</f>
        <v>0.79629629629629617</v>
      </c>
      <c r="AD103" s="42">
        <f>(Table13[[#This Row],[Price at hi of squeeze]]-Table13[[#This Row],[MKT Open Price]])/Table13[[#This Row],[MKT Open Price]]</f>
        <v>0.28965517241379324</v>
      </c>
      <c r="AE103" s="18">
        <f>(Table13[[#This Row],[Price at hi of squeeze]]-Table13[[#This Row],[PM Hi]])/Table13[[#This Row],[PM Hi]]</f>
        <v>-3.6082474226804044E-2</v>
      </c>
      <c r="AF103" s="18"/>
      <c r="AG103" s="20">
        <f>Table13[[#This Row],[PM VOL]]/1000000/Table13[[#This Row],[FLOAT(M)]]</f>
        <v>1.6556290155440416</v>
      </c>
      <c r="AH103" s="23">
        <f>(Table13[[#This Row],[Volume]]/1000000)/Table13[[#This Row],[FLOAT(M)]]</f>
        <v>19.555755440414508</v>
      </c>
      <c r="AJ103" s="18">
        <f>(Table13[[#This Row],[PM Hi]]-Table13[[#This Row],[MKT Open Price]])/(Table13[[#This Row],[PM Hi]])</f>
        <v>0.25257731958762886</v>
      </c>
      <c r="AK103" s="16">
        <f>IF(Table13[[#This Row],[PM LO]]&gt;Table13[[#This Row],[Prior day close]],(Table13[[#This Row],[PM Hi]]-Table13[[#This Row],[MKT Open Price]])/(Table13[[#This Row],[PM Hi]]-Table13[[#This Row],[Prior day close]]),(Table13[[#This Row],[PM Hi]]-Table13[[#This Row],[MKT Open Price]])/(Table13[[#This Row],[PM Hi]]-Table13[[#This Row],[PM LO]]))</f>
        <v>0.53846153846153855</v>
      </c>
      <c r="AL103" s="18">
        <f>IF(Table13[[#This Row],[Prior day close]]&lt;Table13[[#This Row],[PM LO]],(J103-L103)/(J103-Table13[[#This Row],[Prior day close]]),(J103-L103)/(J103-Table13[[#This Row],[PM LO]]))</f>
        <v>3.571428571428549E-2</v>
      </c>
      <c r="AM103" s="18">
        <f>Table13[[#This Row],[Spike % on open before drop]]+AN103</f>
        <v>1.0344827586206829E-2</v>
      </c>
      <c r="AN103" s="16">
        <f t="shared" si="10"/>
        <v>1.0344827586206829E-2</v>
      </c>
      <c r="AO103" s="16"/>
      <c r="AP103" s="18">
        <f>IF(Table13[[#This Row],[Prior day close]]&lt;=Table13[[#This Row],[PM LO]],IF($K103&gt;=$G103,($K103-$L103)/($K103-Table13[[#This Row],[Prior day close]]),(IF($I103&lt;=$L103,($G103-$I103)/($G103-Table13[[#This Row],[Prior day close]]),(Table13[[#This Row],[PM Hi]]-Table13[[#This Row],[Lowest lo from open to squeeze]])/(Table13[[#This Row],[PM Hi]]-Table13[[#This Row],[Prior day close]])))),IF($K103&gt;=$G103,($K103-$L103)/($K103-Table13[[#This Row],[PM LO]]),(IF($I103&lt;=$L103,($G103-$I103)/($G103-Table13[[#This Row],[PM LO]]),(Table13[[#This Row],[PM Hi]]-Table13[[#This Row],[Lowest lo from open to squeeze]])/(Table13[[#This Row],[PM Hi]]-Table13[[#This Row],[PM LO]])))))</f>
        <v>0.67032967032967028</v>
      </c>
      <c r="AQ103" s="18"/>
      <c r="AR103" s="17">
        <f>390+Table13[[#This Row],[Time until ideal entry point (mins) from open]]</f>
        <v>393</v>
      </c>
      <c r="AS103" s="51">
        <f>(Table13[[#This Row],[Time until ideal entry + 390 (6:30)]]+Table13[[#This Row],[Duration of frontside (mins)]])/1440</f>
        <v>0.27986111111111112</v>
      </c>
    </row>
    <row r="104" spans="1:45" x14ac:dyDescent="0.25">
      <c r="A104" s="24" t="s">
        <v>175</v>
      </c>
      <c r="B104" s="47">
        <v>44201</v>
      </c>
      <c r="C104" s="47" t="s">
        <v>78</v>
      </c>
      <c r="D104" s="46" t="s">
        <v>197</v>
      </c>
      <c r="E104" s="12">
        <v>4.18</v>
      </c>
      <c r="F104" s="13">
        <v>4.1399999999999997</v>
      </c>
      <c r="G104" s="12">
        <v>6.59</v>
      </c>
      <c r="H104" s="12">
        <v>4.05</v>
      </c>
      <c r="I104" s="12">
        <v>5.26</v>
      </c>
      <c r="J104" s="12">
        <v>5.5</v>
      </c>
      <c r="K104" s="12">
        <v>5.5</v>
      </c>
      <c r="L104" s="12">
        <v>5.25</v>
      </c>
      <c r="M104" s="12">
        <v>6.74</v>
      </c>
      <c r="N104" s="12">
        <v>6.74</v>
      </c>
      <c r="O104" s="13">
        <v>18393589</v>
      </c>
      <c r="P104" s="12">
        <v>91048265</v>
      </c>
      <c r="Q104" s="37">
        <v>19.850000000000001</v>
      </c>
      <c r="R104" s="46">
        <v>4.45</v>
      </c>
      <c r="S104" s="37" t="s">
        <v>132</v>
      </c>
      <c r="T104" s="37">
        <v>2871168</v>
      </c>
      <c r="U104" s="37" t="s">
        <v>42</v>
      </c>
      <c r="V104" s="37" t="s">
        <v>44</v>
      </c>
      <c r="W104" s="38">
        <v>2</v>
      </c>
      <c r="X104" s="46">
        <v>4</v>
      </c>
      <c r="Y104" s="39">
        <v>5.4</v>
      </c>
      <c r="Z104" s="46">
        <v>65</v>
      </c>
      <c r="AA104" s="40">
        <f>Table13[[#This Row],[Time until ideal entry + 390 (6:30)]]/(1440)</f>
        <v>0.27361111111111114</v>
      </c>
      <c r="AB104" s="18">
        <f t="shared" si="9"/>
        <v>0.57655502392344504</v>
      </c>
      <c r="AC104" s="18">
        <f>IF(Table13[[#This Row],[HOD AFTER PM HI]]&gt;=Table13[[#This Row],[PM Hi]],((Table13[[#This Row],[HOD AFTER PM HI]]-Table13[[#This Row],[Prior day close]])/Table13[[#This Row],[Prior day close]]),Table13[[#This Row],[Prior Close to PM Hi %]])</f>
        <v>0.61244019138756001</v>
      </c>
      <c r="AD104" s="42">
        <f>(Table13[[#This Row],[Price at hi of squeeze]]-Table13[[#This Row],[MKT Open Price]])/Table13[[#This Row],[MKT Open Price]]</f>
        <v>0.22545454545454549</v>
      </c>
      <c r="AE104" s="18">
        <f>(Table13[[#This Row],[Price at hi of squeeze]]-Table13[[#This Row],[PM Hi]])/Table13[[#This Row],[PM Hi]]</f>
        <v>2.2761760242792164E-2</v>
      </c>
      <c r="AF104" s="18"/>
      <c r="AG104" s="20">
        <f>Table13[[#This Row],[PM VOL]]/1000000/Table13[[#This Row],[FLOAT(M)]]</f>
        <v>0.64520629213483138</v>
      </c>
      <c r="AH104" s="23">
        <f>(Table13[[#This Row],[Volume]]/1000000)/Table13[[#This Row],[FLOAT(M)]]</f>
        <v>4.1333907865168538</v>
      </c>
      <c r="AJ104" s="18">
        <f>(Table13[[#This Row],[PM Hi]]-Table13[[#This Row],[MKT Open Price]])/(Table13[[#This Row],[PM Hi]])</f>
        <v>0.16540212443095598</v>
      </c>
      <c r="AK104" s="16">
        <f>IF(Table13[[#This Row],[PM LO]]&gt;Table13[[#This Row],[Prior day close]],(Table13[[#This Row],[PM Hi]]-Table13[[#This Row],[MKT Open Price]])/(Table13[[#This Row],[PM Hi]]-Table13[[#This Row],[Prior day close]]),(Table13[[#This Row],[PM Hi]]-Table13[[#This Row],[MKT Open Price]])/(Table13[[#This Row],[PM Hi]]-Table13[[#This Row],[PM LO]]))</f>
        <v>0.42913385826771649</v>
      </c>
      <c r="AL104" s="48">
        <f>IF(Table13[[#This Row],[Prior day close]]&lt;Table13[[#This Row],[PM LO]],(J104-L104)/(J104-Table13[[#This Row],[Prior day close]]),(J104-L104)/(J104-Table13[[#This Row],[PM LO]]))</f>
        <v>0.17241379310344826</v>
      </c>
      <c r="AM104" s="48">
        <f>Table13[[#This Row],[Spike % on open before drop]]+AN104</f>
        <v>4.5454545454545456E-2</v>
      </c>
      <c r="AN104" s="16">
        <f t="shared" si="10"/>
        <v>4.5454545454545456E-2</v>
      </c>
      <c r="AO104" s="16"/>
      <c r="AP104" s="48">
        <f>IF(Table13[[#This Row],[Prior day close]]&lt;=Table13[[#This Row],[PM LO]],IF($K104&gt;=$G104,($K104-$L104)/($K104-Table13[[#This Row],[Prior day close]]),(IF($I104&lt;=$L104,($G104-$I104)/($G104-Table13[[#This Row],[Prior day close]]),(Table13[[#This Row],[PM Hi]]-Table13[[#This Row],[Lowest lo from open to squeeze]])/(Table13[[#This Row],[PM Hi]]-Table13[[#This Row],[Prior day close]])))),IF($K104&gt;=$G104,($K104-$L104)/($K104-Table13[[#This Row],[PM LO]]),(IF($I104&lt;=$L104,($G104-$I104)/($G104-Table13[[#This Row],[PM LO]]),(Table13[[#This Row],[PM Hi]]-Table13[[#This Row],[Lowest lo from open to squeeze]])/(Table13[[#This Row],[PM Hi]]-Table13[[#This Row],[PM LO]])))))</f>
        <v>0.52755905511811019</v>
      </c>
      <c r="AQ104" s="18"/>
      <c r="AR104" s="17">
        <f>390+Table13[[#This Row],[Time until ideal entry point (mins) from open]]</f>
        <v>394</v>
      </c>
      <c r="AS104" s="51">
        <f>(Table13[[#This Row],[Time until ideal entry + 390 (6:30)]]+Table13[[#This Row],[Duration of frontside (mins)]])/1440</f>
        <v>0.31874999999999998</v>
      </c>
    </row>
    <row r="105" spans="1:45" x14ac:dyDescent="0.25">
      <c r="A105" s="24" t="s">
        <v>176</v>
      </c>
      <c r="B105" s="47">
        <v>44202</v>
      </c>
      <c r="C105" s="47" t="s">
        <v>78</v>
      </c>
      <c r="D105" s="46" t="s">
        <v>198</v>
      </c>
      <c r="E105" s="12">
        <v>0.87</v>
      </c>
      <c r="F105" s="13">
        <v>0.87</v>
      </c>
      <c r="G105" s="12">
        <v>1.6</v>
      </c>
      <c r="H105" s="12">
        <v>0.84</v>
      </c>
      <c r="I105" s="12">
        <v>1.35</v>
      </c>
      <c r="J105" s="12">
        <v>1.45</v>
      </c>
      <c r="K105" s="12">
        <v>1.45</v>
      </c>
      <c r="L105" s="12">
        <v>1.32</v>
      </c>
      <c r="M105" s="12">
        <v>1.75</v>
      </c>
      <c r="N105" s="12">
        <v>1.75</v>
      </c>
      <c r="O105" s="13">
        <v>188372580</v>
      </c>
      <c r="P105" s="12">
        <v>195907483</v>
      </c>
      <c r="Q105" s="37">
        <v>36</v>
      </c>
      <c r="R105" s="46">
        <v>35</v>
      </c>
      <c r="S105" s="37" t="s">
        <v>132</v>
      </c>
      <c r="T105" s="37">
        <v>43836888</v>
      </c>
      <c r="U105" s="37" t="s">
        <v>42</v>
      </c>
      <c r="V105" s="37" t="s">
        <v>44</v>
      </c>
      <c r="W105" s="38">
        <v>2</v>
      </c>
      <c r="X105" s="46">
        <v>2</v>
      </c>
      <c r="Y105" s="39">
        <v>1.34</v>
      </c>
      <c r="Z105" s="46">
        <v>14</v>
      </c>
      <c r="AA105" s="40">
        <f>Table13[[#This Row],[Time until ideal entry + 390 (6:30)]]/(1440)</f>
        <v>0.2722222222222222</v>
      </c>
      <c r="AB105" s="18">
        <f t="shared" si="9"/>
        <v>0.83908045977011503</v>
      </c>
      <c r="AC105" s="18">
        <f>IF(Table13[[#This Row],[HOD AFTER PM HI]]&gt;=Table13[[#This Row],[PM Hi]],((Table13[[#This Row],[HOD AFTER PM HI]]-Table13[[#This Row],[Prior day close]])/Table13[[#This Row],[Prior day close]]),Table13[[#This Row],[Prior Close to PM Hi %]])</f>
        <v>1.0114942528735633</v>
      </c>
      <c r="AD105" s="42">
        <f>(Table13[[#This Row],[Price at hi of squeeze]]-Table13[[#This Row],[MKT Open Price]])/Table13[[#This Row],[MKT Open Price]]</f>
        <v>0.20689655172413796</v>
      </c>
      <c r="AE105" s="18">
        <f>(Table13[[#This Row],[Price at hi of squeeze]]-Table13[[#This Row],[PM Hi]])/Table13[[#This Row],[PM Hi]]</f>
        <v>9.3749999999999944E-2</v>
      </c>
      <c r="AF105" s="18"/>
      <c r="AG105" s="20">
        <f>Table13[[#This Row],[PM VOL]]/1000000/Table13[[#This Row],[FLOAT(M)]]</f>
        <v>1.2524825142857143</v>
      </c>
      <c r="AH105" s="23">
        <f>(Table13[[#This Row],[Volume]]/1000000)/Table13[[#This Row],[FLOAT(M)]]</f>
        <v>5.3820737142857142</v>
      </c>
      <c r="AJ105" s="18">
        <f>(Table13[[#This Row],[PM Hi]]-Table13[[#This Row],[MKT Open Price]])/(Table13[[#This Row],[PM Hi]])</f>
        <v>9.3750000000000083E-2</v>
      </c>
      <c r="AK105" s="16">
        <f>IF(Table13[[#This Row],[PM LO]]&gt;Table13[[#This Row],[Prior day close]],(Table13[[#This Row],[PM Hi]]-Table13[[#This Row],[MKT Open Price]])/(Table13[[#This Row],[PM Hi]]-Table13[[#This Row],[Prior day close]]),(Table13[[#This Row],[PM Hi]]-Table13[[#This Row],[MKT Open Price]])/(Table13[[#This Row],[PM Hi]]-Table13[[#This Row],[PM LO]]))</f>
        <v>0.19736842105263172</v>
      </c>
      <c r="AL105" s="48">
        <f>IF(Table13[[#This Row],[Prior day close]]&lt;Table13[[#This Row],[PM LO]],(J105-L105)/(J105-Table13[[#This Row],[Prior day close]]),(J105-L105)/(J105-Table13[[#This Row],[PM LO]]))</f>
        <v>0.21311475409836048</v>
      </c>
      <c r="AM105" s="48">
        <f>Table13[[#This Row],[Spike % on open before drop]]+AN105</f>
        <v>8.9655172413793033E-2</v>
      </c>
      <c r="AN105" s="16">
        <f t="shared" si="10"/>
        <v>8.9655172413793033E-2</v>
      </c>
      <c r="AO105" s="16"/>
      <c r="AP105" s="48">
        <f>IF(Table13[[#This Row],[Prior day close]]&lt;=Table13[[#This Row],[PM LO]],IF($K105&gt;=$G105,($K105-$L105)/($K105-Table13[[#This Row],[Prior day close]]),(IF($I105&lt;=$L105,($G105-$I105)/($G105-Table13[[#This Row],[Prior day close]]),(Table13[[#This Row],[PM Hi]]-Table13[[#This Row],[Lowest lo from open to squeeze]])/(Table13[[#This Row],[PM Hi]]-Table13[[#This Row],[Prior day close]])))),IF($K105&gt;=$G105,($K105-$L105)/($K105-Table13[[#This Row],[PM LO]]),(IF($I105&lt;=$L105,($G105-$I105)/($G105-Table13[[#This Row],[PM LO]]),(Table13[[#This Row],[PM Hi]]-Table13[[#This Row],[Lowest lo from open to squeeze]])/(Table13[[#This Row],[PM Hi]]-Table13[[#This Row],[PM LO]])))))</f>
        <v>0.36842105263157893</v>
      </c>
      <c r="AQ105" s="18"/>
      <c r="AR105" s="17">
        <f>390+Table13[[#This Row],[Time until ideal entry point (mins) from open]]</f>
        <v>392</v>
      </c>
      <c r="AS105" s="51">
        <f>(Table13[[#This Row],[Time until ideal entry + 390 (6:30)]]+Table13[[#This Row],[Duration of frontside (mins)]])/1440</f>
        <v>0.28194444444444444</v>
      </c>
    </row>
    <row r="106" spans="1:45" x14ac:dyDescent="0.25">
      <c r="A106" s="25" t="s">
        <v>180</v>
      </c>
      <c r="B106" s="11">
        <v>44207</v>
      </c>
      <c r="C106" s="11" t="s">
        <v>78</v>
      </c>
      <c r="D106" t="s">
        <v>199</v>
      </c>
      <c r="E106" s="17">
        <v>1.81</v>
      </c>
      <c r="F106">
        <v>1.81</v>
      </c>
      <c r="G106" s="12">
        <v>2.76</v>
      </c>
      <c r="H106">
        <v>1.81</v>
      </c>
      <c r="I106" s="12">
        <v>2.09</v>
      </c>
      <c r="J106" s="12">
        <v>2.13</v>
      </c>
      <c r="K106" s="12">
        <v>2.13</v>
      </c>
      <c r="L106" s="12">
        <v>2.1</v>
      </c>
      <c r="M106" s="12">
        <v>2.54</v>
      </c>
      <c r="N106" s="12">
        <v>2.54</v>
      </c>
      <c r="O106" s="12">
        <v>28376611</v>
      </c>
      <c r="P106" s="12">
        <v>75481785</v>
      </c>
      <c r="Q106" s="12">
        <v>46.41</v>
      </c>
      <c r="R106" s="46">
        <v>9.23</v>
      </c>
      <c r="S106" s="12" t="s">
        <v>187</v>
      </c>
      <c r="T106" s="37">
        <v>7525982</v>
      </c>
      <c r="U106" s="18" t="s">
        <v>42</v>
      </c>
      <c r="V106" s="13" t="s">
        <v>44</v>
      </c>
      <c r="W106" s="38">
        <v>1</v>
      </c>
      <c r="X106" s="46">
        <v>4</v>
      </c>
      <c r="Y106" s="39">
        <v>2.17</v>
      </c>
      <c r="Z106" s="46">
        <v>19</v>
      </c>
      <c r="AB106" s="18">
        <f t="shared" si="9"/>
        <v>0.52486187845303856</v>
      </c>
      <c r="AN106" s="16">
        <f t="shared" si="10"/>
        <v>1.408450704225343E-2</v>
      </c>
    </row>
    <row r="107" spans="1:45" hidden="1" x14ac:dyDescent="0.25">
      <c r="A107" s="25" t="s">
        <v>185</v>
      </c>
      <c r="B107" s="11">
        <v>44209</v>
      </c>
      <c r="C107" s="11" t="s">
        <v>178</v>
      </c>
      <c r="K107" s="12"/>
      <c r="L107" s="12"/>
      <c r="W107" s="50"/>
      <c r="AB107" s="18" t="e">
        <f t="shared" si="9"/>
        <v>#DIV/0!</v>
      </c>
      <c r="AN107" s="16" t="e">
        <f t="shared" si="10"/>
        <v>#DIV/0!</v>
      </c>
    </row>
    <row r="108" spans="1:45" hidden="1" x14ac:dyDescent="0.25">
      <c r="A108" s="25" t="s">
        <v>191</v>
      </c>
      <c r="B108" s="11">
        <v>44211</v>
      </c>
      <c r="C108" s="11" t="s">
        <v>178</v>
      </c>
      <c r="K108" s="12"/>
      <c r="L108" s="12"/>
      <c r="AB108" s="18" t="e">
        <f t="shared" si="9"/>
        <v>#DIV/0!</v>
      </c>
      <c r="AN108" s="16" t="e">
        <f t="shared" si="10"/>
        <v>#DIV/0!</v>
      </c>
    </row>
    <row r="109" spans="1:45" hidden="1" x14ac:dyDescent="0.25">
      <c r="A109" s="24" t="s">
        <v>192</v>
      </c>
      <c r="B109" s="47">
        <v>44211</v>
      </c>
      <c r="C109" s="47" t="s">
        <v>78</v>
      </c>
      <c r="D109" s="46"/>
      <c r="E109" s="12"/>
      <c r="F109" s="13"/>
      <c r="G109" s="12"/>
      <c r="H109" s="12"/>
      <c r="I109" s="12"/>
      <c r="J109" s="12"/>
      <c r="K109" s="12"/>
      <c r="L109" s="12"/>
      <c r="O109" s="13"/>
      <c r="Q109" s="37"/>
      <c r="R109" s="46"/>
      <c r="S109" s="37"/>
      <c r="T109" s="37"/>
      <c r="U109" s="37"/>
      <c r="V109" s="37"/>
      <c r="W109" s="38"/>
      <c r="X109" s="46"/>
      <c r="Y109" s="37"/>
      <c r="Z109" s="46"/>
      <c r="AA109" s="41">
        <f>Table13[[#This Row],[Time until ideal entry + 390 (6:30)]]/(1440)</f>
        <v>0.27083333333333331</v>
      </c>
      <c r="AB109" s="18" t="e">
        <f t="shared" si="9"/>
        <v>#DIV/0!</v>
      </c>
      <c r="AC109" s="18" t="e">
        <f>IF(Table13[[#This Row],[HOD AFTER PM HI]]&gt;=Table13[[#This Row],[PM Hi]],((Table13[[#This Row],[HOD AFTER PM HI]]-Table13[[#This Row],[Prior day close]])/Table13[[#This Row],[Prior day close]]),Table13[[#This Row],[Prior Close to PM Hi %]])</f>
        <v>#DIV/0!</v>
      </c>
      <c r="AD109" s="42" t="e">
        <f>(Table13[[#This Row],[Price at hi of squeeze]]-Table13[[#This Row],[MKT Open Price]])/Table13[[#This Row],[MKT Open Price]]</f>
        <v>#DIV/0!</v>
      </c>
      <c r="AE109" s="18" t="e">
        <f>(Table13[[#This Row],[Price at hi of squeeze]]-Table13[[#This Row],[PM Hi]])/Table13[[#This Row],[PM Hi]]</f>
        <v>#DIV/0!</v>
      </c>
      <c r="AF109" s="18"/>
      <c r="AG109" s="20" t="e">
        <f>Table13[[#This Row],[PM VOL]]/1000000/Table13[[#This Row],[FLOAT(M)]]</f>
        <v>#DIV/0!</v>
      </c>
      <c r="AH109" s="23" t="e">
        <f>(Table13[[#This Row],[Volume]]/1000000)/Table13[[#This Row],[FLOAT(M)]]</f>
        <v>#DIV/0!</v>
      </c>
      <c r="AJ109" s="18" t="e">
        <f>(Table13[[#This Row],[PM Hi]]-Table13[[#This Row],[MKT Open Price]])/(Table13[[#This Row],[PM Hi]])</f>
        <v>#DIV/0!</v>
      </c>
      <c r="AK109" s="18" t="e">
        <f>IF(Table13[[#This Row],[PM LO]]&gt;Table13[[#This Row],[Prior day close]],(Table13[[#This Row],[PM Hi]]-Table13[[#This Row],[MKT Open Price]])/(Table13[[#This Row],[PM Hi]]-Table13[[#This Row],[Prior day close]]),(Table13[[#This Row],[PM Hi]]-Table13[[#This Row],[MKT Open Price]])/(Table13[[#This Row],[PM Hi]]-Table13[[#This Row],[PM LO]]))</f>
        <v>#DIV/0!</v>
      </c>
      <c r="AL109" s="48" t="e">
        <f>IF(Table13[[#This Row],[Prior day close]]&lt;Table13[[#This Row],[PM LO]],(J109-L109)/(J109-Table13[[#This Row],[Prior day close]]),(J109-L109)/(J109-Table13[[#This Row],[PM LO]]))</f>
        <v>#DIV/0!</v>
      </c>
      <c r="AM109" s="48" t="e">
        <f>Table13[[#This Row],[Spike % on open before drop]]+AN109</f>
        <v>#DIV/0!</v>
      </c>
      <c r="AN109" s="16" t="e">
        <f t="shared" si="10"/>
        <v>#DIV/0!</v>
      </c>
      <c r="AO109" s="16"/>
      <c r="AP109" s="48" t="e">
        <f>IF(Table13[[#This Row],[Prior day close]]&lt;=Table13[[#This Row],[PM LO]],IF($K109&gt;=$G109,($K109-$L109)/($K109-Table13[[#This Row],[Prior day close]]),(IF($I109&lt;=$L109,($G109-$I109)/($G109-Table13[[#This Row],[Prior day close]]),(Table13[[#This Row],[PM Hi]]-Table13[[#This Row],[Lowest lo from open to squeeze]])/(Table13[[#This Row],[PM Hi]]-Table13[[#This Row],[Prior day close]])))),IF($K109&gt;=$G109,($K109-$L109)/($K109-Table13[[#This Row],[PM LO]]),(IF($I109&lt;=$L109,($G109-$I109)/($G109-Table13[[#This Row],[PM LO]]),(Table13[[#This Row],[PM Hi]]-Table13[[#This Row],[Lowest lo from open to squeeze]])/(Table13[[#This Row],[PM Hi]]-Table13[[#This Row],[PM LO]])))))</f>
        <v>#DIV/0!</v>
      </c>
      <c r="AQ109" s="18"/>
      <c r="AR109" s="17">
        <f>390+Table13[[#This Row],[Time until ideal entry point (mins) from open]]</f>
        <v>390</v>
      </c>
      <c r="AS109" s="17">
        <f>Table13[[#This Row],[Time until ideal entry + 390 (6:30)]]+Table13[[#This Row],[Duration of frontside (mins)]]</f>
        <v>390</v>
      </c>
    </row>
    <row r="110" spans="1:45" hidden="1" x14ac:dyDescent="0.25">
      <c r="A110" s="24" t="s">
        <v>83</v>
      </c>
      <c r="B110" s="47">
        <v>44215</v>
      </c>
      <c r="C110" s="47" t="s">
        <v>178</v>
      </c>
      <c r="D110" s="46" t="s">
        <v>340</v>
      </c>
      <c r="E110" s="12"/>
      <c r="F110" s="13"/>
      <c r="G110" s="12"/>
      <c r="H110" s="12"/>
      <c r="I110" s="12"/>
      <c r="J110" s="12"/>
      <c r="K110" s="12"/>
      <c r="L110" s="12"/>
      <c r="O110" s="13"/>
      <c r="Q110" s="37"/>
      <c r="R110" s="46"/>
      <c r="S110" s="37"/>
      <c r="T110" s="37"/>
      <c r="U110" s="37"/>
      <c r="V110" s="37"/>
      <c r="W110" s="38"/>
      <c r="X110" s="46"/>
      <c r="Y110" s="37"/>
      <c r="Z110" s="46"/>
      <c r="AA110" s="41">
        <f>Table13[[#This Row],[Time until ideal entry + 390 (6:30)]]/(1440)</f>
        <v>0.27083333333333331</v>
      </c>
      <c r="AB110" s="18" t="e">
        <f t="shared" si="9"/>
        <v>#DIV/0!</v>
      </c>
      <c r="AC110" s="18" t="e">
        <f>IF(Table13[[#This Row],[HOD AFTER PM HI]]&gt;=Table13[[#This Row],[PM Hi]],((Table13[[#This Row],[HOD AFTER PM HI]]-Table13[[#This Row],[Prior day close]])/Table13[[#This Row],[Prior day close]]),Table13[[#This Row],[Prior Close to PM Hi %]])</f>
        <v>#DIV/0!</v>
      </c>
      <c r="AD110" s="42" t="e">
        <f>(Table13[[#This Row],[Price at hi of squeeze]]-Table13[[#This Row],[MKT Open Price]])/Table13[[#This Row],[MKT Open Price]]</f>
        <v>#DIV/0!</v>
      </c>
      <c r="AE110" s="18" t="e">
        <f>(Table13[[#This Row],[Price at hi of squeeze]]-Table13[[#This Row],[PM Hi]])/Table13[[#This Row],[PM Hi]]</f>
        <v>#DIV/0!</v>
      </c>
      <c r="AF110" s="18"/>
      <c r="AG110" s="20" t="e">
        <f>Table13[[#This Row],[PM VOL]]/1000000/Table13[[#This Row],[FLOAT(M)]]</f>
        <v>#DIV/0!</v>
      </c>
      <c r="AH110" s="23" t="e">
        <f>(Table13[[#This Row],[Volume]]/1000000)/Table13[[#This Row],[FLOAT(M)]]</f>
        <v>#DIV/0!</v>
      </c>
      <c r="AJ110" s="18" t="e">
        <f>(Table13[[#This Row],[PM Hi]]-Table13[[#This Row],[MKT Open Price]])/(Table13[[#This Row],[PM Hi]])</f>
        <v>#DIV/0!</v>
      </c>
      <c r="AK110" s="18" t="e">
        <f>IF(Table13[[#This Row],[PM LO]]&gt;Table13[[#This Row],[Prior day close]],(Table13[[#This Row],[PM Hi]]-Table13[[#This Row],[MKT Open Price]])/(Table13[[#This Row],[PM Hi]]-Table13[[#This Row],[Prior day close]]),(Table13[[#This Row],[PM Hi]]-Table13[[#This Row],[MKT Open Price]])/(Table13[[#This Row],[PM Hi]]-Table13[[#This Row],[PM LO]]))</f>
        <v>#DIV/0!</v>
      </c>
      <c r="AL110" s="48" t="e">
        <f>IF(Table13[[#This Row],[Prior day close]]&lt;Table13[[#This Row],[PM LO]],(J110-L110)/(J110-Table13[[#This Row],[Prior day close]]),(J110-L110)/(J110-Table13[[#This Row],[PM LO]]))</f>
        <v>#DIV/0!</v>
      </c>
      <c r="AM110" s="48" t="e">
        <f>Table13[[#This Row],[Spike % on open before drop]]+AN110</f>
        <v>#DIV/0!</v>
      </c>
      <c r="AN110" s="16" t="e">
        <f t="shared" si="10"/>
        <v>#DIV/0!</v>
      </c>
      <c r="AO110" s="16"/>
      <c r="AP110" s="48" t="e">
        <f>IF(Table13[[#This Row],[Prior day close]]&lt;=Table13[[#This Row],[PM LO]],IF($K110&gt;=$G110,($K110-$L110)/($K110-Table13[[#This Row],[Prior day close]]),(IF($I110&lt;=$L110,($G110-$I110)/($G110-Table13[[#This Row],[Prior day close]]),(Table13[[#This Row],[PM Hi]]-Table13[[#This Row],[Lowest lo from open to squeeze]])/(Table13[[#This Row],[PM Hi]]-Table13[[#This Row],[Prior day close]])))),IF($K110&gt;=$G110,($K110-$L110)/($K110-Table13[[#This Row],[PM LO]]),(IF($I110&lt;=$L110,($G110-$I110)/($G110-Table13[[#This Row],[PM LO]]),(Table13[[#This Row],[PM Hi]]-Table13[[#This Row],[Lowest lo from open to squeeze]])/(Table13[[#This Row],[PM Hi]]-Table13[[#This Row],[PM LO]])))))</f>
        <v>#DIV/0!</v>
      </c>
      <c r="AQ110" s="18"/>
      <c r="AR110" s="17">
        <f>390+Table13[[#This Row],[Time until ideal entry point (mins) from open]]</f>
        <v>390</v>
      </c>
      <c r="AS110" s="17">
        <f>Table13[[#This Row],[Time until ideal entry + 390 (6:30)]]+Table13[[#This Row],[Duration of frontside (mins)]]</f>
        <v>390</v>
      </c>
    </row>
    <row r="111" spans="1:45" hidden="1" x14ac:dyDescent="0.25">
      <c r="A111" s="24" t="s">
        <v>203</v>
      </c>
      <c r="B111" s="47">
        <v>44216</v>
      </c>
      <c r="C111" s="47" t="s">
        <v>78</v>
      </c>
      <c r="D111" s="46"/>
      <c r="E111" s="12"/>
      <c r="F111" s="13"/>
      <c r="G111" s="12"/>
      <c r="H111" s="12"/>
      <c r="I111" s="12"/>
      <c r="J111" s="12"/>
      <c r="K111" s="12"/>
      <c r="L111" s="12"/>
      <c r="O111" s="13"/>
      <c r="Q111" s="37"/>
      <c r="R111" s="46"/>
      <c r="S111" s="37"/>
      <c r="T111" s="37"/>
      <c r="U111" s="37"/>
      <c r="V111" s="37"/>
      <c r="W111" s="38"/>
      <c r="X111" s="46"/>
      <c r="Y111" s="37"/>
      <c r="Z111" s="46"/>
      <c r="AA111" s="41">
        <f>Table13[[#This Row],[Time until ideal entry + 390 (6:30)]]/(1440)</f>
        <v>0.27083333333333331</v>
      </c>
      <c r="AB111" s="18"/>
      <c r="AC111" s="18" t="e">
        <f>IF(Table13[[#This Row],[HOD AFTER PM HI]]&gt;=Table13[[#This Row],[PM Hi]],((Table13[[#This Row],[HOD AFTER PM HI]]-Table13[[#This Row],[Prior day close]])/Table13[[#This Row],[Prior day close]]),Table13[[#This Row],[Prior Close to PM Hi %]])</f>
        <v>#DIV/0!</v>
      </c>
      <c r="AD111" s="42" t="e">
        <f>(Table13[[#This Row],[Price at hi of squeeze]]-Table13[[#This Row],[MKT Open Price]])/Table13[[#This Row],[MKT Open Price]]</f>
        <v>#DIV/0!</v>
      </c>
      <c r="AE111" s="18" t="e">
        <f>(Table13[[#This Row],[Price at hi of squeeze]]-Table13[[#This Row],[PM Hi]])/Table13[[#This Row],[PM Hi]]</f>
        <v>#DIV/0!</v>
      </c>
      <c r="AF111" s="18"/>
      <c r="AG111" s="20" t="e">
        <f>Table13[[#This Row],[PM VOL]]/1000000/Table13[[#This Row],[FLOAT(M)]]</f>
        <v>#DIV/0!</v>
      </c>
      <c r="AH111" s="23" t="e">
        <f>(Table13[[#This Row],[Volume]]/1000000)/Table13[[#This Row],[FLOAT(M)]]</f>
        <v>#DIV/0!</v>
      </c>
      <c r="AJ111" s="18" t="e">
        <f>(Table13[[#This Row],[PM Hi]]-Table13[[#This Row],[MKT Open Price]])/(Table13[[#This Row],[PM Hi]])</f>
        <v>#DIV/0!</v>
      </c>
      <c r="AK111" s="18" t="e">
        <f>IF(Table13[[#This Row],[PM LO]]&gt;Table13[[#This Row],[Prior day close]],(Table13[[#This Row],[PM Hi]]-Table13[[#This Row],[MKT Open Price]])/(Table13[[#This Row],[PM Hi]]-Table13[[#This Row],[Prior day close]]),(Table13[[#This Row],[PM Hi]]-Table13[[#This Row],[MKT Open Price]])/(Table13[[#This Row],[PM Hi]]-Table13[[#This Row],[PM LO]]))</f>
        <v>#DIV/0!</v>
      </c>
      <c r="AL111" s="48" t="e">
        <f>IF(Table13[[#This Row],[Prior day close]]&lt;Table13[[#This Row],[PM LO]],(J111-L111)/(J111-Table13[[#This Row],[Prior day close]]),(J111-L111)/(J111-Table13[[#This Row],[PM LO]]))</f>
        <v>#DIV/0!</v>
      </c>
      <c r="AM111" s="48">
        <f>Table13[[#This Row],[Spike % on open before drop]]+AN111</f>
        <v>0</v>
      </c>
      <c r="AN111" s="16"/>
      <c r="AO111" s="16"/>
      <c r="AP111" s="48" t="e">
        <f>IF(Table13[[#This Row],[Prior day close]]&lt;=Table13[[#This Row],[PM LO]],IF($K111&gt;=$G111,($K111-$L111)/($K111-Table13[[#This Row],[Prior day close]]),(IF($I111&lt;=$L111,($G111-$I111)/($G111-Table13[[#This Row],[Prior day close]]),(Table13[[#This Row],[PM Hi]]-Table13[[#This Row],[Lowest lo from open to squeeze]])/(Table13[[#This Row],[PM Hi]]-Table13[[#This Row],[Prior day close]])))),IF($K111&gt;=$G111,($K111-$L111)/($K111-Table13[[#This Row],[PM LO]]),(IF($I111&lt;=$L111,($G111-$I111)/($G111-Table13[[#This Row],[PM LO]]),(Table13[[#This Row],[PM Hi]]-Table13[[#This Row],[Lowest lo from open to squeeze]])/(Table13[[#This Row],[PM Hi]]-Table13[[#This Row],[PM LO]])))))</f>
        <v>#DIV/0!</v>
      </c>
      <c r="AQ111" s="18"/>
      <c r="AR111" s="17">
        <f>390+Table13[[#This Row],[Time until ideal entry point (mins) from open]]</f>
        <v>390</v>
      </c>
      <c r="AS111" s="17">
        <f>Table13[[#This Row],[Time until ideal entry + 390 (6:30)]]+Table13[[#This Row],[Duration of frontside (mins)]]</f>
        <v>390</v>
      </c>
    </row>
    <row r="112" spans="1:45" hidden="1" x14ac:dyDescent="0.25">
      <c r="A112" s="24" t="s">
        <v>204</v>
      </c>
      <c r="B112" s="47">
        <v>44217</v>
      </c>
      <c r="C112" s="47" t="s">
        <v>78</v>
      </c>
      <c r="D112" s="46"/>
      <c r="E112" s="12"/>
      <c r="F112" s="13"/>
      <c r="G112" s="12"/>
      <c r="H112" s="12"/>
      <c r="I112" s="12"/>
      <c r="J112" s="12"/>
      <c r="K112" s="12"/>
      <c r="L112" s="12"/>
      <c r="O112" s="13"/>
      <c r="Q112" s="37"/>
      <c r="R112" s="46"/>
      <c r="S112" s="37"/>
      <c r="T112" s="37"/>
      <c r="U112" s="37"/>
      <c r="V112" s="37"/>
      <c r="W112" s="38"/>
      <c r="X112" s="46"/>
      <c r="Y112" s="37"/>
      <c r="Z112" s="46"/>
      <c r="AA112" s="41">
        <f>Table13[[#This Row],[Time until ideal entry + 390 (6:30)]]/(1440)</f>
        <v>0.27083333333333331</v>
      </c>
      <c r="AB112" s="18"/>
      <c r="AC112" s="18" t="e">
        <f>IF(Table13[[#This Row],[HOD AFTER PM HI]]&gt;=Table13[[#This Row],[PM Hi]],((Table13[[#This Row],[HOD AFTER PM HI]]-Table13[[#This Row],[Prior day close]])/Table13[[#This Row],[Prior day close]]),Table13[[#This Row],[Prior Close to PM Hi %]])</f>
        <v>#DIV/0!</v>
      </c>
      <c r="AD112" s="42" t="e">
        <f>(Table13[[#This Row],[Price at hi of squeeze]]-Table13[[#This Row],[MKT Open Price]])/Table13[[#This Row],[MKT Open Price]]</f>
        <v>#DIV/0!</v>
      </c>
      <c r="AE112" s="18" t="e">
        <f>(Table13[[#This Row],[Price at hi of squeeze]]-Table13[[#This Row],[PM Hi]])/Table13[[#This Row],[PM Hi]]</f>
        <v>#DIV/0!</v>
      </c>
      <c r="AF112" s="18"/>
      <c r="AG112" s="20" t="e">
        <f>Table13[[#This Row],[PM VOL]]/1000000/Table13[[#This Row],[FLOAT(M)]]</f>
        <v>#DIV/0!</v>
      </c>
      <c r="AH112" s="23" t="e">
        <f>(Table13[[#This Row],[Volume]]/1000000)/Table13[[#This Row],[FLOAT(M)]]</f>
        <v>#DIV/0!</v>
      </c>
      <c r="AJ112" s="18" t="e">
        <f>(Table13[[#This Row],[PM Hi]]-Table13[[#This Row],[MKT Open Price]])/(Table13[[#This Row],[PM Hi]])</f>
        <v>#DIV/0!</v>
      </c>
      <c r="AK112" s="18" t="e">
        <f>IF(Table13[[#This Row],[PM LO]]&gt;Table13[[#This Row],[Prior day close]],(Table13[[#This Row],[PM Hi]]-Table13[[#This Row],[MKT Open Price]])/(Table13[[#This Row],[PM Hi]]-Table13[[#This Row],[Prior day close]]),(Table13[[#This Row],[PM Hi]]-Table13[[#This Row],[MKT Open Price]])/(Table13[[#This Row],[PM Hi]]-Table13[[#This Row],[PM LO]]))</f>
        <v>#DIV/0!</v>
      </c>
      <c r="AL112" s="48" t="e">
        <f>IF(Table13[[#This Row],[Prior day close]]&lt;Table13[[#This Row],[PM LO]],(J112-L112)/(J112-Table13[[#This Row],[Prior day close]]),(J112-L112)/(J112-Table13[[#This Row],[PM LO]]))</f>
        <v>#DIV/0!</v>
      </c>
      <c r="AM112" s="48">
        <f>Table13[[#This Row],[Spike % on open before drop]]+AN112</f>
        <v>0</v>
      </c>
      <c r="AN112" s="16"/>
      <c r="AO112" s="16"/>
      <c r="AP112" s="48" t="e">
        <f>IF(Table13[[#This Row],[Prior day close]]&lt;=Table13[[#This Row],[PM LO]],IF($K112&gt;=$G112,($K112-$L112)/($K112-Table13[[#This Row],[Prior day close]]),(IF($I112&lt;=$L112,($G112-$I112)/($G112-Table13[[#This Row],[Prior day close]]),(Table13[[#This Row],[PM Hi]]-Table13[[#This Row],[Lowest lo from open to squeeze]])/(Table13[[#This Row],[PM Hi]]-Table13[[#This Row],[Prior day close]])))),IF($K112&gt;=$G112,($K112-$L112)/($K112-Table13[[#This Row],[PM LO]]),(IF($I112&lt;=$L112,($G112-$I112)/($G112-Table13[[#This Row],[PM LO]]),(Table13[[#This Row],[PM Hi]]-Table13[[#This Row],[Lowest lo from open to squeeze]])/(Table13[[#This Row],[PM Hi]]-Table13[[#This Row],[PM LO]])))))</f>
        <v>#DIV/0!</v>
      </c>
      <c r="AQ112" s="18"/>
      <c r="AR112" s="17">
        <f>390+Table13[[#This Row],[Time until ideal entry point (mins) from open]]</f>
        <v>390</v>
      </c>
      <c r="AS112" s="17">
        <f>Table13[[#This Row],[Time until ideal entry + 390 (6:30)]]+Table13[[#This Row],[Duration of frontside (mins)]]</f>
        <v>390</v>
      </c>
    </row>
    <row r="113" spans="1:45" hidden="1" x14ac:dyDescent="0.25">
      <c r="A113" s="24" t="s">
        <v>41</v>
      </c>
      <c r="B113" s="47">
        <v>44217</v>
      </c>
      <c r="C113" s="47" t="s">
        <v>178</v>
      </c>
      <c r="D113" s="46" t="s">
        <v>294</v>
      </c>
      <c r="E113" s="12"/>
      <c r="F113" s="13"/>
      <c r="G113" s="12"/>
      <c r="H113" s="12"/>
      <c r="I113" s="12"/>
      <c r="J113" s="12"/>
      <c r="K113" s="12"/>
      <c r="L113" s="12"/>
      <c r="O113" s="13"/>
      <c r="Q113" s="37"/>
      <c r="R113" s="46"/>
      <c r="S113" s="37"/>
      <c r="T113" s="37"/>
      <c r="U113" s="37"/>
      <c r="V113" s="37"/>
      <c r="W113" s="38"/>
      <c r="X113" s="46"/>
      <c r="Y113" s="37"/>
      <c r="Z113" s="46"/>
      <c r="AA113" s="41">
        <f>Table13[[#This Row],[Time until ideal entry + 390 (6:30)]]/(1440)</f>
        <v>0.27083333333333331</v>
      </c>
      <c r="AB113" s="18"/>
      <c r="AC113" s="18" t="e">
        <f>IF(Table13[[#This Row],[HOD AFTER PM HI]]&gt;=Table13[[#This Row],[PM Hi]],((Table13[[#This Row],[HOD AFTER PM HI]]-Table13[[#This Row],[Prior day close]])/Table13[[#This Row],[Prior day close]]),Table13[[#This Row],[Prior Close to PM Hi %]])</f>
        <v>#DIV/0!</v>
      </c>
      <c r="AD113" s="42" t="e">
        <f>(Table13[[#This Row],[Price at hi of squeeze]]-Table13[[#This Row],[MKT Open Price]])/Table13[[#This Row],[MKT Open Price]]</f>
        <v>#DIV/0!</v>
      </c>
      <c r="AE113" s="18" t="e">
        <f>(Table13[[#This Row],[Price at hi of squeeze]]-Table13[[#This Row],[PM Hi]])/Table13[[#This Row],[PM Hi]]</f>
        <v>#DIV/0!</v>
      </c>
      <c r="AF113" s="18"/>
      <c r="AG113" s="20" t="e">
        <f>Table13[[#This Row],[PM VOL]]/1000000/Table13[[#This Row],[FLOAT(M)]]</f>
        <v>#DIV/0!</v>
      </c>
      <c r="AH113" s="23" t="e">
        <f>(Table13[[#This Row],[Volume]]/1000000)/Table13[[#This Row],[FLOAT(M)]]</f>
        <v>#DIV/0!</v>
      </c>
      <c r="AJ113" s="18" t="e">
        <f>(Table13[[#This Row],[PM Hi]]-Table13[[#This Row],[MKT Open Price]])/(Table13[[#This Row],[PM Hi]])</f>
        <v>#DIV/0!</v>
      </c>
      <c r="AK113" s="18" t="e">
        <f>IF(Table13[[#This Row],[PM LO]]&gt;Table13[[#This Row],[Prior day close]],(Table13[[#This Row],[PM Hi]]-Table13[[#This Row],[MKT Open Price]])/(Table13[[#This Row],[PM Hi]]-Table13[[#This Row],[Prior day close]]),(Table13[[#This Row],[PM Hi]]-Table13[[#This Row],[MKT Open Price]])/(Table13[[#This Row],[PM Hi]]-Table13[[#This Row],[PM LO]]))</f>
        <v>#DIV/0!</v>
      </c>
      <c r="AL113" s="48" t="e">
        <f>IF(Table13[[#This Row],[Prior day close]]&lt;Table13[[#This Row],[PM LO]],(J113-L113)/(J113-Table13[[#This Row],[Prior day close]]),(J113-L113)/(J113-Table13[[#This Row],[PM LO]]))</f>
        <v>#DIV/0!</v>
      </c>
      <c r="AM113" s="48">
        <f>Table13[[#This Row],[Spike % on open before drop]]+AN113</f>
        <v>0</v>
      </c>
      <c r="AN113" s="16"/>
      <c r="AO113" s="16"/>
      <c r="AP113" s="48" t="e">
        <f>IF(Table13[[#This Row],[Prior day close]]&lt;=Table13[[#This Row],[PM LO]],IF($K113&gt;=$G113,($K113-$L113)/($K113-Table13[[#This Row],[Prior day close]]),(IF($I113&lt;=$L113,($G113-$I113)/($G113-Table13[[#This Row],[Prior day close]]),(Table13[[#This Row],[PM Hi]]-Table13[[#This Row],[Lowest lo from open to squeeze]])/(Table13[[#This Row],[PM Hi]]-Table13[[#This Row],[Prior day close]])))),IF($K113&gt;=$G113,($K113-$L113)/($K113-Table13[[#This Row],[PM LO]]),(IF($I113&lt;=$L113,($G113-$I113)/($G113-Table13[[#This Row],[PM LO]]),(Table13[[#This Row],[PM Hi]]-Table13[[#This Row],[Lowest lo from open to squeeze]])/(Table13[[#This Row],[PM Hi]]-Table13[[#This Row],[PM LO]])))))</f>
        <v>#DIV/0!</v>
      </c>
      <c r="AQ113" s="18"/>
      <c r="AR113" s="17">
        <f>390+Table13[[#This Row],[Time until ideal entry point (mins) from open]]</f>
        <v>390</v>
      </c>
      <c r="AS113" s="17">
        <f>Table13[[#This Row],[Time until ideal entry + 390 (6:30)]]+Table13[[#This Row],[Duration of frontside (mins)]]</f>
        <v>390</v>
      </c>
    </row>
    <row r="114" spans="1:45" hidden="1" x14ac:dyDescent="0.25">
      <c r="A114" s="24" t="s">
        <v>205</v>
      </c>
      <c r="B114" s="47">
        <v>44218</v>
      </c>
      <c r="C114" s="47" t="s">
        <v>178</v>
      </c>
      <c r="D114" s="46" t="s">
        <v>341</v>
      </c>
      <c r="E114" s="12"/>
      <c r="F114" s="13"/>
      <c r="G114" s="12"/>
      <c r="H114" s="12"/>
      <c r="I114" s="12"/>
      <c r="J114" s="12"/>
      <c r="K114" s="12"/>
      <c r="L114" s="12"/>
      <c r="O114" s="13"/>
      <c r="Q114" s="37"/>
      <c r="R114" s="46"/>
      <c r="S114" s="37"/>
      <c r="T114" s="37"/>
      <c r="U114" s="37"/>
      <c r="V114" s="37"/>
      <c r="W114" s="38"/>
      <c r="X114" s="46"/>
      <c r="Y114" s="37"/>
      <c r="Z114" s="46"/>
      <c r="AA114" s="41">
        <f>Table13[[#This Row],[Time until ideal entry + 390 (6:30)]]/(1440)</f>
        <v>0.27083333333333331</v>
      </c>
      <c r="AB114" s="18"/>
      <c r="AC114" s="18" t="e">
        <f>IF(Table13[[#This Row],[HOD AFTER PM HI]]&gt;=Table13[[#This Row],[PM Hi]],((Table13[[#This Row],[HOD AFTER PM HI]]-Table13[[#This Row],[Prior day close]])/Table13[[#This Row],[Prior day close]]),Table13[[#This Row],[Prior Close to PM Hi %]])</f>
        <v>#DIV/0!</v>
      </c>
      <c r="AD114" s="42" t="e">
        <f>(Table13[[#This Row],[Price at hi of squeeze]]-Table13[[#This Row],[MKT Open Price]])/Table13[[#This Row],[MKT Open Price]]</f>
        <v>#DIV/0!</v>
      </c>
      <c r="AE114" s="18" t="e">
        <f>(Table13[[#This Row],[Price at hi of squeeze]]-Table13[[#This Row],[PM Hi]])/Table13[[#This Row],[PM Hi]]</f>
        <v>#DIV/0!</v>
      </c>
      <c r="AF114" s="18"/>
      <c r="AG114" s="20" t="e">
        <f>Table13[[#This Row],[PM VOL]]/1000000/Table13[[#This Row],[FLOAT(M)]]</f>
        <v>#DIV/0!</v>
      </c>
      <c r="AH114" s="23" t="e">
        <f>(Table13[[#This Row],[Volume]]/1000000)/Table13[[#This Row],[FLOAT(M)]]</f>
        <v>#DIV/0!</v>
      </c>
      <c r="AJ114" s="18" t="e">
        <f>(Table13[[#This Row],[PM Hi]]-Table13[[#This Row],[MKT Open Price]])/(Table13[[#This Row],[PM Hi]])</f>
        <v>#DIV/0!</v>
      </c>
      <c r="AK114" s="18" t="e">
        <f>IF(Table13[[#This Row],[PM LO]]&gt;Table13[[#This Row],[Prior day close]],(Table13[[#This Row],[PM Hi]]-Table13[[#This Row],[MKT Open Price]])/(Table13[[#This Row],[PM Hi]]-Table13[[#This Row],[Prior day close]]),(Table13[[#This Row],[PM Hi]]-Table13[[#This Row],[MKT Open Price]])/(Table13[[#This Row],[PM Hi]]-Table13[[#This Row],[PM LO]]))</f>
        <v>#DIV/0!</v>
      </c>
      <c r="AL114" s="48" t="e">
        <f>IF(Table13[[#This Row],[Prior day close]]&lt;Table13[[#This Row],[PM LO]],(J114-L114)/(J114-Table13[[#This Row],[Prior day close]]),(J114-L114)/(J114-Table13[[#This Row],[PM LO]]))</f>
        <v>#DIV/0!</v>
      </c>
      <c r="AM114" s="48">
        <f>Table13[[#This Row],[Spike % on open before drop]]+AN114</f>
        <v>0</v>
      </c>
      <c r="AN114" s="16"/>
      <c r="AO114" s="16"/>
      <c r="AP114" s="48" t="e">
        <f>IF(Table13[[#This Row],[Prior day close]]&lt;=Table13[[#This Row],[PM LO]],IF($K114&gt;=$G114,($K114-$L114)/($K114-Table13[[#This Row],[Prior day close]]),(IF($I114&lt;=$L114,($G114-$I114)/($G114-Table13[[#This Row],[Prior day close]]),(Table13[[#This Row],[PM Hi]]-Table13[[#This Row],[Lowest lo from open to squeeze]])/(Table13[[#This Row],[PM Hi]]-Table13[[#This Row],[Prior day close]])))),IF($K114&gt;=$G114,($K114-$L114)/($K114-Table13[[#This Row],[PM LO]]),(IF($I114&lt;=$L114,($G114-$I114)/($G114-Table13[[#This Row],[PM LO]]),(Table13[[#This Row],[PM Hi]]-Table13[[#This Row],[Lowest lo from open to squeeze]])/(Table13[[#This Row],[PM Hi]]-Table13[[#This Row],[PM LO]])))))</f>
        <v>#DIV/0!</v>
      </c>
      <c r="AQ114" s="18"/>
      <c r="AR114" s="17">
        <f>390+Table13[[#This Row],[Time until ideal entry point (mins) from open]]</f>
        <v>390</v>
      </c>
      <c r="AS114" s="17">
        <f>Table13[[#This Row],[Time until ideal entry + 390 (6:30)]]+Table13[[#This Row],[Duration of frontside (mins)]]</f>
        <v>390</v>
      </c>
    </row>
    <row r="115" spans="1:45" hidden="1" x14ac:dyDescent="0.25">
      <c r="A115" s="24" t="s">
        <v>206</v>
      </c>
      <c r="B115" s="47">
        <v>44218</v>
      </c>
      <c r="C115" s="47" t="s">
        <v>78</v>
      </c>
      <c r="D115" s="46"/>
      <c r="E115" s="12"/>
      <c r="F115" s="13"/>
      <c r="G115" s="12"/>
      <c r="H115" s="12"/>
      <c r="I115" s="12"/>
      <c r="J115" s="12"/>
      <c r="K115" s="12"/>
      <c r="L115" s="12"/>
      <c r="O115" s="13"/>
      <c r="Q115" s="37"/>
      <c r="R115" s="46"/>
      <c r="S115" s="37"/>
      <c r="T115" s="37"/>
      <c r="U115" s="37"/>
      <c r="V115" s="37"/>
      <c r="W115" s="38"/>
      <c r="X115" s="46"/>
      <c r="Y115" s="37"/>
      <c r="Z115" s="46"/>
      <c r="AA115" s="41">
        <f>Table13[[#This Row],[Time until ideal entry + 390 (6:30)]]/(1440)</f>
        <v>0.27083333333333331</v>
      </c>
      <c r="AB115" s="18"/>
      <c r="AC115" s="18" t="e">
        <f>IF(Table13[[#This Row],[HOD AFTER PM HI]]&gt;=Table13[[#This Row],[PM Hi]],((Table13[[#This Row],[HOD AFTER PM HI]]-Table13[[#This Row],[Prior day close]])/Table13[[#This Row],[Prior day close]]),Table13[[#This Row],[Prior Close to PM Hi %]])</f>
        <v>#DIV/0!</v>
      </c>
      <c r="AD115" s="42" t="e">
        <f>(Table13[[#This Row],[Price at hi of squeeze]]-Table13[[#This Row],[MKT Open Price]])/Table13[[#This Row],[MKT Open Price]]</f>
        <v>#DIV/0!</v>
      </c>
      <c r="AE115" s="18" t="e">
        <f>(Table13[[#This Row],[Price at hi of squeeze]]-Table13[[#This Row],[PM Hi]])/Table13[[#This Row],[PM Hi]]</f>
        <v>#DIV/0!</v>
      </c>
      <c r="AF115" s="18"/>
      <c r="AG115" s="20" t="e">
        <f>Table13[[#This Row],[PM VOL]]/1000000/Table13[[#This Row],[FLOAT(M)]]</f>
        <v>#DIV/0!</v>
      </c>
      <c r="AH115" s="23" t="e">
        <f>(Table13[[#This Row],[Volume]]/1000000)/Table13[[#This Row],[FLOAT(M)]]</f>
        <v>#DIV/0!</v>
      </c>
      <c r="AJ115" s="18" t="e">
        <f>(Table13[[#This Row],[PM Hi]]-Table13[[#This Row],[MKT Open Price]])/(Table13[[#This Row],[PM Hi]])</f>
        <v>#DIV/0!</v>
      </c>
      <c r="AK115" s="18" t="e">
        <f>IF(Table13[[#This Row],[PM LO]]&gt;Table13[[#This Row],[Prior day close]],(Table13[[#This Row],[PM Hi]]-Table13[[#This Row],[MKT Open Price]])/(Table13[[#This Row],[PM Hi]]-Table13[[#This Row],[Prior day close]]),(Table13[[#This Row],[PM Hi]]-Table13[[#This Row],[MKT Open Price]])/(Table13[[#This Row],[PM Hi]]-Table13[[#This Row],[PM LO]]))</f>
        <v>#DIV/0!</v>
      </c>
      <c r="AL115" s="48" t="e">
        <f>IF(Table13[[#This Row],[Prior day close]]&lt;Table13[[#This Row],[PM LO]],(J115-L115)/(J115-Table13[[#This Row],[Prior day close]]),(J115-L115)/(J115-Table13[[#This Row],[PM LO]]))</f>
        <v>#DIV/0!</v>
      </c>
      <c r="AM115" s="48">
        <f>Table13[[#This Row],[Spike % on open before drop]]+AN115</f>
        <v>0</v>
      </c>
      <c r="AN115" s="16"/>
      <c r="AO115" s="16"/>
      <c r="AP115" s="48" t="e">
        <f>IF(Table13[[#This Row],[Prior day close]]&lt;=Table13[[#This Row],[PM LO]],IF($K115&gt;=$G115,($K115-$L115)/($K115-Table13[[#This Row],[Prior day close]]),(IF($I115&lt;=$L115,($G115-$I115)/($G115-Table13[[#This Row],[Prior day close]]),(Table13[[#This Row],[PM Hi]]-Table13[[#This Row],[Lowest lo from open to squeeze]])/(Table13[[#This Row],[PM Hi]]-Table13[[#This Row],[Prior day close]])))),IF($K115&gt;=$G115,($K115-$L115)/($K115-Table13[[#This Row],[PM LO]]),(IF($I115&lt;=$L115,($G115-$I115)/($G115-Table13[[#This Row],[PM LO]]),(Table13[[#This Row],[PM Hi]]-Table13[[#This Row],[Lowest lo from open to squeeze]])/(Table13[[#This Row],[PM Hi]]-Table13[[#This Row],[PM LO]])))))</f>
        <v>#DIV/0!</v>
      </c>
      <c r="AQ115" s="18"/>
      <c r="AR115" s="17">
        <f>390+Table13[[#This Row],[Time until ideal entry point (mins) from open]]</f>
        <v>390</v>
      </c>
      <c r="AS115" s="17">
        <f>Table13[[#This Row],[Time until ideal entry + 390 (6:30)]]+Table13[[#This Row],[Duration of frontside (mins)]]</f>
        <v>390</v>
      </c>
    </row>
    <row r="116" spans="1:45" hidden="1" x14ac:dyDescent="0.25">
      <c r="A116" s="24" t="s">
        <v>207</v>
      </c>
      <c r="B116" s="47">
        <v>43837</v>
      </c>
      <c r="C116" s="47" t="s">
        <v>178</v>
      </c>
      <c r="D116" s="46"/>
      <c r="E116" s="12"/>
      <c r="F116" s="13"/>
      <c r="G116" s="12"/>
      <c r="H116" s="12"/>
      <c r="I116" s="12"/>
      <c r="J116" s="12"/>
      <c r="K116" s="12"/>
      <c r="L116" s="12"/>
      <c r="O116" s="13"/>
      <c r="Q116" s="37"/>
      <c r="R116" s="46"/>
      <c r="S116" s="37"/>
      <c r="T116" s="37"/>
      <c r="U116" s="37"/>
      <c r="V116" s="37"/>
      <c r="W116" s="38"/>
      <c r="X116" s="46"/>
      <c r="Y116" s="37"/>
      <c r="Z116" s="46"/>
      <c r="AA116" s="41">
        <f>Table13[[#This Row],[Time until ideal entry + 390 (6:30)]]/(1440)</f>
        <v>0.27083333333333331</v>
      </c>
      <c r="AB116" s="18"/>
      <c r="AC116" s="18" t="e">
        <f>IF(Table13[[#This Row],[HOD AFTER PM HI]]&gt;=Table13[[#This Row],[PM Hi]],((Table13[[#This Row],[HOD AFTER PM HI]]-Table13[[#This Row],[Prior day close]])/Table13[[#This Row],[Prior day close]]),Table13[[#This Row],[Prior Close to PM Hi %]])</f>
        <v>#DIV/0!</v>
      </c>
      <c r="AD116" s="42" t="e">
        <f>(Table13[[#This Row],[Price at hi of squeeze]]-Table13[[#This Row],[MKT Open Price]])/Table13[[#This Row],[MKT Open Price]]</f>
        <v>#DIV/0!</v>
      </c>
      <c r="AE116" s="18" t="e">
        <f>(Table13[[#This Row],[Price at hi of squeeze]]-Table13[[#This Row],[PM Hi]])/Table13[[#This Row],[PM Hi]]</f>
        <v>#DIV/0!</v>
      </c>
      <c r="AF116" s="18"/>
      <c r="AG116" s="20" t="e">
        <f>Table13[[#This Row],[PM VOL]]/1000000/Table13[[#This Row],[FLOAT(M)]]</f>
        <v>#DIV/0!</v>
      </c>
      <c r="AH116" s="23" t="e">
        <f>(Table13[[#This Row],[Volume]]/1000000)/Table13[[#This Row],[FLOAT(M)]]</f>
        <v>#DIV/0!</v>
      </c>
      <c r="AJ116" s="18" t="e">
        <f>(Table13[[#This Row],[PM Hi]]-Table13[[#This Row],[MKT Open Price]])/(Table13[[#This Row],[PM Hi]])</f>
        <v>#DIV/0!</v>
      </c>
      <c r="AK116" s="18" t="e">
        <f>IF(Table13[[#This Row],[PM LO]]&gt;Table13[[#This Row],[Prior day close]],(Table13[[#This Row],[PM Hi]]-Table13[[#This Row],[MKT Open Price]])/(Table13[[#This Row],[PM Hi]]-Table13[[#This Row],[Prior day close]]),(Table13[[#This Row],[PM Hi]]-Table13[[#This Row],[MKT Open Price]])/(Table13[[#This Row],[PM Hi]]-Table13[[#This Row],[PM LO]]))</f>
        <v>#DIV/0!</v>
      </c>
      <c r="AL116" s="48" t="e">
        <f>IF(Table13[[#This Row],[Prior day close]]&lt;Table13[[#This Row],[PM LO]],(J116-L116)/(J116-Table13[[#This Row],[Prior day close]]),(J116-L116)/(J116-Table13[[#This Row],[PM LO]]))</f>
        <v>#DIV/0!</v>
      </c>
      <c r="AM116" s="48">
        <f>Table13[[#This Row],[Spike % on open before drop]]+AN116</f>
        <v>0</v>
      </c>
      <c r="AN116" s="16"/>
      <c r="AO116" s="16"/>
      <c r="AP116" s="48" t="e">
        <f>IF(Table13[[#This Row],[Prior day close]]&lt;=Table13[[#This Row],[PM LO]],IF($K116&gt;=$G116,($K116-$L116)/($K116-Table13[[#This Row],[Prior day close]]),(IF($I116&lt;=$L116,($G116-$I116)/($G116-Table13[[#This Row],[Prior day close]]),(Table13[[#This Row],[PM Hi]]-Table13[[#This Row],[Lowest lo from open to squeeze]])/(Table13[[#This Row],[PM Hi]]-Table13[[#This Row],[Prior day close]])))),IF($K116&gt;=$G116,($K116-$L116)/($K116-Table13[[#This Row],[PM LO]]),(IF($I116&lt;=$L116,($G116-$I116)/($G116-Table13[[#This Row],[PM LO]]),(Table13[[#This Row],[PM Hi]]-Table13[[#This Row],[Lowest lo from open to squeeze]])/(Table13[[#This Row],[PM Hi]]-Table13[[#This Row],[PM LO]])))))</f>
        <v>#DIV/0!</v>
      </c>
      <c r="AQ116" s="18"/>
      <c r="AR116" s="17">
        <f>390+Table13[[#This Row],[Time until ideal entry point (mins) from open]]</f>
        <v>390</v>
      </c>
      <c r="AS116" s="17">
        <f>Table13[[#This Row],[Time until ideal entry + 390 (6:30)]]+Table13[[#This Row],[Duration of frontside (mins)]]</f>
        <v>390</v>
      </c>
    </row>
    <row r="117" spans="1:45" hidden="1" x14ac:dyDescent="0.25">
      <c r="A117" s="24" t="s">
        <v>208</v>
      </c>
      <c r="B117" s="47">
        <v>44213</v>
      </c>
      <c r="C117" s="47" t="s">
        <v>178</v>
      </c>
      <c r="D117" s="46"/>
      <c r="E117" s="12"/>
      <c r="F117" s="13"/>
      <c r="G117" s="12"/>
      <c r="H117" s="12"/>
      <c r="I117" s="12"/>
      <c r="J117" s="12"/>
      <c r="K117" s="12"/>
      <c r="L117" s="12"/>
      <c r="O117" s="13"/>
      <c r="Q117" s="37"/>
      <c r="R117" s="46"/>
      <c r="S117" s="37"/>
      <c r="T117" s="37"/>
      <c r="U117" s="37"/>
      <c r="V117" s="37"/>
      <c r="W117" s="38"/>
      <c r="X117" s="46"/>
      <c r="Y117" s="37"/>
      <c r="Z117" s="46"/>
      <c r="AA117" s="41">
        <f>Table13[[#This Row],[Time until ideal entry + 390 (6:30)]]/(1440)</f>
        <v>0.27083333333333331</v>
      </c>
      <c r="AB117" s="18"/>
      <c r="AC117" s="18" t="e">
        <f>IF(Table13[[#This Row],[HOD AFTER PM HI]]&gt;=Table13[[#This Row],[PM Hi]],((Table13[[#This Row],[HOD AFTER PM HI]]-Table13[[#This Row],[Prior day close]])/Table13[[#This Row],[Prior day close]]),Table13[[#This Row],[Prior Close to PM Hi %]])</f>
        <v>#DIV/0!</v>
      </c>
      <c r="AD117" s="42" t="e">
        <f>(Table13[[#This Row],[Price at hi of squeeze]]-Table13[[#This Row],[MKT Open Price]])/Table13[[#This Row],[MKT Open Price]]</f>
        <v>#DIV/0!</v>
      </c>
      <c r="AE117" s="18" t="e">
        <f>(Table13[[#This Row],[Price at hi of squeeze]]-Table13[[#This Row],[PM Hi]])/Table13[[#This Row],[PM Hi]]</f>
        <v>#DIV/0!</v>
      </c>
      <c r="AF117" s="18"/>
      <c r="AG117" s="20" t="e">
        <f>Table13[[#This Row],[PM VOL]]/1000000/Table13[[#This Row],[FLOAT(M)]]</f>
        <v>#DIV/0!</v>
      </c>
      <c r="AH117" s="23" t="e">
        <f>(Table13[[#This Row],[Volume]]/1000000)/Table13[[#This Row],[FLOAT(M)]]</f>
        <v>#DIV/0!</v>
      </c>
      <c r="AJ117" s="18" t="e">
        <f>(Table13[[#This Row],[PM Hi]]-Table13[[#This Row],[MKT Open Price]])/(Table13[[#This Row],[PM Hi]])</f>
        <v>#DIV/0!</v>
      </c>
      <c r="AK117" s="18" t="e">
        <f>IF(Table13[[#This Row],[PM LO]]&gt;Table13[[#This Row],[Prior day close]],(Table13[[#This Row],[PM Hi]]-Table13[[#This Row],[MKT Open Price]])/(Table13[[#This Row],[PM Hi]]-Table13[[#This Row],[Prior day close]]),(Table13[[#This Row],[PM Hi]]-Table13[[#This Row],[MKT Open Price]])/(Table13[[#This Row],[PM Hi]]-Table13[[#This Row],[PM LO]]))</f>
        <v>#DIV/0!</v>
      </c>
      <c r="AL117" s="48" t="e">
        <f>IF(Table13[[#This Row],[Prior day close]]&lt;Table13[[#This Row],[PM LO]],(J117-L117)/(J117-Table13[[#This Row],[Prior day close]]),(J117-L117)/(J117-Table13[[#This Row],[PM LO]]))</f>
        <v>#DIV/0!</v>
      </c>
      <c r="AM117" s="48">
        <f>Table13[[#This Row],[Spike % on open before drop]]+AN117</f>
        <v>0</v>
      </c>
      <c r="AN117" s="16"/>
      <c r="AO117" s="16"/>
      <c r="AP117" s="48" t="e">
        <f>IF(Table13[[#This Row],[Prior day close]]&lt;=Table13[[#This Row],[PM LO]],IF($K117&gt;=$G117,($K117-$L117)/($K117-Table13[[#This Row],[Prior day close]]),(IF($I117&lt;=$L117,($G117-$I117)/($G117-Table13[[#This Row],[Prior day close]]),(Table13[[#This Row],[PM Hi]]-Table13[[#This Row],[Lowest lo from open to squeeze]])/(Table13[[#This Row],[PM Hi]]-Table13[[#This Row],[Prior day close]])))),IF($K117&gt;=$G117,($K117-$L117)/($K117-Table13[[#This Row],[PM LO]]),(IF($I117&lt;=$L117,($G117-$I117)/($G117-Table13[[#This Row],[PM LO]]),(Table13[[#This Row],[PM Hi]]-Table13[[#This Row],[Lowest lo from open to squeeze]])/(Table13[[#This Row],[PM Hi]]-Table13[[#This Row],[PM LO]])))))</f>
        <v>#DIV/0!</v>
      </c>
      <c r="AQ117" s="18"/>
      <c r="AR117" s="17">
        <f>390+Table13[[#This Row],[Time until ideal entry point (mins) from open]]</f>
        <v>390</v>
      </c>
      <c r="AS117" s="17">
        <f>Table13[[#This Row],[Time until ideal entry + 390 (6:30)]]+Table13[[#This Row],[Duration of frontside (mins)]]</f>
        <v>390</v>
      </c>
    </row>
    <row r="118" spans="1:45" hidden="1" x14ac:dyDescent="0.25">
      <c r="A118" s="24" t="s">
        <v>209</v>
      </c>
      <c r="B118" s="47">
        <v>44217</v>
      </c>
      <c r="C118" s="47" t="s">
        <v>178</v>
      </c>
      <c r="D118" s="46" t="s">
        <v>342</v>
      </c>
      <c r="E118" s="12"/>
      <c r="F118" s="13"/>
      <c r="G118" s="12"/>
      <c r="H118" s="12"/>
      <c r="I118" s="12"/>
      <c r="J118" s="12"/>
      <c r="K118" s="12"/>
      <c r="L118" s="12"/>
      <c r="O118" s="13"/>
      <c r="Q118" s="37"/>
      <c r="R118" s="46"/>
      <c r="S118" s="37"/>
      <c r="T118" s="37"/>
      <c r="U118" s="37"/>
      <c r="V118" s="37"/>
      <c r="W118" s="38"/>
      <c r="X118" s="46"/>
      <c r="Y118" s="37"/>
      <c r="Z118" s="46"/>
      <c r="AA118" s="41">
        <f>Table13[[#This Row],[Time until ideal entry + 390 (6:30)]]/(1440)</f>
        <v>0.27083333333333331</v>
      </c>
      <c r="AB118" s="18"/>
      <c r="AC118" s="18" t="e">
        <f>IF(Table13[[#This Row],[HOD AFTER PM HI]]&gt;=Table13[[#This Row],[PM Hi]],((Table13[[#This Row],[HOD AFTER PM HI]]-Table13[[#This Row],[Prior day close]])/Table13[[#This Row],[Prior day close]]),Table13[[#This Row],[Prior Close to PM Hi %]])</f>
        <v>#DIV/0!</v>
      </c>
      <c r="AD118" s="42" t="e">
        <f>(Table13[[#This Row],[Price at hi of squeeze]]-Table13[[#This Row],[MKT Open Price]])/Table13[[#This Row],[MKT Open Price]]</f>
        <v>#DIV/0!</v>
      </c>
      <c r="AE118" s="18" t="e">
        <f>(Table13[[#This Row],[Price at hi of squeeze]]-Table13[[#This Row],[PM Hi]])/Table13[[#This Row],[PM Hi]]</f>
        <v>#DIV/0!</v>
      </c>
      <c r="AF118" s="18"/>
      <c r="AG118" s="20" t="e">
        <f>Table13[[#This Row],[PM VOL]]/1000000/Table13[[#This Row],[FLOAT(M)]]</f>
        <v>#DIV/0!</v>
      </c>
      <c r="AH118" s="23" t="e">
        <f>(Table13[[#This Row],[Volume]]/1000000)/Table13[[#This Row],[FLOAT(M)]]</f>
        <v>#DIV/0!</v>
      </c>
      <c r="AJ118" s="18" t="e">
        <f>(Table13[[#This Row],[PM Hi]]-Table13[[#This Row],[MKT Open Price]])/(Table13[[#This Row],[PM Hi]])</f>
        <v>#DIV/0!</v>
      </c>
      <c r="AK118" s="18" t="e">
        <f>IF(Table13[[#This Row],[PM LO]]&gt;Table13[[#This Row],[Prior day close]],(Table13[[#This Row],[PM Hi]]-Table13[[#This Row],[MKT Open Price]])/(Table13[[#This Row],[PM Hi]]-Table13[[#This Row],[Prior day close]]),(Table13[[#This Row],[PM Hi]]-Table13[[#This Row],[MKT Open Price]])/(Table13[[#This Row],[PM Hi]]-Table13[[#This Row],[PM LO]]))</f>
        <v>#DIV/0!</v>
      </c>
      <c r="AL118" s="48" t="e">
        <f>IF(Table13[[#This Row],[Prior day close]]&lt;Table13[[#This Row],[PM LO]],(J118-L118)/(J118-Table13[[#This Row],[Prior day close]]),(J118-L118)/(J118-Table13[[#This Row],[PM LO]]))</f>
        <v>#DIV/0!</v>
      </c>
      <c r="AM118" s="48">
        <f>Table13[[#This Row],[Spike % on open before drop]]+AN118</f>
        <v>0</v>
      </c>
      <c r="AN118" s="16"/>
      <c r="AO118" s="16"/>
      <c r="AP118" s="48" t="e">
        <f>IF(Table13[[#This Row],[Prior day close]]&lt;=Table13[[#This Row],[PM LO]],IF($K118&gt;=$G118,($K118-$L118)/($K118-Table13[[#This Row],[Prior day close]]),(IF($I118&lt;=$L118,($G118-$I118)/($G118-Table13[[#This Row],[Prior day close]]),(Table13[[#This Row],[PM Hi]]-Table13[[#This Row],[Lowest lo from open to squeeze]])/(Table13[[#This Row],[PM Hi]]-Table13[[#This Row],[Prior day close]])))),IF($K118&gt;=$G118,($K118-$L118)/($K118-Table13[[#This Row],[PM LO]]),(IF($I118&lt;=$L118,($G118-$I118)/($G118-Table13[[#This Row],[PM LO]]),(Table13[[#This Row],[PM Hi]]-Table13[[#This Row],[Lowest lo from open to squeeze]])/(Table13[[#This Row],[PM Hi]]-Table13[[#This Row],[PM LO]])))))</f>
        <v>#DIV/0!</v>
      </c>
      <c r="AQ118" s="18"/>
      <c r="AR118" s="17">
        <f>390+Table13[[#This Row],[Time until ideal entry point (mins) from open]]</f>
        <v>390</v>
      </c>
      <c r="AS118" s="17">
        <f>Table13[[#This Row],[Time until ideal entry + 390 (6:30)]]+Table13[[#This Row],[Duration of frontside (mins)]]</f>
        <v>390</v>
      </c>
    </row>
    <row r="119" spans="1:45" hidden="1" x14ac:dyDescent="0.25">
      <c r="A119" s="24" t="s">
        <v>210</v>
      </c>
      <c r="B119" s="45">
        <v>44219</v>
      </c>
      <c r="C119" s="47" t="s">
        <v>178</v>
      </c>
      <c r="D119" s="46"/>
      <c r="E119" s="12"/>
      <c r="F119" s="13"/>
      <c r="G119" s="12"/>
      <c r="H119" s="12"/>
      <c r="I119" s="12"/>
      <c r="J119" s="12"/>
      <c r="K119" s="12"/>
      <c r="L119" s="12"/>
      <c r="O119" s="13"/>
      <c r="Q119" s="37"/>
      <c r="R119" s="46"/>
      <c r="S119" s="37"/>
      <c r="T119" s="37"/>
      <c r="U119" s="37"/>
      <c r="V119" s="37"/>
      <c r="W119" s="38"/>
      <c r="X119" s="46"/>
      <c r="Y119" s="37"/>
      <c r="Z119" s="46"/>
      <c r="AA119" s="41">
        <f>Table13[[#This Row],[Time until ideal entry + 390 (6:30)]]/(1440)</f>
        <v>0.27083333333333331</v>
      </c>
      <c r="AB119" s="18"/>
      <c r="AC119" s="18" t="e">
        <f>IF(Table13[[#This Row],[HOD AFTER PM HI]]&gt;=Table13[[#This Row],[PM Hi]],((Table13[[#This Row],[HOD AFTER PM HI]]-Table13[[#This Row],[Prior day close]])/Table13[[#This Row],[Prior day close]]),Table13[[#This Row],[Prior Close to PM Hi %]])</f>
        <v>#DIV/0!</v>
      </c>
      <c r="AD119" s="42" t="e">
        <f>(Table13[[#This Row],[Price at hi of squeeze]]-Table13[[#This Row],[MKT Open Price]])/Table13[[#This Row],[MKT Open Price]]</f>
        <v>#DIV/0!</v>
      </c>
      <c r="AE119" s="18" t="e">
        <f>(Table13[[#This Row],[Price at hi of squeeze]]-Table13[[#This Row],[PM Hi]])/Table13[[#This Row],[PM Hi]]</f>
        <v>#DIV/0!</v>
      </c>
      <c r="AF119" s="18"/>
      <c r="AG119" s="20" t="e">
        <f>Table13[[#This Row],[PM VOL]]/1000000/Table13[[#This Row],[FLOAT(M)]]</f>
        <v>#DIV/0!</v>
      </c>
      <c r="AH119" s="23" t="e">
        <f>(Table13[[#This Row],[Volume]]/1000000)/Table13[[#This Row],[FLOAT(M)]]</f>
        <v>#DIV/0!</v>
      </c>
      <c r="AJ119" s="18" t="e">
        <f>(Table13[[#This Row],[PM Hi]]-Table13[[#This Row],[MKT Open Price]])/(Table13[[#This Row],[PM Hi]])</f>
        <v>#DIV/0!</v>
      </c>
      <c r="AK119" s="18" t="e">
        <f>IF(Table13[[#This Row],[PM LO]]&gt;Table13[[#This Row],[Prior day close]],(Table13[[#This Row],[PM Hi]]-Table13[[#This Row],[MKT Open Price]])/(Table13[[#This Row],[PM Hi]]-Table13[[#This Row],[Prior day close]]),(Table13[[#This Row],[PM Hi]]-Table13[[#This Row],[MKT Open Price]])/(Table13[[#This Row],[PM Hi]]-Table13[[#This Row],[PM LO]]))</f>
        <v>#DIV/0!</v>
      </c>
      <c r="AL119" s="48" t="e">
        <f>IF(Table13[[#This Row],[Prior day close]]&lt;Table13[[#This Row],[PM LO]],(J119-L119)/(J119-Table13[[#This Row],[Prior day close]]),(J119-L119)/(J119-Table13[[#This Row],[PM LO]]))</f>
        <v>#DIV/0!</v>
      </c>
      <c r="AM119" s="48">
        <f>Table13[[#This Row],[Spike % on open before drop]]+AN119</f>
        <v>0</v>
      </c>
      <c r="AN119" s="16"/>
      <c r="AO119" s="16"/>
      <c r="AP119" s="48" t="e">
        <f>IF(Table13[[#This Row],[Prior day close]]&lt;=Table13[[#This Row],[PM LO]],IF($K119&gt;=$G119,($K119-$L119)/($K119-Table13[[#This Row],[Prior day close]]),(IF($I119&lt;=$L119,($G119-$I119)/($G119-Table13[[#This Row],[Prior day close]]),(Table13[[#This Row],[PM Hi]]-Table13[[#This Row],[Lowest lo from open to squeeze]])/(Table13[[#This Row],[PM Hi]]-Table13[[#This Row],[Prior day close]])))),IF($K119&gt;=$G119,($K119-$L119)/($K119-Table13[[#This Row],[PM LO]]),(IF($I119&lt;=$L119,($G119-$I119)/($G119-Table13[[#This Row],[PM LO]]),(Table13[[#This Row],[PM Hi]]-Table13[[#This Row],[Lowest lo from open to squeeze]])/(Table13[[#This Row],[PM Hi]]-Table13[[#This Row],[PM LO]])))))</f>
        <v>#DIV/0!</v>
      </c>
      <c r="AQ119" s="18"/>
      <c r="AR119" s="17">
        <f>390+Table13[[#This Row],[Time until ideal entry point (mins) from open]]</f>
        <v>390</v>
      </c>
      <c r="AS119" s="17">
        <f>Table13[[#This Row],[Time until ideal entry + 390 (6:30)]]+Table13[[#This Row],[Duration of frontside (mins)]]</f>
        <v>390</v>
      </c>
    </row>
    <row r="120" spans="1:45" hidden="1" x14ac:dyDescent="0.25">
      <c r="A120" s="24" t="s">
        <v>311</v>
      </c>
      <c r="B120" s="47">
        <v>44221</v>
      </c>
      <c r="C120" s="47" t="s">
        <v>78</v>
      </c>
      <c r="D120" s="46"/>
      <c r="E120" s="12"/>
      <c r="F120" s="13"/>
      <c r="G120" s="12"/>
      <c r="H120" s="12"/>
      <c r="I120" s="12"/>
      <c r="J120" s="12"/>
      <c r="K120" s="12"/>
      <c r="L120" s="12"/>
      <c r="O120" s="13"/>
      <c r="Q120" s="37"/>
      <c r="R120" s="46"/>
      <c r="S120" s="37"/>
      <c r="T120" s="37"/>
      <c r="U120" s="37"/>
      <c r="V120" s="37"/>
      <c r="W120" s="38"/>
      <c r="X120" s="46"/>
      <c r="Y120" s="37"/>
      <c r="Z120" s="46"/>
      <c r="AA120" s="41">
        <f>Table13[[#This Row],[Time until ideal entry + 390 (6:30)]]/(1440)</f>
        <v>0.27083333333333331</v>
      </c>
      <c r="AB120" s="18"/>
      <c r="AC120" s="18" t="e">
        <f>IF(Table13[[#This Row],[HOD AFTER PM HI]]&gt;=Table13[[#This Row],[PM Hi]],((Table13[[#This Row],[HOD AFTER PM HI]]-Table13[[#This Row],[Prior day close]])/Table13[[#This Row],[Prior day close]]),Table13[[#This Row],[Prior Close to PM Hi %]])</f>
        <v>#DIV/0!</v>
      </c>
      <c r="AD120" s="42" t="e">
        <f>(Table13[[#This Row],[Price at hi of squeeze]]-Table13[[#This Row],[MKT Open Price]])/Table13[[#This Row],[MKT Open Price]]</f>
        <v>#DIV/0!</v>
      </c>
      <c r="AE120" s="18" t="e">
        <f>(Table13[[#This Row],[Price at hi of squeeze]]-Table13[[#This Row],[PM Hi]])/Table13[[#This Row],[PM Hi]]</f>
        <v>#DIV/0!</v>
      </c>
      <c r="AF120" s="18"/>
      <c r="AG120" s="20" t="e">
        <f>Table13[[#This Row],[PM VOL]]/1000000/Table13[[#This Row],[FLOAT(M)]]</f>
        <v>#DIV/0!</v>
      </c>
      <c r="AH120" s="23" t="e">
        <f>(Table13[[#This Row],[Volume]]/1000000)/Table13[[#This Row],[FLOAT(M)]]</f>
        <v>#DIV/0!</v>
      </c>
      <c r="AJ120" s="18" t="e">
        <f>(Table13[[#This Row],[PM Hi]]-Table13[[#This Row],[MKT Open Price]])/(Table13[[#This Row],[PM Hi]])</f>
        <v>#DIV/0!</v>
      </c>
      <c r="AK120" s="18" t="e">
        <f>IF(Table13[[#This Row],[PM LO]]&gt;Table13[[#This Row],[Prior day close]],(Table13[[#This Row],[PM Hi]]-Table13[[#This Row],[MKT Open Price]])/(Table13[[#This Row],[PM Hi]]-Table13[[#This Row],[Prior day close]]),(Table13[[#This Row],[PM Hi]]-Table13[[#This Row],[MKT Open Price]])/(Table13[[#This Row],[PM Hi]]-Table13[[#This Row],[PM LO]]))</f>
        <v>#DIV/0!</v>
      </c>
      <c r="AL120" s="48" t="e">
        <f>IF(Table13[[#This Row],[Prior day close]]&lt;Table13[[#This Row],[PM LO]],(J120-L120)/(J120-Table13[[#This Row],[Prior day close]]),(J120-L120)/(J120-Table13[[#This Row],[PM LO]]))</f>
        <v>#DIV/0!</v>
      </c>
      <c r="AM120" s="48">
        <f>Table13[[#This Row],[Spike % on open before drop]]+AN120</f>
        <v>0</v>
      </c>
      <c r="AN120" s="16"/>
      <c r="AO120" s="16"/>
      <c r="AP120" s="48" t="e">
        <f>IF(Table13[[#This Row],[Prior day close]]&lt;=Table13[[#This Row],[PM LO]],IF($K120&gt;=$G120,($K120-$L120)/($K120-Table13[[#This Row],[Prior day close]]),(IF($I120&lt;=$L120,($G120-$I120)/($G120-Table13[[#This Row],[Prior day close]]),(Table13[[#This Row],[PM Hi]]-Table13[[#This Row],[Lowest lo from open to squeeze]])/(Table13[[#This Row],[PM Hi]]-Table13[[#This Row],[Prior day close]])))),IF($K120&gt;=$G120,($K120-$L120)/($K120-Table13[[#This Row],[PM LO]]),(IF($I120&lt;=$L120,($G120-$I120)/($G120-Table13[[#This Row],[PM LO]]),(Table13[[#This Row],[PM Hi]]-Table13[[#This Row],[Lowest lo from open to squeeze]])/(Table13[[#This Row],[PM Hi]]-Table13[[#This Row],[PM LO]])))))</f>
        <v>#DIV/0!</v>
      </c>
      <c r="AQ120" s="18"/>
      <c r="AR120" s="17">
        <f>390+Table13[[#This Row],[Time until ideal entry point (mins) from open]]</f>
        <v>390</v>
      </c>
      <c r="AS120" s="17">
        <f>Table13[[#This Row],[Time until ideal entry + 390 (6:30)]]+Table13[[#This Row],[Duration of frontside (mins)]]</f>
        <v>390</v>
      </c>
    </row>
    <row r="121" spans="1:45" hidden="1" x14ac:dyDescent="0.25">
      <c r="A121" s="24" t="s">
        <v>211</v>
      </c>
      <c r="B121" s="47">
        <v>43874</v>
      </c>
      <c r="C121" s="47" t="s">
        <v>78</v>
      </c>
      <c r="D121" s="46" t="s">
        <v>343</v>
      </c>
      <c r="E121" s="12"/>
      <c r="F121" s="13"/>
      <c r="G121" s="12"/>
      <c r="H121" s="12"/>
      <c r="I121" s="12"/>
      <c r="J121" s="12"/>
      <c r="K121" s="12"/>
      <c r="L121" s="12"/>
      <c r="O121" s="13"/>
      <c r="Q121" s="37"/>
      <c r="R121" s="46"/>
      <c r="S121" s="37"/>
      <c r="T121" s="37"/>
      <c r="U121" s="37"/>
      <c r="V121" s="37"/>
      <c r="W121" s="38"/>
      <c r="X121" s="46"/>
      <c r="Y121" s="37"/>
      <c r="Z121" s="46"/>
      <c r="AA121" s="41">
        <f>Table13[[#This Row],[Time until ideal entry + 390 (6:30)]]/(1440)</f>
        <v>0.27083333333333331</v>
      </c>
      <c r="AB121" s="18"/>
      <c r="AC121" s="18" t="e">
        <f>IF(Table13[[#This Row],[HOD AFTER PM HI]]&gt;=Table13[[#This Row],[PM Hi]],((Table13[[#This Row],[HOD AFTER PM HI]]-Table13[[#This Row],[Prior day close]])/Table13[[#This Row],[Prior day close]]),Table13[[#This Row],[Prior Close to PM Hi %]])</f>
        <v>#DIV/0!</v>
      </c>
      <c r="AD121" s="42" t="e">
        <f>(Table13[[#This Row],[Price at hi of squeeze]]-Table13[[#This Row],[MKT Open Price]])/Table13[[#This Row],[MKT Open Price]]</f>
        <v>#DIV/0!</v>
      </c>
      <c r="AE121" s="18" t="e">
        <f>(Table13[[#This Row],[Price at hi of squeeze]]-Table13[[#This Row],[PM Hi]])/Table13[[#This Row],[PM Hi]]</f>
        <v>#DIV/0!</v>
      </c>
      <c r="AF121" s="18"/>
      <c r="AG121" s="20" t="e">
        <f>Table13[[#This Row],[PM VOL]]/1000000/Table13[[#This Row],[FLOAT(M)]]</f>
        <v>#DIV/0!</v>
      </c>
      <c r="AH121" s="23" t="e">
        <f>(Table13[[#This Row],[Volume]]/1000000)/Table13[[#This Row],[FLOAT(M)]]</f>
        <v>#DIV/0!</v>
      </c>
      <c r="AJ121" s="18" t="e">
        <f>(Table13[[#This Row],[PM Hi]]-Table13[[#This Row],[MKT Open Price]])/(Table13[[#This Row],[PM Hi]])</f>
        <v>#DIV/0!</v>
      </c>
      <c r="AK121" s="18" t="e">
        <f>IF(Table13[[#This Row],[PM LO]]&gt;Table13[[#This Row],[Prior day close]],(Table13[[#This Row],[PM Hi]]-Table13[[#This Row],[MKT Open Price]])/(Table13[[#This Row],[PM Hi]]-Table13[[#This Row],[Prior day close]]),(Table13[[#This Row],[PM Hi]]-Table13[[#This Row],[MKT Open Price]])/(Table13[[#This Row],[PM Hi]]-Table13[[#This Row],[PM LO]]))</f>
        <v>#DIV/0!</v>
      </c>
      <c r="AL121" s="48" t="e">
        <f>IF(Table13[[#This Row],[Prior day close]]&lt;Table13[[#This Row],[PM LO]],(J121-L121)/(J121-Table13[[#This Row],[Prior day close]]),(J121-L121)/(J121-Table13[[#This Row],[PM LO]]))</f>
        <v>#DIV/0!</v>
      </c>
      <c r="AM121" s="48">
        <f>Table13[[#This Row],[Spike % on open before drop]]+AN121</f>
        <v>0</v>
      </c>
      <c r="AN121" s="16"/>
      <c r="AO121" s="16"/>
      <c r="AP121" s="48" t="e">
        <f>IF(Table13[[#This Row],[Prior day close]]&lt;=Table13[[#This Row],[PM LO]],IF($K121&gt;=$G121,($K121-$L121)/($K121-Table13[[#This Row],[Prior day close]]),(IF($I121&lt;=$L121,($G121-$I121)/($G121-Table13[[#This Row],[Prior day close]]),(Table13[[#This Row],[PM Hi]]-Table13[[#This Row],[Lowest lo from open to squeeze]])/(Table13[[#This Row],[PM Hi]]-Table13[[#This Row],[Prior day close]])))),IF($K121&gt;=$G121,($K121-$L121)/($K121-Table13[[#This Row],[PM LO]]),(IF($I121&lt;=$L121,($G121-$I121)/($G121-Table13[[#This Row],[PM LO]]),(Table13[[#This Row],[PM Hi]]-Table13[[#This Row],[Lowest lo from open to squeeze]])/(Table13[[#This Row],[PM Hi]]-Table13[[#This Row],[PM LO]])))))</f>
        <v>#DIV/0!</v>
      </c>
      <c r="AQ121" s="18"/>
      <c r="AR121" s="17">
        <f>390+Table13[[#This Row],[Time until ideal entry point (mins) from open]]</f>
        <v>390</v>
      </c>
      <c r="AS121" s="17">
        <f>Table13[[#This Row],[Time until ideal entry + 390 (6:30)]]+Table13[[#This Row],[Duration of frontside (mins)]]</f>
        <v>390</v>
      </c>
    </row>
    <row r="122" spans="1:45" hidden="1" x14ac:dyDescent="0.25">
      <c r="A122" s="49" t="s">
        <v>104</v>
      </c>
      <c r="B122" s="47">
        <v>43880</v>
      </c>
      <c r="C122" s="47" t="s">
        <v>78</v>
      </c>
      <c r="D122" s="46"/>
      <c r="E122" s="12"/>
      <c r="F122" s="13"/>
      <c r="G122" s="12"/>
      <c r="H122" s="12"/>
      <c r="I122" s="12"/>
      <c r="J122" s="12"/>
      <c r="K122" s="12"/>
      <c r="L122" s="12"/>
      <c r="O122" s="13"/>
      <c r="Q122" s="37"/>
      <c r="R122" s="46"/>
      <c r="S122" s="37"/>
      <c r="T122" s="37"/>
      <c r="U122" s="37"/>
      <c r="V122" s="37"/>
      <c r="W122" s="38"/>
      <c r="X122" s="46"/>
      <c r="Y122" s="37"/>
      <c r="Z122" s="46"/>
      <c r="AA122" s="41">
        <f>Table13[[#This Row],[Time until ideal entry + 390 (6:30)]]/(1440)</f>
        <v>0.27083333333333331</v>
      </c>
      <c r="AB122" s="18"/>
      <c r="AC122" s="18" t="e">
        <f>IF(Table13[[#This Row],[HOD AFTER PM HI]]&gt;=Table13[[#This Row],[PM Hi]],((Table13[[#This Row],[HOD AFTER PM HI]]-Table13[[#This Row],[Prior day close]])/Table13[[#This Row],[Prior day close]]),Table13[[#This Row],[Prior Close to PM Hi %]])</f>
        <v>#DIV/0!</v>
      </c>
      <c r="AD122" s="42" t="e">
        <f>(Table13[[#This Row],[Price at hi of squeeze]]-Table13[[#This Row],[MKT Open Price]])/Table13[[#This Row],[MKT Open Price]]</f>
        <v>#DIV/0!</v>
      </c>
      <c r="AE122" s="18" t="e">
        <f>(Table13[[#This Row],[Price at hi of squeeze]]-Table13[[#This Row],[PM Hi]])/Table13[[#This Row],[PM Hi]]</f>
        <v>#DIV/0!</v>
      </c>
      <c r="AF122" s="18"/>
      <c r="AG122" s="20" t="e">
        <f>Table13[[#This Row],[PM VOL]]/1000000/Table13[[#This Row],[FLOAT(M)]]</f>
        <v>#DIV/0!</v>
      </c>
      <c r="AH122" s="23" t="e">
        <f>(Table13[[#This Row],[Volume]]/1000000)/Table13[[#This Row],[FLOAT(M)]]</f>
        <v>#DIV/0!</v>
      </c>
      <c r="AJ122" s="18" t="e">
        <f>(Table13[[#This Row],[PM Hi]]-Table13[[#This Row],[MKT Open Price]])/(Table13[[#This Row],[PM Hi]])</f>
        <v>#DIV/0!</v>
      </c>
      <c r="AK122" s="18" t="e">
        <f>IF(Table13[[#This Row],[PM LO]]&gt;Table13[[#This Row],[Prior day close]],(Table13[[#This Row],[PM Hi]]-Table13[[#This Row],[MKT Open Price]])/(Table13[[#This Row],[PM Hi]]-Table13[[#This Row],[Prior day close]]),(Table13[[#This Row],[PM Hi]]-Table13[[#This Row],[MKT Open Price]])/(Table13[[#This Row],[PM Hi]]-Table13[[#This Row],[PM LO]]))</f>
        <v>#DIV/0!</v>
      </c>
      <c r="AL122" s="48" t="e">
        <f>IF(Table13[[#This Row],[Prior day close]]&lt;Table13[[#This Row],[PM LO]],(J122-L122)/(J122-Table13[[#This Row],[Prior day close]]),(J122-L122)/(J122-Table13[[#This Row],[PM LO]]))</f>
        <v>#DIV/0!</v>
      </c>
      <c r="AM122" s="48">
        <f>Table13[[#This Row],[Spike % on open before drop]]+AN122</f>
        <v>0</v>
      </c>
      <c r="AN122" s="16"/>
      <c r="AO122" s="16"/>
      <c r="AP122" s="48" t="e">
        <f>IF(Table13[[#This Row],[Prior day close]]&lt;=Table13[[#This Row],[PM LO]],IF($K122&gt;=$G122,($K122-$L122)/($K122-Table13[[#This Row],[Prior day close]]),(IF($I122&lt;=$L122,($G122-$I122)/($G122-Table13[[#This Row],[Prior day close]]),(Table13[[#This Row],[PM Hi]]-Table13[[#This Row],[Lowest lo from open to squeeze]])/(Table13[[#This Row],[PM Hi]]-Table13[[#This Row],[Prior day close]])))),IF($K122&gt;=$G122,($K122-$L122)/($K122-Table13[[#This Row],[PM LO]]),(IF($I122&lt;=$L122,($G122-$I122)/($G122-Table13[[#This Row],[PM LO]]),(Table13[[#This Row],[PM Hi]]-Table13[[#This Row],[Lowest lo from open to squeeze]])/(Table13[[#This Row],[PM Hi]]-Table13[[#This Row],[PM LO]])))))</f>
        <v>#DIV/0!</v>
      </c>
      <c r="AQ122" s="18"/>
      <c r="AR122" s="17">
        <f>390+Table13[[#This Row],[Time until ideal entry point (mins) from open]]</f>
        <v>390</v>
      </c>
      <c r="AS122" s="17">
        <f>Table13[[#This Row],[Time until ideal entry + 390 (6:30)]]+Table13[[#This Row],[Duration of frontside (mins)]]</f>
        <v>390</v>
      </c>
    </row>
    <row r="123" spans="1:45" hidden="1" x14ac:dyDescent="0.25">
      <c r="A123" s="24" t="s">
        <v>212</v>
      </c>
      <c r="B123" s="47">
        <v>43887</v>
      </c>
      <c r="C123" s="47" t="s">
        <v>78</v>
      </c>
      <c r="D123" s="46"/>
      <c r="E123" s="12"/>
      <c r="F123" s="13"/>
      <c r="G123" s="12"/>
      <c r="H123" s="12"/>
      <c r="I123" s="12"/>
      <c r="J123" s="12"/>
      <c r="K123" s="12"/>
      <c r="L123" s="12"/>
      <c r="O123" s="13"/>
      <c r="Q123" s="37"/>
      <c r="R123" s="46"/>
      <c r="S123" s="37"/>
      <c r="T123" s="37"/>
      <c r="U123" s="37"/>
      <c r="V123" s="37"/>
      <c r="W123" s="38"/>
      <c r="X123" s="46"/>
      <c r="Y123" s="37"/>
      <c r="Z123" s="46"/>
      <c r="AA123" s="41">
        <f>Table13[[#This Row],[Time until ideal entry + 390 (6:30)]]/(1440)</f>
        <v>0.27083333333333331</v>
      </c>
      <c r="AB123" s="18"/>
      <c r="AC123" s="18" t="e">
        <f>IF(Table13[[#This Row],[HOD AFTER PM HI]]&gt;=Table13[[#This Row],[PM Hi]],((Table13[[#This Row],[HOD AFTER PM HI]]-Table13[[#This Row],[Prior day close]])/Table13[[#This Row],[Prior day close]]),Table13[[#This Row],[Prior Close to PM Hi %]])</f>
        <v>#DIV/0!</v>
      </c>
      <c r="AD123" s="42" t="e">
        <f>(Table13[[#This Row],[Price at hi of squeeze]]-Table13[[#This Row],[MKT Open Price]])/Table13[[#This Row],[MKT Open Price]]</f>
        <v>#DIV/0!</v>
      </c>
      <c r="AE123" s="18" t="e">
        <f>(Table13[[#This Row],[Price at hi of squeeze]]-Table13[[#This Row],[PM Hi]])/Table13[[#This Row],[PM Hi]]</f>
        <v>#DIV/0!</v>
      </c>
      <c r="AF123" s="18"/>
      <c r="AG123" s="20" t="e">
        <f>Table13[[#This Row],[PM VOL]]/1000000/Table13[[#This Row],[FLOAT(M)]]</f>
        <v>#DIV/0!</v>
      </c>
      <c r="AH123" s="23" t="e">
        <f>(Table13[[#This Row],[Volume]]/1000000)/Table13[[#This Row],[FLOAT(M)]]</f>
        <v>#DIV/0!</v>
      </c>
      <c r="AJ123" s="18" t="e">
        <f>(Table13[[#This Row],[PM Hi]]-Table13[[#This Row],[MKT Open Price]])/(Table13[[#This Row],[PM Hi]])</f>
        <v>#DIV/0!</v>
      </c>
      <c r="AK123" s="18" t="e">
        <f>IF(Table13[[#This Row],[PM LO]]&gt;Table13[[#This Row],[Prior day close]],(Table13[[#This Row],[PM Hi]]-Table13[[#This Row],[MKT Open Price]])/(Table13[[#This Row],[PM Hi]]-Table13[[#This Row],[Prior day close]]),(Table13[[#This Row],[PM Hi]]-Table13[[#This Row],[MKT Open Price]])/(Table13[[#This Row],[PM Hi]]-Table13[[#This Row],[PM LO]]))</f>
        <v>#DIV/0!</v>
      </c>
      <c r="AL123" s="48" t="e">
        <f>IF(Table13[[#This Row],[Prior day close]]&lt;Table13[[#This Row],[PM LO]],(J123-L123)/(J123-Table13[[#This Row],[Prior day close]]),(J123-L123)/(J123-Table13[[#This Row],[PM LO]]))</f>
        <v>#DIV/0!</v>
      </c>
      <c r="AM123" s="48">
        <f>Table13[[#This Row],[Spike % on open before drop]]+AN123</f>
        <v>0</v>
      </c>
      <c r="AN123" s="16"/>
      <c r="AO123" s="16"/>
      <c r="AP123" s="48" t="e">
        <f>IF(Table13[[#This Row],[Prior day close]]&lt;=Table13[[#This Row],[PM LO]],IF($K123&gt;=$G123,($K123-$L123)/($K123-Table13[[#This Row],[Prior day close]]),(IF($I123&lt;=$L123,($G123-$I123)/($G123-Table13[[#This Row],[Prior day close]]),(Table13[[#This Row],[PM Hi]]-Table13[[#This Row],[Lowest lo from open to squeeze]])/(Table13[[#This Row],[PM Hi]]-Table13[[#This Row],[Prior day close]])))),IF($K123&gt;=$G123,($K123-$L123)/($K123-Table13[[#This Row],[PM LO]]),(IF($I123&lt;=$L123,($G123-$I123)/($G123-Table13[[#This Row],[PM LO]]),(Table13[[#This Row],[PM Hi]]-Table13[[#This Row],[Lowest lo from open to squeeze]])/(Table13[[#This Row],[PM Hi]]-Table13[[#This Row],[PM LO]])))))</f>
        <v>#DIV/0!</v>
      </c>
      <c r="AQ123" s="18"/>
      <c r="AR123" s="17">
        <f>390+Table13[[#This Row],[Time until ideal entry point (mins) from open]]</f>
        <v>390</v>
      </c>
      <c r="AS123" s="17">
        <f>Table13[[#This Row],[Time until ideal entry + 390 (6:30)]]+Table13[[#This Row],[Duration of frontside (mins)]]</f>
        <v>390</v>
      </c>
    </row>
    <row r="124" spans="1:45" hidden="1" x14ac:dyDescent="0.25">
      <c r="A124" s="24" t="s">
        <v>213</v>
      </c>
      <c r="B124" s="47">
        <v>43888</v>
      </c>
      <c r="C124" s="47" t="s">
        <v>178</v>
      </c>
      <c r="D124" s="46"/>
      <c r="E124" s="12"/>
      <c r="F124" s="13"/>
      <c r="G124" s="12"/>
      <c r="H124" s="12"/>
      <c r="I124" s="12"/>
      <c r="J124" s="12"/>
      <c r="K124" s="12"/>
      <c r="L124" s="12"/>
      <c r="O124" s="13"/>
      <c r="Q124" s="37"/>
      <c r="R124" s="46"/>
      <c r="S124" s="37"/>
      <c r="T124" s="37"/>
      <c r="U124" s="37"/>
      <c r="V124" s="37"/>
      <c r="W124" s="38"/>
      <c r="X124" s="46"/>
      <c r="Y124" s="37"/>
      <c r="Z124" s="46"/>
      <c r="AA124" s="41">
        <f>Table13[[#This Row],[Time until ideal entry + 390 (6:30)]]/(1440)</f>
        <v>0.27083333333333331</v>
      </c>
      <c r="AB124" s="18"/>
      <c r="AC124" s="18" t="e">
        <f>IF(Table13[[#This Row],[HOD AFTER PM HI]]&gt;=Table13[[#This Row],[PM Hi]],((Table13[[#This Row],[HOD AFTER PM HI]]-Table13[[#This Row],[Prior day close]])/Table13[[#This Row],[Prior day close]]),Table13[[#This Row],[Prior Close to PM Hi %]])</f>
        <v>#DIV/0!</v>
      </c>
      <c r="AD124" s="42" t="e">
        <f>(Table13[[#This Row],[Price at hi of squeeze]]-Table13[[#This Row],[MKT Open Price]])/Table13[[#This Row],[MKT Open Price]]</f>
        <v>#DIV/0!</v>
      </c>
      <c r="AE124" s="18" t="e">
        <f>(Table13[[#This Row],[Price at hi of squeeze]]-Table13[[#This Row],[PM Hi]])/Table13[[#This Row],[PM Hi]]</f>
        <v>#DIV/0!</v>
      </c>
      <c r="AF124" s="18"/>
      <c r="AG124" s="20" t="e">
        <f>Table13[[#This Row],[PM VOL]]/1000000/Table13[[#This Row],[FLOAT(M)]]</f>
        <v>#DIV/0!</v>
      </c>
      <c r="AH124" s="23" t="e">
        <f>(Table13[[#This Row],[Volume]]/1000000)/Table13[[#This Row],[FLOAT(M)]]</f>
        <v>#DIV/0!</v>
      </c>
      <c r="AJ124" s="18" t="e">
        <f>(Table13[[#This Row],[PM Hi]]-Table13[[#This Row],[MKT Open Price]])/(Table13[[#This Row],[PM Hi]])</f>
        <v>#DIV/0!</v>
      </c>
      <c r="AK124" s="18" t="e">
        <f>IF(Table13[[#This Row],[PM LO]]&gt;Table13[[#This Row],[Prior day close]],(Table13[[#This Row],[PM Hi]]-Table13[[#This Row],[MKT Open Price]])/(Table13[[#This Row],[PM Hi]]-Table13[[#This Row],[Prior day close]]),(Table13[[#This Row],[PM Hi]]-Table13[[#This Row],[MKT Open Price]])/(Table13[[#This Row],[PM Hi]]-Table13[[#This Row],[PM LO]]))</f>
        <v>#DIV/0!</v>
      </c>
      <c r="AL124" s="48" t="e">
        <f>IF(Table13[[#This Row],[Prior day close]]&lt;Table13[[#This Row],[PM LO]],(J124-L124)/(J124-Table13[[#This Row],[Prior day close]]),(J124-L124)/(J124-Table13[[#This Row],[PM LO]]))</f>
        <v>#DIV/0!</v>
      </c>
      <c r="AM124" s="48">
        <f>Table13[[#This Row],[Spike % on open before drop]]+AN124</f>
        <v>0</v>
      </c>
      <c r="AN124" s="16"/>
      <c r="AO124" s="16"/>
      <c r="AP124" s="48" t="e">
        <f>IF(Table13[[#This Row],[Prior day close]]&lt;=Table13[[#This Row],[PM LO]],IF($K124&gt;=$G124,($K124-$L124)/($K124-Table13[[#This Row],[Prior day close]]),(IF($I124&lt;=$L124,($G124-$I124)/($G124-Table13[[#This Row],[Prior day close]]),(Table13[[#This Row],[PM Hi]]-Table13[[#This Row],[Lowest lo from open to squeeze]])/(Table13[[#This Row],[PM Hi]]-Table13[[#This Row],[Prior day close]])))),IF($K124&gt;=$G124,($K124-$L124)/($K124-Table13[[#This Row],[PM LO]]),(IF($I124&lt;=$L124,($G124-$I124)/($G124-Table13[[#This Row],[PM LO]]),(Table13[[#This Row],[PM Hi]]-Table13[[#This Row],[Lowest lo from open to squeeze]])/(Table13[[#This Row],[PM Hi]]-Table13[[#This Row],[PM LO]])))))</f>
        <v>#DIV/0!</v>
      </c>
      <c r="AQ124" s="18"/>
      <c r="AR124" s="17">
        <f>390+Table13[[#This Row],[Time until ideal entry point (mins) from open]]</f>
        <v>390</v>
      </c>
      <c r="AS124" s="17">
        <f>Table13[[#This Row],[Time until ideal entry + 390 (6:30)]]+Table13[[#This Row],[Duration of frontside (mins)]]</f>
        <v>390</v>
      </c>
    </row>
    <row r="125" spans="1:45" hidden="1" x14ac:dyDescent="0.25">
      <c r="A125" s="24" t="s">
        <v>214</v>
      </c>
      <c r="B125" s="47">
        <v>43888</v>
      </c>
      <c r="C125" s="47" t="s">
        <v>78</v>
      </c>
      <c r="D125" s="46"/>
      <c r="E125" s="12"/>
      <c r="F125" s="13"/>
      <c r="G125" s="12"/>
      <c r="H125" s="12"/>
      <c r="I125" s="12"/>
      <c r="J125" s="12"/>
      <c r="K125" s="12"/>
      <c r="L125" s="12"/>
      <c r="O125" s="13"/>
      <c r="Q125" s="37"/>
      <c r="R125" s="46"/>
      <c r="S125" s="37"/>
      <c r="T125" s="37"/>
      <c r="U125" s="37"/>
      <c r="V125" s="37"/>
      <c r="W125" s="38"/>
      <c r="X125" s="46"/>
      <c r="Y125" s="37"/>
      <c r="Z125" s="46"/>
      <c r="AA125" s="41">
        <f>Table13[[#This Row],[Time until ideal entry + 390 (6:30)]]/(1440)</f>
        <v>0.27083333333333331</v>
      </c>
      <c r="AB125" s="18"/>
      <c r="AC125" s="18" t="e">
        <f>IF(Table13[[#This Row],[HOD AFTER PM HI]]&gt;=Table13[[#This Row],[PM Hi]],((Table13[[#This Row],[HOD AFTER PM HI]]-Table13[[#This Row],[Prior day close]])/Table13[[#This Row],[Prior day close]]),Table13[[#This Row],[Prior Close to PM Hi %]])</f>
        <v>#DIV/0!</v>
      </c>
      <c r="AD125" s="42" t="e">
        <f>(Table13[[#This Row],[Price at hi of squeeze]]-Table13[[#This Row],[MKT Open Price]])/Table13[[#This Row],[MKT Open Price]]</f>
        <v>#DIV/0!</v>
      </c>
      <c r="AE125" s="18" t="e">
        <f>(Table13[[#This Row],[Price at hi of squeeze]]-Table13[[#This Row],[PM Hi]])/Table13[[#This Row],[PM Hi]]</f>
        <v>#DIV/0!</v>
      </c>
      <c r="AF125" s="18"/>
      <c r="AG125" s="20" t="e">
        <f>Table13[[#This Row],[PM VOL]]/1000000/Table13[[#This Row],[FLOAT(M)]]</f>
        <v>#DIV/0!</v>
      </c>
      <c r="AH125" s="23" t="e">
        <f>(Table13[[#This Row],[Volume]]/1000000)/Table13[[#This Row],[FLOAT(M)]]</f>
        <v>#DIV/0!</v>
      </c>
      <c r="AJ125" s="18" t="e">
        <f>(Table13[[#This Row],[PM Hi]]-Table13[[#This Row],[MKT Open Price]])/(Table13[[#This Row],[PM Hi]])</f>
        <v>#DIV/0!</v>
      </c>
      <c r="AK125" s="18" t="e">
        <f>IF(Table13[[#This Row],[PM LO]]&gt;Table13[[#This Row],[Prior day close]],(Table13[[#This Row],[PM Hi]]-Table13[[#This Row],[MKT Open Price]])/(Table13[[#This Row],[PM Hi]]-Table13[[#This Row],[Prior day close]]),(Table13[[#This Row],[PM Hi]]-Table13[[#This Row],[MKT Open Price]])/(Table13[[#This Row],[PM Hi]]-Table13[[#This Row],[PM LO]]))</f>
        <v>#DIV/0!</v>
      </c>
      <c r="AL125" s="48" t="e">
        <f>IF(Table13[[#This Row],[Prior day close]]&lt;Table13[[#This Row],[PM LO]],(J125-L125)/(J125-Table13[[#This Row],[Prior day close]]),(J125-L125)/(J125-Table13[[#This Row],[PM LO]]))</f>
        <v>#DIV/0!</v>
      </c>
      <c r="AM125" s="48">
        <f>Table13[[#This Row],[Spike % on open before drop]]+AN125</f>
        <v>0</v>
      </c>
      <c r="AN125" s="16"/>
      <c r="AO125" s="16"/>
      <c r="AP125" s="48" t="e">
        <f>IF(Table13[[#This Row],[Prior day close]]&lt;=Table13[[#This Row],[PM LO]],IF($K125&gt;=$G125,($K125-$L125)/($K125-Table13[[#This Row],[Prior day close]]),(IF($I125&lt;=$L125,($G125-$I125)/($G125-Table13[[#This Row],[Prior day close]]),(Table13[[#This Row],[PM Hi]]-Table13[[#This Row],[Lowest lo from open to squeeze]])/(Table13[[#This Row],[PM Hi]]-Table13[[#This Row],[Prior day close]])))),IF($K125&gt;=$G125,($K125-$L125)/($K125-Table13[[#This Row],[PM LO]]),(IF($I125&lt;=$L125,($G125-$I125)/($G125-Table13[[#This Row],[PM LO]]),(Table13[[#This Row],[PM Hi]]-Table13[[#This Row],[Lowest lo from open to squeeze]])/(Table13[[#This Row],[PM Hi]]-Table13[[#This Row],[PM LO]])))))</f>
        <v>#DIV/0!</v>
      </c>
      <c r="AQ125" s="18"/>
      <c r="AR125" s="17">
        <f>390+Table13[[#This Row],[Time until ideal entry point (mins) from open]]</f>
        <v>390</v>
      </c>
      <c r="AS125" s="17">
        <f>Table13[[#This Row],[Time until ideal entry + 390 (6:30)]]+Table13[[#This Row],[Duration of frontside (mins)]]</f>
        <v>390</v>
      </c>
    </row>
    <row r="126" spans="1:45" hidden="1" x14ac:dyDescent="0.25">
      <c r="A126" s="24" t="s">
        <v>215</v>
      </c>
      <c r="B126" s="47">
        <v>43888</v>
      </c>
      <c r="C126" s="47" t="s">
        <v>78</v>
      </c>
      <c r="D126" s="46"/>
      <c r="E126" s="12"/>
      <c r="F126" s="13"/>
      <c r="G126" s="12"/>
      <c r="H126" s="12"/>
      <c r="I126" s="12"/>
      <c r="J126" s="12"/>
      <c r="K126" s="12"/>
      <c r="L126" s="12"/>
      <c r="O126" s="13"/>
      <c r="Q126" s="37"/>
      <c r="R126" s="46"/>
      <c r="S126" s="37"/>
      <c r="T126" s="37"/>
      <c r="U126" s="37"/>
      <c r="V126" s="37"/>
      <c r="W126" s="38"/>
      <c r="X126" s="46"/>
      <c r="Y126" s="37"/>
      <c r="Z126" s="46"/>
      <c r="AA126" s="41">
        <f>Table13[[#This Row],[Time until ideal entry + 390 (6:30)]]/(1440)</f>
        <v>0.27083333333333331</v>
      </c>
      <c r="AB126" s="18"/>
      <c r="AC126" s="18" t="e">
        <f>IF(Table13[[#This Row],[HOD AFTER PM HI]]&gt;=Table13[[#This Row],[PM Hi]],((Table13[[#This Row],[HOD AFTER PM HI]]-Table13[[#This Row],[Prior day close]])/Table13[[#This Row],[Prior day close]]),Table13[[#This Row],[Prior Close to PM Hi %]])</f>
        <v>#DIV/0!</v>
      </c>
      <c r="AD126" s="42" t="e">
        <f>(Table13[[#This Row],[Price at hi of squeeze]]-Table13[[#This Row],[MKT Open Price]])/Table13[[#This Row],[MKT Open Price]]</f>
        <v>#DIV/0!</v>
      </c>
      <c r="AE126" s="18" t="e">
        <f>(Table13[[#This Row],[Price at hi of squeeze]]-Table13[[#This Row],[PM Hi]])/Table13[[#This Row],[PM Hi]]</f>
        <v>#DIV/0!</v>
      </c>
      <c r="AF126" s="18"/>
      <c r="AG126" s="20" t="e">
        <f>Table13[[#This Row],[PM VOL]]/1000000/Table13[[#This Row],[FLOAT(M)]]</f>
        <v>#DIV/0!</v>
      </c>
      <c r="AH126" s="23" t="e">
        <f>(Table13[[#This Row],[Volume]]/1000000)/Table13[[#This Row],[FLOAT(M)]]</f>
        <v>#DIV/0!</v>
      </c>
      <c r="AJ126" s="18" t="e">
        <f>(Table13[[#This Row],[PM Hi]]-Table13[[#This Row],[MKT Open Price]])/(Table13[[#This Row],[PM Hi]])</f>
        <v>#DIV/0!</v>
      </c>
      <c r="AK126" s="18" t="e">
        <f>IF(Table13[[#This Row],[PM LO]]&gt;Table13[[#This Row],[Prior day close]],(Table13[[#This Row],[PM Hi]]-Table13[[#This Row],[MKT Open Price]])/(Table13[[#This Row],[PM Hi]]-Table13[[#This Row],[Prior day close]]),(Table13[[#This Row],[PM Hi]]-Table13[[#This Row],[MKT Open Price]])/(Table13[[#This Row],[PM Hi]]-Table13[[#This Row],[PM LO]]))</f>
        <v>#DIV/0!</v>
      </c>
      <c r="AL126" s="48" t="e">
        <f>IF(Table13[[#This Row],[Prior day close]]&lt;Table13[[#This Row],[PM LO]],(J126-L126)/(J126-Table13[[#This Row],[Prior day close]]),(J126-L126)/(J126-Table13[[#This Row],[PM LO]]))</f>
        <v>#DIV/0!</v>
      </c>
      <c r="AM126" s="48">
        <f>Table13[[#This Row],[Spike % on open before drop]]+AN126</f>
        <v>0</v>
      </c>
      <c r="AN126" s="16"/>
      <c r="AO126" s="16"/>
      <c r="AP126" s="48" t="e">
        <f>IF(Table13[[#This Row],[Prior day close]]&lt;=Table13[[#This Row],[PM LO]],IF($K126&gt;=$G126,($K126-$L126)/($K126-Table13[[#This Row],[Prior day close]]),(IF($I126&lt;=$L126,($G126-$I126)/($G126-Table13[[#This Row],[Prior day close]]),(Table13[[#This Row],[PM Hi]]-Table13[[#This Row],[Lowest lo from open to squeeze]])/(Table13[[#This Row],[PM Hi]]-Table13[[#This Row],[Prior day close]])))),IF($K126&gt;=$G126,($K126-$L126)/($K126-Table13[[#This Row],[PM LO]]),(IF($I126&lt;=$L126,($G126-$I126)/($G126-Table13[[#This Row],[PM LO]]),(Table13[[#This Row],[PM Hi]]-Table13[[#This Row],[Lowest lo from open to squeeze]])/(Table13[[#This Row],[PM Hi]]-Table13[[#This Row],[PM LO]])))))</f>
        <v>#DIV/0!</v>
      </c>
      <c r="AQ126" s="18"/>
      <c r="AR126" s="17">
        <f>390+Table13[[#This Row],[Time until ideal entry point (mins) from open]]</f>
        <v>390</v>
      </c>
      <c r="AS126" s="17">
        <f>Table13[[#This Row],[Time until ideal entry + 390 (6:30)]]+Table13[[#This Row],[Duration of frontside (mins)]]</f>
        <v>390</v>
      </c>
    </row>
    <row r="127" spans="1:45" hidden="1" x14ac:dyDescent="0.25">
      <c r="A127" s="24" t="s">
        <v>216</v>
      </c>
      <c r="B127" s="47">
        <v>43892</v>
      </c>
      <c r="C127" s="47" t="s">
        <v>78</v>
      </c>
      <c r="D127" s="46"/>
      <c r="E127" s="12"/>
      <c r="F127" s="13"/>
      <c r="G127" s="12"/>
      <c r="H127" s="12"/>
      <c r="I127" s="12"/>
      <c r="J127" s="12"/>
      <c r="K127" s="12"/>
      <c r="L127" s="12"/>
      <c r="O127" s="13"/>
      <c r="Q127" s="37"/>
      <c r="R127" s="46"/>
      <c r="S127" s="37"/>
      <c r="T127" s="37"/>
      <c r="U127" s="37"/>
      <c r="V127" s="37"/>
      <c r="W127" s="38"/>
      <c r="X127" s="46"/>
      <c r="Y127" s="37"/>
      <c r="Z127" s="46"/>
      <c r="AA127" s="41">
        <f>Table13[[#This Row],[Time until ideal entry + 390 (6:30)]]/(1440)</f>
        <v>0.27083333333333331</v>
      </c>
      <c r="AB127" s="18"/>
      <c r="AC127" s="18" t="e">
        <f>IF(Table13[[#This Row],[HOD AFTER PM HI]]&gt;=Table13[[#This Row],[PM Hi]],((Table13[[#This Row],[HOD AFTER PM HI]]-Table13[[#This Row],[Prior day close]])/Table13[[#This Row],[Prior day close]]),Table13[[#This Row],[Prior Close to PM Hi %]])</f>
        <v>#DIV/0!</v>
      </c>
      <c r="AD127" s="42" t="e">
        <f>(Table13[[#This Row],[Price at hi of squeeze]]-Table13[[#This Row],[MKT Open Price]])/Table13[[#This Row],[MKT Open Price]]</f>
        <v>#DIV/0!</v>
      </c>
      <c r="AE127" s="18" t="e">
        <f>(Table13[[#This Row],[Price at hi of squeeze]]-Table13[[#This Row],[PM Hi]])/Table13[[#This Row],[PM Hi]]</f>
        <v>#DIV/0!</v>
      </c>
      <c r="AF127" s="18"/>
      <c r="AG127" s="20" t="e">
        <f>Table13[[#This Row],[PM VOL]]/1000000/Table13[[#This Row],[FLOAT(M)]]</f>
        <v>#DIV/0!</v>
      </c>
      <c r="AH127" s="23" t="e">
        <f>(Table13[[#This Row],[Volume]]/1000000)/Table13[[#This Row],[FLOAT(M)]]</f>
        <v>#DIV/0!</v>
      </c>
      <c r="AJ127" s="18" t="e">
        <f>(Table13[[#This Row],[PM Hi]]-Table13[[#This Row],[MKT Open Price]])/(Table13[[#This Row],[PM Hi]])</f>
        <v>#DIV/0!</v>
      </c>
      <c r="AK127" s="18" t="e">
        <f>IF(Table13[[#This Row],[PM LO]]&gt;Table13[[#This Row],[Prior day close]],(Table13[[#This Row],[PM Hi]]-Table13[[#This Row],[MKT Open Price]])/(Table13[[#This Row],[PM Hi]]-Table13[[#This Row],[Prior day close]]),(Table13[[#This Row],[PM Hi]]-Table13[[#This Row],[MKT Open Price]])/(Table13[[#This Row],[PM Hi]]-Table13[[#This Row],[PM LO]]))</f>
        <v>#DIV/0!</v>
      </c>
      <c r="AL127" s="48" t="e">
        <f>IF(Table13[[#This Row],[Prior day close]]&lt;Table13[[#This Row],[PM LO]],(J127-L127)/(J127-Table13[[#This Row],[Prior day close]]),(J127-L127)/(J127-Table13[[#This Row],[PM LO]]))</f>
        <v>#DIV/0!</v>
      </c>
      <c r="AM127" s="48">
        <f>Table13[[#This Row],[Spike % on open before drop]]+AN127</f>
        <v>0</v>
      </c>
      <c r="AN127" s="16"/>
      <c r="AO127" s="16"/>
      <c r="AP127" s="48" t="e">
        <f>IF(Table13[[#This Row],[Prior day close]]&lt;=Table13[[#This Row],[PM LO]],IF($K127&gt;=$G127,($K127-$L127)/($K127-Table13[[#This Row],[Prior day close]]),(IF($I127&lt;=$L127,($G127-$I127)/($G127-Table13[[#This Row],[Prior day close]]),(Table13[[#This Row],[PM Hi]]-Table13[[#This Row],[Lowest lo from open to squeeze]])/(Table13[[#This Row],[PM Hi]]-Table13[[#This Row],[Prior day close]])))),IF($K127&gt;=$G127,($K127-$L127)/($K127-Table13[[#This Row],[PM LO]]),(IF($I127&lt;=$L127,($G127-$I127)/($G127-Table13[[#This Row],[PM LO]]),(Table13[[#This Row],[PM Hi]]-Table13[[#This Row],[Lowest lo from open to squeeze]])/(Table13[[#This Row],[PM Hi]]-Table13[[#This Row],[PM LO]])))))</f>
        <v>#DIV/0!</v>
      </c>
      <c r="AQ127" s="18"/>
      <c r="AR127" s="17">
        <f>390+Table13[[#This Row],[Time until ideal entry point (mins) from open]]</f>
        <v>390</v>
      </c>
      <c r="AS127" s="17">
        <f>Table13[[#This Row],[Time until ideal entry + 390 (6:30)]]+Table13[[#This Row],[Duration of frontside (mins)]]</f>
        <v>390</v>
      </c>
    </row>
    <row r="128" spans="1:45" hidden="1" x14ac:dyDescent="0.25">
      <c r="A128" s="24" t="s">
        <v>217</v>
      </c>
      <c r="B128" s="47">
        <v>43895</v>
      </c>
      <c r="C128" s="47" t="s">
        <v>78</v>
      </c>
      <c r="D128" s="46"/>
      <c r="E128" s="12"/>
      <c r="F128" s="13"/>
      <c r="G128" s="12"/>
      <c r="H128" s="12"/>
      <c r="I128" s="12"/>
      <c r="J128" s="12"/>
      <c r="K128" s="12"/>
      <c r="L128" s="12"/>
      <c r="O128" s="13"/>
      <c r="Q128" s="37"/>
      <c r="R128" s="46"/>
      <c r="S128" s="37"/>
      <c r="T128" s="37"/>
      <c r="U128" s="37"/>
      <c r="V128" s="37"/>
      <c r="W128" s="38"/>
      <c r="X128" s="46"/>
      <c r="Y128" s="37"/>
      <c r="Z128" s="46"/>
      <c r="AA128" s="41">
        <f>Table13[[#This Row],[Time until ideal entry + 390 (6:30)]]/(1440)</f>
        <v>0.27083333333333331</v>
      </c>
      <c r="AB128" s="18"/>
      <c r="AC128" s="18" t="e">
        <f>IF(Table13[[#This Row],[HOD AFTER PM HI]]&gt;=Table13[[#This Row],[PM Hi]],((Table13[[#This Row],[HOD AFTER PM HI]]-Table13[[#This Row],[Prior day close]])/Table13[[#This Row],[Prior day close]]),Table13[[#This Row],[Prior Close to PM Hi %]])</f>
        <v>#DIV/0!</v>
      </c>
      <c r="AD128" s="42" t="e">
        <f>(Table13[[#This Row],[Price at hi of squeeze]]-Table13[[#This Row],[MKT Open Price]])/Table13[[#This Row],[MKT Open Price]]</f>
        <v>#DIV/0!</v>
      </c>
      <c r="AE128" s="18" t="e">
        <f>(Table13[[#This Row],[Price at hi of squeeze]]-Table13[[#This Row],[PM Hi]])/Table13[[#This Row],[PM Hi]]</f>
        <v>#DIV/0!</v>
      </c>
      <c r="AF128" s="18"/>
      <c r="AG128" s="20" t="e">
        <f>Table13[[#This Row],[PM VOL]]/1000000/Table13[[#This Row],[FLOAT(M)]]</f>
        <v>#DIV/0!</v>
      </c>
      <c r="AH128" s="23" t="e">
        <f>(Table13[[#This Row],[Volume]]/1000000)/Table13[[#This Row],[FLOAT(M)]]</f>
        <v>#DIV/0!</v>
      </c>
      <c r="AJ128" s="18" t="e">
        <f>(Table13[[#This Row],[PM Hi]]-Table13[[#This Row],[MKT Open Price]])/(Table13[[#This Row],[PM Hi]])</f>
        <v>#DIV/0!</v>
      </c>
      <c r="AK128" s="18" t="e">
        <f>IF(Table13[[#This Row],[PM LO]]&gt;Table13[[#This Row],[Prior day close]],(Table13[[#This Row],[PM Hi]]-Table13[[#This Row],[MKT Open Price]])/(Table13[[#This Row],[PM Hi]]-Table13[[#This Row],[Prior day close]]),(Table13[[#This Row],[PM Hi]]-Table13[[#This Row],[MKT Open Price]])/(Table13[[#This Row],[PM Hi]]-Table13[[#This Row],[PM LO]]))</f>
        <v>#DIV/0!</v>
      </c>
      <c r="AL128" s="48" t="e">
        <f>IF(Table13[[#This Row],[Prior day close]]&lt;Table13[[#This Row],[PM LO]],(J128-L128)/(J128-Table13[[#This Row],[Prior day close]]),(J128-L128)/(J128-Table13[[#This Row],[PM LO]]))</f>
        <v>#DIV/0!</v>
      </c>
      <c r="AM128" s="48">
        <f>Table13[[#This Row],[Spike % on open before drop]]+AN128</f>
        <v>0</v>
      </c>
      <c r="AN128" s="16"/>
      <c r="AO128" s="16"/>
      <c r="AP128" s="48" t="e">
        <f>IF(Table13[[#This Row],[Prior day close]]&lt;=Table13[[#This Row],[PM LO]],IF($K128&gt;=$G128,($K128-$L128)/($K128-Table13[[#This Row],[Prior day close]]),(IF($I128&lt;=$L128,($G128-$I128)/($G128-Table13[[#This Row],[Prior day close]]),(Table13[[#This Row],[PM Hi]]-Table13[[#This Row],[Lowest lo from open to squeeze]])/(Table13[[#This Row],[PM Hi]]-Table13[[#This Row],[Prior day close]])))),IF($K128&gt;=$G128,($K128-$L128)/($K128-Table13[[#This Row],[PM LO]]),(IF($I128&lt;=$L128,($G128-$I128)/($G128-Table13[[#This Row],[PM LO]]),(Table13[[#This Row],[PM Hi]]-Table13[[#This Row],[Lowest lo from open to squeeze]])/(Table13[[#This Row],[PM Hi]]-Table13[[#This Row],[PM LO]])))))</f>
        <v>#DIV/0!</v>
      </c>
      <c r="AQ128" s="18"/>
      <c r="AR128" s="17">
        <f>390+Table13[[#This Row],[Time until ideal entry point (mins) from open]]</f>
        <v>390</v>
      </c>
      <c r="AS128" s="17">
        <f>Table13[[#This Row],[Time until ideal entry + 390 (6:30)]]+Table13[[#This Row],[Duration of frontside (mins)]]</f>
        <v>390</v>
      </c>
    </row>
    <row r="129" spans="1:45" hidden="1" x14ac:dyDescent="0.25">
      <c r="A129" s="24" t="s">
        <v>218</v>
      </c>
      <c r="B129" s="47">
        <v>43899</v>
      </c>
      <c r="C129" s="47" t="s">
        <v>78</v>
      </c>
      <c r="D129" s="46"/>
      <c r="E129" s="12"/>
      <c r="F129" s="13"/>
      <c r="G129" s="12"/>
      <c r="H129" s="12"/>
      <c r="I129" s="12"/>
      <c r="J129" s="12"/>
      <c r="K129" s="12"/>
      <c r="L129" s="12"/>
      <c r="O129" s="13"/>
      <c r="Q129" s="37"/>
      <c r="R129" s="46"/>
      <c r="S129" s="37"/>
      <c r="T129" s="37"/>
      <c r="U129" s="37"/>
      <c r="V129" s="37"/>
      <c r="W129" s="38"/>
      <c r="X129" s="46"/>
      <c r="Y129" s="37"/>
      <c r="Z129" s="46"/>
      <c r="AA129" s="41">
        <f>Table13[[#This Row],[Time until ideal entry + 390 (6:30)]]/(1440)</f>
        <v>0.27083333333333331</v>
      </c>
      <c r="AB129" s="18"/>
      <c r="AC129" s="18" t="e">
        <f>IF(Table13[[#This Row],[HOD AFTER PM HI]]&gt;=Table13[[#This Row],[PM Hi]],((Table13[[#This Row],[HOD AFTER PM HI]]-Table13[[#This Row],[Prior day close]])/Table13[[#This Row],[Prior day close]]),Table13[[#This Row],[Prior Close to PM Hi %]])</f>
        <v>#DIV/0!</v>
      </c>
      <c r="AD129" s="42" t="e">
        <f>(Table13[[#This Row],[Price at hi of squeeze]]-Table13[[#This Row],[MKT Open Price]])/Table13[[#This Row],[MKT Open Price]]</f>
        <v>#DIV/0!</v>
      </c>
      <c r="AE129" s="18" t="e">
        <f>(Table13[[#This Row],[Price at hi of squeeze]]-Table13[[#This Row],[PM Hi]])/Table13[[#This Row],[PM Hi]]</f>
        <v>#DIV/0!</v>
      </c>
      <c r="AF129" s="18"/>
      <c r="AG129" s="20" t="e">
        <f>Table13[[#This Row],[PM VOL]]/1000000/Table13[[#This Row],[FLOAT(M)]]</f>
        <v>#DIV/0!</v>
      </c>
      <c r="AH129" s="23" t="e">
        <f>(Table13[[#This Row],[Volume]]/1000000)/Table13[[#This Row],[FLOAT(M)]]</f>
        <v>#DIV/0!</v>
      </c>
      <c r="AJ129" s="18" t="e">
        <f>(Table13[[#This Row],[PM Hi]]-Table13[[#This Row],[MKT Open Price]])/(Table13[[#This Row],[PM Hi]])</f>
        <v>#DIV/0!</v>
      </c>
      <c r="AK129" s="18" t="e">
        <f>IF(Table13[[#This Row],[PM LO]]&gt;Table13[[#This Row],[Prior day close]],(Table13[[#This Row],[PM Hi]]-Table13[[#This Row],[MKT Open Price]])/(Table13[[#This Row],[PM Hi]]-Table13[[#This Row],[Prior day close]]),(Table13[[#This Row],[PM Hi]]-Table13[[#This Row],[MKT Open Price]])/(Table13[[#This Row],[PM Hi]]-Table13[[#This Row],[PM LO]]))</f>
        <v>#DIV/0!</v>
      </c>
      <c r="AL129" s="48" t="e">
        <f>IF(Table13[[#This Row],[Prior day close]]&lt;Table13[[#This Row],[PM LO]],(J129-L129)/(J129-Table13[[#This Row],[Prior day close]]),(J129-L129)/(J129-Table13[[#This Row],[PM LO]]))</f>
        <v>#DIV/0!</v>
      </c>
      <c r="AM129" s="48">
        <f>Table13[[#This Row],[Spike % on open before drop]]+AN129</f>
        <v>0</v>
      </c>
      <c r="AN129" s="16"/>
      <c r="AO129" s="16"/>
      <c r="AP129" s="48" t="e">
        <f>IF(Table13[[#This Row],[Prior day close]]&lt;=Table13[[#This Row],[PM LO]],IF($K129&gt;=$G129,($K129-$L129)/($K129-Table13[[#This Row],[Prior day close]]),(IF($I129&lt;=$L129,($G129-$I129)/($G129-Table13[[#This Row],[Prior day close]]),(Table13[[#This Row],[PM Hi]]-Table13[[#This Row],[Lowest lo from open to squeeze]])/(Table13[[#This Row],[PM Hi]]-Table13[[#This Row],[Prior day close]])))),IF($K129&gt;=$G129,($K129-$L129)/($K129-Table13[[#This Row],[PM LO]]),(IF($I129&lt;=$L129,($G129-$I129)/($G129-Table13[[#This Row],[PM LO]]),(Table13[[#This Row],[PM Hi]]-Table13[[#This Row],[Lowest lo from open to squeeze]])/(Table13[[#This Row],[PM Hi]]-Table13[[#This Row],[PM LO]])))))</f>
        <v>#DIV/0!</v>
      </c>
      <c r="AQ129" s="18"/>
      <c r="AR129" s="17">
        <f>390+Table13[[#This Row],[Time until ideal entry point (mins) from open]]</f>
        <v>390</v>
      </c>
      <c r="AS129" s="17">
        <f>Table13[[#This Row],[Time until ideal entry + 390 (6:30)]]+Table13[[#This Row],[Duration of frontside (mins)]]</f>
        <v>390</v>
      </c>
    </row>
    <row r="130" spans="1:45" hidden="1" x14ac:dyDescent="0.25">
      <c r="A130" s="24" t="s">
        <v>219</v>
      </c>
      <c r="B130" s="47">
        <v>43901</v>
      </c>
      <c r="C130" s="47" t="s">
        <v>78</v>
      </c>
      <c r="D130" s="46"/>
      <c r="E130" s="12"/>
      <c r="F130" s="13"/>
      <c r="G130" s="12"/>
      <c r="H130" s="12"/>
      <c r="I130" s="12"/>
      <c r="J130" s="12"/>
      <c r="K130" s="12"/>
      <c r="L130" s="12"/>
      <c r="O130" s="13"/>
      <c r="Q130" s="37"/>
      <c r="R130" s="46"/>
      <c r="S130" s="37"/>
      <c r="T130" s="37"/>
      <c r="U130" s="37"/>
      <c r="V130" s="37"/>
      <c r="W130" s="38"/>
      <c r="X130" s="46"/>
      <c r="Y130" s="37"/>
      <c r="Z130" s="46"/>
      <c r="AA130" s="41">
        <f>Table13[[#This Row],[Time until ideal entry + 390 (6:30)]]/(1440)</f>
        <v>0.27083333333333331</v>
      </c>
      <c r="AB130" s="18"/>
      <c r="AC130" s="18" t="e">
        <f>IF(Table13[[#This Row],[HOD AFTER PM HI]]&gt;=Table13[[#This Row],[PM Hi]],((Table13[[#This Row],[HOD AFTER PM HI]]-Table13[[#This Row],[Prior day close]])/Table13[[#This Row],[Prior day close]]),Table13[[#This Row],[Prior Close to PM Hi %]])</f>
        <v>#DIV/0!</v>
      </c>
      <c r="AD130" s="42" t="e">
        <f>(Table13[[#This Row],[Price at hi of squeeze]]-Table13[[#This Row],[MKT Open Price]])/Table13[[#This Row],[MKT Open Price]]</f>
        <v>#DIV/0!</v>
      </c>
      <c r="AE130" s="18" t="e">
        <f>(Table13[[#This Row],[Price at hi of squeeze]]-Table13[[#This Row],[PM Hi]])/Table13[[#This Row],[PM Hi]]</f>
        <v>#DIV/0!</v>
      </c>
      <c r="AF130" s="18"/>
      <c r="AG130" s="20" t="e">
        <f>Table13[[#This Row],[PM VOL]]/1000000/Table13[[#This Row],[FLOAT(M)]]</f>
        <v>#DIV/0!</v>
      </c>
      <c r="AH130" s="23" t="e">
        <f>(Table13[[#This Row],[Volume]]/1000000)/Table13[[#This Row],[FLOAT(M)]]</f>
        <v>#DIV/0!</v>
      </c>
      <c r="AJ130" s="18" t="e">
        <f>(Table13[[#This Row],[PM Hi]]-Table13[[#This Row],[MKT Open Price]])/(Table13[[#This Row],[PM Hi]])</f>
        <v>#DIV/0!</v>
      </c>
      <c r="AK130" s="18" t="e">
        <f>IF(Table13[[#This Row],[PM LO]]&gt;Table13[[#This Row],[Prior day close]],(Table13[[#This Row],[PM Hi]]-Table13[[#This Row],[MKT Open Price]])/(Table13[[#This Row],[PM Hi]]-Table13[[#This Row],[Prior day close]]),(Table13[[#This Row],[PM Hi]]-Table13[[#This Row],[MKT Open Price]])/(Table13[[#This Row],[PM Hi]]-Table13[[#This Row],[PM LO]]))</f>
        <v>#DIV/0!</v>
      </c>
      <c r="AL130" s="48" t="e">
        <f>IF(Table13[[#This Row],[Prior day close]]&lt;Table13[[#This Row],[PM LO]],(J130-L130)/(J130-Table13[[#This Row],[Prior day close]]),(J130-L130)/(J130-Table13[[#This Row],[PM LO]]))</f>
        <v>#DIV/0!</v>
      </c>
      <c r="AM130" s="48">
        <f>Table13[[#This Row],[Spike % on open before drop]]+AN130</f>
        <v>0</v>
      </c>
      <c r="AN130" s="16"/>
      <c r="AO130" s="16"/>
      <c r="AP130" s="48" t="e">
        <f>IF(Table13[[#This Row],[Prior day close]]&lt;=Table13[[#This Row],[PM LO]],IF($K130&gt;=$G130,($K130-$L130)/($K130-Table13[[#This Row],[Prior day close]]),(IF($I130&lt;=$L130,($G130-$I130)/($G130-Table13[[#This Row],[Prior day close]]),(Table13[[#This Row],[PM Hi]]-Table13[[#This Row],[Lowest lo from open to squeeze]])/(Table13[[#This Row],[PM Hi]]-Table13[[#This Row],[Prior day close]])))),IF($K130&gt;=$G130,($K130-$L130)/($K130-Table13[[#This Row],[PM LO]]),(IF($I130&lt;=$L130,($G130-$I130)/($G130-Table13[[#This Row],[PM LO]]),(Table13[[#This Row],[PM Hi]]-Table13[[#This Row],[Lowest lo from open to squeeze]])/(Table13[[#This Row],[PM Hi]]-Table13[[#This Row],[PM LO]])))))</f>
        <v>#DIV/0!</v>
      </c>
      <c r="AQ130" s="18"/>
      <c r="AR130" s="17">
        <f>390+Table13[[#This Row],[Time until ideal entry point (mins) from open]]</f>
        <v>390</v>
      </c>
      <c r="AS130" s="17">
        <f>Table13[[#This Row],[Time until ideal entry + 390 (6:30)]]+Table13[[#This Row],[Duration of frontside (mins)]]</f>
        <v>390</v>
      </c>
    </row>
    <row r="131" spans="1:45" hidden="1" x14ac:dyDescent="0.25">
      <c r="A131" s="24" t="s">
        <v>219</v>
      </c>
      <c r="B131" s="47">
        <v>43902</v>
      </c>
      <c r="C131" s="47" t="s">
        <v>178</v>
      </c>
      <c r="D131" s="46"/>
      <c r="E131" s="12"/>
      <c r="F131" s="13"/>
      <c r="G131" s="12"/>
      <c r="H131" s="12"/>
      <c r="I131" s="12"/>
      <c r="J131" s="12"/>
      <c r="K131" s="12"/>
      <c r="L131" s="12"/>
      <c r="O131" s="13"/>
      <c r="Q131" s="37"/>
      <c r="R131" s="46"/>
      <c r="S131" s="37"/>
      <c r="T131" s="37"/>
      <c r="U131" s="37"/>
      <c r="V131" s="37"/>
      <c r="W131" s="38"/>
      <c r="X131" s="46"/>
      <c r="Y131" s="37"/>
      <c r="Z131" s="46"/>
      <c r="AA131" s="41">
        <f>Table13[[#This Row],[Time until ideal entry + 390 (6:30)]]/(1440)</f>
        <v>0.27083333333333331</v>
      </c>
      <c r="AB131" s="18"/>
      <c r="AC131" s="18" t="e">
        <f>IF(Table13[[#This Row],[HOD AFTER PM HI]]&gt;=Table13[[#This Row],[PM Hi]],((Table13[[#This Row],[HOD AFTER PM HI]]-Table13[[#This Row],[Prior day close]])/Table13[[#This Row],[Prior day close]]),Table13[[#This Row],[Prior Close to PM Hi %]])</f>
        <v>#DIV/0!</v>
      </c>
      <c r="AD131" s="42" t="e">
        <f>(Table13[[#This Row],[Price at hi of squeeze]]-Table13[[#This Row],[MKT Open Price]])/Table13[[#This Row],[MKT Open Price]]</f>
        <v>#DIV/0!</v>
      </c>
      <c r="AE131" s="18" t="e">
        <f>(Table13[[#This Row],[Price at hi of squeeze]]-Table13[[#This Row],[PM Hi]])/Table13[[#This Row],[PM Hi]]</f>
        <v>#DIV/0!</v>
      </c>
      <c r="AF131" s="18"/>
      <c r="AG131" s="20" t="e">
        <f>Table13[[#This Row],[PM VOL]]/1000000/Table13[[#This Row],[FLOAT(M)]]</f>
        <v>#DIV/0!</v>
      </c>
      <c r="AH131" s="23" t="e">
        <f>(Table13[[#This Row],[Volume]]/1000000)/Table13[[#This Row],[FLOAT(M)]]</f>
        <v>#DIV/0!</v>
      </c>
      <c r="AJ131" s="18" t="e">
        <f>(Table13[[#This Row],[PM Hi]]-Table13[[#This Row],[MKT Open Price]])/(Table13[[#This Row],[PM Hi]])</f>
        <v>#DIV/0!</v>
      </c>
      <c r="AK131" s="18" t="e">
        <f>IF(Table13[[#This Row],[PM LO]]&gt;Table13[[#This Row],[Prior day close]],(Table13[[#This Row],[PM Hi]]-Table13[[#This Row],[MKT Open Price]])/(Table13[[#This Row],[PM Hi]]-Table13[[#This Row],[Prior day close]]),(Table13[[#This Row],[PM Hi]]-Table13[[#This Row],[MKT Open Price]])/(Table13[[#This Row],[PM Hi]]-Table13[[#This Row],[PM LO]]))</f>
        <v>#DIV/0!</v>
      </c>
      <c r="AL131" s="48" t="e">
        <f>IF(Table13[[#This Row],[Prior day close]]&lt;Table13[[#This Row],[PM LO]],(J131-L131)/(J131-Table13[[#This Row],[Prior day close]]),(J131-L131)/(J131-Table13[[#This Row],[PM LO]]))</f>
        <v>#DIV/0!</v>
      </c>
      <c r="AM131" s="48">
        <f>Table13[[#This Row],[Spike % on open before drop]]+AN131</f>
        <v>0</v>
      </c>
      <c r="AN131" s="16"/>
      <c r="AO131" s="16"/>
      <c r="AP131" s="48" t="e">
        <f>IF(Table13[[#This Row],[Prior day close]]&lt;=Table13[[#This Row],[PM LO]],IF($K131&gt;=$G131,($K131-$L131)/($K131-Table13[[#This Row],[Prior day close]]),(IF($I131&lt;=$L131,($G131-$I131)/($G131-Table13[[#This Row],[Prior day close]]),(Table13[[#This Row],[PM Hi]]-Table13[[#This Row],[Lowest lo from open to squeeze]])/(Table13[[#This Row],[PM Hi]]-Table13[[#This Row],[Prior day close]])))),IF($K131&gt;=$G131,($K131-$L131)/($K131-Table13[[#This Row],[PM LO]]),(IF($I131&lt;=$L131,($G131-$I131)/($G131-Table13[[#This Row],[PM LO]]),(Table13[[#This Row],[PM Hi]]-Table13[[#This Row],[Lowest lo from open to squeeze]])/(Table13[[#This Row],[PM Hi]]-Table13[[#This Row],[PM LO]])))))</f>
        <v>#DIV/0!</v>
      </c>
      <c r="AQ131" s="18"/>
      <c r="AR131" s="17">
        <f>390+Table13[[#This Row],[Time until ideal entry point (mins) from open]]</f>
        <v>390</v>
      </c>
      <c r="AS131" s="17">
        <f>Table13[[#This Row],[Time until ideal entry + 390 (6:30)]]+Table13[[#This Row],[Duration of frontside (mins)]]</f>
        <v>390</v>
      </c>
    </row>
    <row r="132" spans="1:45" hidden="1" x14ac:dyDescent="0.25">
      <c r="A132" s="24" t="s">
        <v>210</v>
      </c>
      <c r="B132" s="47">
        <v>43902</v>
      </c>
      <c r="C132" s="47" t="s">
        <v>178</v>
      </c>
      <c r="D132" s="46"/>
      <c r="E132" s="12"/>
      <c r="F132" s="13"/>
      <c r="G132" s="12"/>
      <c r="H132" s="12"/>
      <c r="I132" s="12"/>
      <c r="J132" s="12"/>
      <c r="K132" s="12"/>
      <c r="L132" s="12"/>
      <c r="O132" s="13"/>
      <c r="Q132" s="37"/>
      <c r="R132" s="46"/>
      <c r="S132" s="37"/>
      <c r="T132" s="37"/>
      <c r="U132" s="37"/>
      <c r="V132" s="37"/>
      <c r="W132" s="38"/>
      <c r="X132" s="46"/>
      <c r="Y132" s="37"/>
      <c r="Z132" s="46"/>
      <c r="AA132" s="41">
        <f>Table13[[#This Row],[Time until ideal entry + 390 (6:30)]]/(1440)</f>
        <v>0.27083333333333331</v>
      </c>
      <c r="AB132" s="18"/>
      <c r="AC132" s="18" t="e">
        <f>IF(Table13[[#This Row],[HOD AFTER PM HI]]&gt;=Table13[[#This Row],[PM Hi]],((Table13[[#This Row],[HOD AFTER PM HI]]-Table13[[#This Row],[Prior day close]])/Table13[[#This Row],[Prior day close]]),Table13[[#This Row],[Prior Close to PM Hi %]])</f>
        <v>#DIV/0!</v>
      </c>
      <c r="AD132" s="42" t="e">
        <f>(Table13[[#This Row],[Price at hi of squeeze]]-Table13[[#This Row],[MKT Open Price]])/Table13[[#This Row],[MKT Open Price]]</f>
        <v>#DIV/0!</v>
      </c>
      <c r="AE132" s="18" t="e">
        <f>(Table13[[#This Row],[Price at hi of squeeze]]-Table13[[#This Row],[PM Hi]])/Table13[[#This Row],[PM Hi]]</f>
        <v>#DIV/0!</v>
      </c>
      <c r="AF132" s="18"/>
      <c r="AG132" s="20" t="e">
        <f>Table13[[#This Row],[PM VOL]]/1000000/Table13[[#This Row],[FLOAT(M)]]</f>
        <v>#DIV/0!</v>
      </c>
      <c r="AH132" s="23" t="e">
        <f>(Table13[[#This Row],[Volume]]/1000000)/Table13[[#This Row],[FLOAT(M)]]</f>
        <v>#DIV/0!</v>
      </c>
      <c r="AJ132" s="18" t="e">
        <f>(Table13[[#This Row],[PM Hi]]-Table13[[#This Row],[MKT Open Price]])/(Table13[[#This Row],[PM Hi]])</f>
        <v>#DIV/0!</v>
      </c>
      <c r="AK132" s="18" t="e">
        <f>IF(Table13[[#This Row],[PM LO]]&gt;Table13[[#This Row],[Prior day close]],(Table13[[#This Row],[PM Hi]]-Table13[[#This Row],[MKT Open Price]])/(Table13[[#This Row],[PM Hi]]-Table13[[#This Row],[Prior day close]]),(Table13[[#This Row],[PM Hi]]-Table13[[#This Row],[MKT Open Price]])/(Table13[[#This Row],[PM Hi]]-Table13[[#This Row],[PM LO]]))</f>
        <v>#DIV/0!</v>
      </c>
      <c r="AL132" s="48" t="e">
        <f>IF(Table13[[#This Row],[Prior day close]]&lt;Table13[[#This Row],[PM LO]],(J132-L132)/(J132-Table13[[#This Row],[Prior day close]]),(J132-L132)/(J132-Table13[[#This Row],[PM LO]]))</f>
        <v>#DIV/0!</v>
      </c>
      <c r="AM132" s="48">
        <f>Table13[[#This Row],[Spike % on open before drop]]+AN132</f>
        <v>0</v>
      </c>
      <c r="AN132" s="16"/>
      <c r="AO132" s="16"/>
      <c r="AP132" s="48" t="e">
        <f>IF(Table13[[#This Row],[Prior day close]]&lt;=Table13[[#This Row],[PM LO]],IF($K132&gt;=$G132,($K132-$L132)/($K132-Table13[[#This Row],[Prior day close]]),(IF($I132&lt;=$L132,($G132-$I132)/($G132-Table13[[#This Row],[Prior day close]]),(Table13[[#This Row],[PM Hi]]-Table13[[#This Row],[Lowest lo from open to squeeze]])/(Table13[[#This Row],[PM Hi]]-Table13[[#This Row],[Prior day close]])))),IF($K132&gt;=$G132,($K132-$L132)/($K132-Table13[[#This Row],[PM LO]]),(IF($I132&lt;=$L132,($G132-$I132)/($G132-Table13[[#This Row],[PM LO]]),(Table13[[#This Row],[PM Hi]]-Table13[[#This Row],[Lowest lo from open to squeeze]])/(Table13[[#This Row],[PM Hi]]-Table13[[#This Row],[PM LO]])))))</f>
        <v>#DIV/0!</v>
      </c>
      <c r="AQ132" s="18"/>
      <c r="AR132" s="17">
        <f>390+Table13[[#This Row],[Time until ideal entry point (mins) from open]]</f>
        <v>390</v>
      </c>
      <c r="AS132" s="17">
        <f>Table13[[#This Row],[Time until ideal entry + 390 (6:30)]]+Table13[[#This Row],[Duration of frontside (mins)]]</f>
        <v>390</v>
      </c>
    </row>
    <row r="133" spans="1:45" hidden="1" x14ac:dyDescent="0.25">
      <c r="A133" s="24" t="s">
        <v>220</v>
      </c>
      <c r="B133" s="47">
        <v>43910</v>
      </c>
      <c r="C133" s="47" t="s">
        <v>178</v>
      </c>
      <c r="D133" s="46"/>
      <c r="E133" s="12"/>
      <c r="F133" s="13"/>
      <c r="G133" s="12"/>
      <c r="H133" s="12"/>
      <c r="I133" s="12"/>
      <c r="J133" s="12"/>
      <c r="K133" s="12"/>
      <c r="L133" s="12"/>
      <c r="O133" s="13"/>
      <c r="Q133" s="37"/>
      <c r="R133" s="46"/>
      <c r="S133" s="37"/>
      <c r="T133" s="37"/>
      <c r="U133" s="37"/>
      <c r="V133" s="37"/>
      <c r="W133" s="38"/>
      <c r="X133" s="46"/>
      <c r="Y133" s="37"/>
      <c r="Z133" s="46"/>
      <c r="AA133" s="41">
        <f>Table13[[#This Row],[Time until ideal entry + 390 (6:30)]]/(1440)</f>
        <v>0.27083333333333331</v>
      </c>
      <c r="AB133" s="18"/>
      <c r="AC133" s="18" t="e">
        <f>IF(Table13[[#This Row],[HOD AFTER PM HI]]&gt;=Table13[[#This Row],[PM Hi]],((Table13[[#This Row],[HOD AFTER PM HI]]-Table13[[#This Row],[Prior day close]])/Table13[[#This Row],[Prior day close]]),Table13[[#This Row],[Prior Close to PM Hi %]])</f>
        <v>#DIV/0!</v>
      </c>
      <c r="AD133" s="42" t="e">
        <f>(Table13[[#This Row],[Price at hi of squeeze]]-Table13[[#This Row],[MKT Open Price]])/Table13[[#This Row],[MKT Open Price]]</f>
        <v>#DIV/0!</v>
      </c>
      <c r="AE133" s="18" t="e">
        <f>(Table13[[#This Row],[Price at hi of squeeze]]-Table13[[#This Row],[PM Hi]])/Table13[[#This Row],[PM Hi]]</f>
        <v>#DIV/0!</v>
      </c>
      <c r="AF133" s="18"/>
      <c r="AG133" s="20" t="e">
        <f>Table13[[#This Row],[PM VOL]]/1000000/Table13[[#This Row],[FLOAT(M)]]</f>
        <v>#DIV/0!</v>
      </c>
      <c r="AH133" s="23" t="e">
        <f>(Table13[[#This Row],[Volume]]/1000000)/Table13[[#This Row],[FLOAT(M)]]</f>
        <v>#DIV/0!</v>
      </c>
      <c r="AJ133" s="18" t="e">
        <f>(Table13[[#This Row],[PM Hi]]-Table13[[#This Row],[MKT Open Price]])/(Table13[[#This Row],[PM Hi]])</f>
        <v>#DIV/0!</v>
      </c>
      <c r="AK133" s="18" t="e">
        <f>IF(Table13[[#This Row],[PM LO]]&gt;Table13[[#This Row],[Prior day close]],(Table13[[#This Row],[PM Hi]]-Table13[[#This Row],[MKT Open Price]])/(Table13[[#This Row],[PM Hi]]-Table13[[#This Row],[Prior day close]]),(Table13[[#This Row],[PM Hi]]-Table13[[#This Row],[MKT Open Price]])/(Table13[[#This Row],[PM Hi]]-Table13[[#This Row],[PM LO]]))</f>
        <v>#DIV/0!</v>
      </c>
      <c r="AL133" s="48" t="e">
        <f>IF(Table13[[#This Row],[Prior day close]]&lt;Table13[[#This Row],[PM LO]],(J133-L133)/(J133-Table13[[#This Row],[Prior day close]]),(J133-L133)/(J133-Table13[[#This Row],[PM LO]]))</f>
        <v>#DIV/0!</v>
      </c>
      <c r="AM133" s="48">
        <f>Table13[[#This Row],[Spike % on open before drop]]+AN133</f>
        <v>0</v>
      </c>
      <c r="AN133" s="16"/>
      <c r="AO133" s="16"/>
      <c r="AP133" s="48" t="e">
        <f>IF(Table13[[#This Row],[Prior day close]]&lt;=Table13[[#This Row],[PM LO]],IF($K133&gt;=$G133,($K133-$L133)/($K133-Table13[[#This Row],[Prior day close]]),(IF($I133&lt;=$L133,($G133-$I133)/($G133-Table13[[#This Row],[Prior day close]]),(Table13[[#This Row],[PM Hi]]-Table13[[#This Row],[Lowest lo from open to squeeze]])/(Table13[[#This Row],[PM Hi]]-Table13[[#This Row],[Prior day close]])))),IF($K133&gt;=$G133,($K133-$L133)/($K133-Table13[[#This Row],[PM LO]]),(IF($I133&lt;=$L133,($G133-$I133)/($G133-Table13[[#This Row],[PM LO]]),(Table13[[#This Row],[PM Hi]]-Table13[[#This Row],[Lowest lo from open to squeeze]])/(Table13[[#This Row],[PM Hi]]-Table13[[#This Row],[PM LO]])))))</f>
        <v>#DIV/0!</v>
      </c>
      <c r="AQ133" s="18"/>
      <c r="AR133" s="17">
        <f>390+Table13[[#This Row],[Time until ideal entry point (mins) from open]]</f>
        <v>390</v>
      </c>
      <c r="AS133" s="17">
        <f>Table13[[#This Row],[Time until ideal entry + 390 (6:30)]]+Table13[[#This Row],[Duration of frontside (mins)]]</f>
        <v>390</v>
      </c>
    </row>
    <row r="134" spans="1:45" hidden="1" x14ac:dyDescent="0.25">
      <c r="A134" s="24" t="s">
        <v>219</v>
      </c>
      <c r="B134" s="47">
        <v>43914</v>
      </c>
      <c r="C134" s="47" t="s">
        <v>178</v>
      </c>
      <c r="D134" s="46"/>
      <c r="E134" s="12"/>
      <c r="F134" s="13"/>
      <c r="G134" s="12"/>
      <c r="H134" s="12"/>
      <c r="I134" s="12"/>
      <c r="J134" s="12"/>
      <c r="K134" s="12"/>
      <c r="L134" s="12"/>
      <c r="O134" s="13"/>
      <c r="Q134" s="37"/>
      <c r="R134" s="46"/>
      <c r="S134" s="37"/>
      <c r="T134" s="37"/>
      <c r="U134" s="37"/>
      <c r="V134" s="37"/>
      <c r="W134" s="38"/>
      <c r="X134" s="46"/>
      <c r="Y134" s="37"/>
      <c r="Z134" s="46"/>
      <c r="AA134" s="41">
        <f>Table13[[#This Row],[Time until ideal entry + 390 (6:30)]]/(1440)</f>
        <v>0.27083333333333331</v>
      </c>
      <c r="AB134" s="18"/>
      <c r="AC134" s="18" t="e">
        <f>IF(Table13[[#This Row],[HOD AFTER PM HI]]&gt;=Table13[[#This Row],[PM Hi]],((Table13[[#This Row],[HOD AFTER PM HI]]-Table13[[#This Row],[Prior day close]])/Table13[[#This Row],[Prior day close]]),Table13[[#This Row],[Prior Close to PM Hi %]])</f>
        <v>#DIV/0!</v>
      </c>
      <c r="AD134" s="42" t="e">
        <f>(Table13[[#This Row],[Price at hi of squeeze]]-Table13[[#This Row],[MKT Open Price]])/Table13[[#This Row],[MKT Open Price]]</f>
        <v>#DIV/0!</v>
      </c>
      <c r="AE134" s="18" t="e">
        <f>(Table13[[#This Row],[Price at hi of squeeze]]-Table13[[#This Row],[PM Hi]])/Table13[[#This Row],[PM Hi]]</f>
        <v>#DIV/0!</v>
      </c>
      <c r="AF134" s="18"/>
      <c r="AG134" s="20" t="e">
        <f>Table13[[#This Row],[PM VOL]]/1000000/Table13[[#This Row],[FLOAT(M)]]</f>
        <v>#DIV/0!</v>
      </c>
      <c r="AH134" s="23" t="e">
        <f>(Table13[[#This Row],[Volume]]/1000000)/Table13[[#This Row],[FLOAT(M)]]</f>
        <v>#DIV/0!</v>
      </c>
      <c r="AJ134" s="18" t="e">
        <f>(Table13[[#This Row],[PM Hi]]-Table13[[#This Row],[MKT Open Price]])/(Table13[[#This Row],[PM Hi]])</f>
        <v>#DIV/0!</v>
      </c>
      <c r="AK134" s="18" t="e">
        <f>IF(Table13[[#This Row],[PM LO]]&gt;Table13[[#This Row],[Prior day close]],(Table13[[#This Row],[PM Hi]]-Table13[[#This Row],[MKT Open Price]])/(Table13[[#This Row],[PM Hi]]-Table13[[#This Row],[Prior day close]]),(Table13[[#This Row],[PM Hi]]-Table13[[#This Row],[MKT Open Price]])/(Table13[[#This Row],[PM Hi]]-Table13[[#This Row],[PM LO]]))</f>
        <v>#DIV/0!</v>
      </c>
      <c r="AL134" s="48" t="e">
        <f>IF(Table13[[#This Row],[Prior day close]]&lt;Table13[[#This Row],[PM LO]],(J134-L134)/(J134-Table13[[#This Row],[Prior day close]]),(J134-L134)/(J134-Table13[[#This Row],[PM LO]]))</f>
        <v>#DIV/0!</v>
      </c>
      <c r="AM134" s="48">
        <f>Table13[[#This Row],[Spike % on open before drop]]+AN134</f>
        <v>0</v>
      </c>
      <c r="AN134" s="16"/>
      <c r="AO134" s="16"/>
      <c r="AP134" s="48" t="e">
        <f>IF(Table13[[#This Row],[Prior day close]]&lt;=Table13[[#This Row],[PM LO]],IF($K134&gt;=$G134,($K134-$L134)/($K134-Table13[[#This Row],[Prior day close]]),(IF($I134&lt;=$L134,($G134-$I134)/($G134-Table13[[#This Row],[Prior day close]]),(Table13[[#This Row],[PM Hi]]-Table13[[#This Row],[Lowest lo from open to squeeze]])/(Table13[[#This Row],[PM Hi]]-Table13[[#This Row],[Prior day close]])))),IF($K134&gt;=$G134,($K134-$L134)/($K134-Table13[[#This Row],[PM LO]]),(IF($I134&lt;=$L134,($G134-$I134)/($G134-Table13[[#This Row],[PM LO]]),(Table13[[#This Row],[PM Hi]]-Table13[[#This Row],[Lowest lo from open to squeeze]])/(Table13[[#This Row],[PM Hi]]-Table13[[#This Row],[PM LO]])))))</f>
        <v>#DIV/0!</v>
      </c>
      <c r="AQ134" s="18"/>
      <c r="AR134" s="17">
        <f>390+Table13[[#This Row],[Time until ideal entry point (mins) from open]]</f>
        <v>390</v>
      </c>
      <c r="AS134" s="17">
        <f>Table13[[#This Row],[Time until ideal entry + 390 (6:30)]]+Table13[[#This Row],[Duration of frontside (mins)]]</f>
        <v>390</v>
      </c>
    </row>
    <row r="135" spans="1:45" hidden="1" x14ac:dyDescent="0.25">
      <c r="A135" s="24" t="s">
        <v>64</v>
      </c>
      <c r="B135" s="47">
        <v>43917</v>
      </c>
      <c r="C135" s="47" t="s">
        <v>178</v>
      </c>
      <c r="D135" s="46"/>
      <c r="E135" s="12"/>
      <c r="F135" s="13"/>
      <c r="G135" s="12"/>
      <c r="H135" s="12"/>
      <c r="I135" s="12"/>
      <c r="J135" s="12"/>
      <c r="K135" s="12"/>
      <c r="L135" s="12"/>
      <c r="O135" s="13"/>
      <c r="Q135" s="37"/>
      <c r="R135" s="46"/>
      <c r="S135" s="37"/>
      <c r="T135" s="37"/>
      <c r="U135" s="37"/>
      <c r="V135" s="37"/>
      <c r="W135" s="38"/>
      <c r="X135" s="46"/>
      <c r="Y135" s="37"/>
      <c r="Z135" s="46"/>
      <c r="AA135" s="41">
        <f>Table13[[#This Row],[Time until ideal entry + 390 (6:30)]]/(1440)</f>
        <v>0.27083333333333331</v>
      </c>
      <c r="AB135" s="18"/>
      <c r="AC135" s="18" t="e">
        <f>IF(Table13[[#This Row],[HOD AFTER PM HI]]&gt;=Table13[[#This Row],[PM Hi]],((Table13[[#This Row],[HOD AFTER PM HI]]-Table13[[#This Row],[Prior day close]])/Table13[[#This Row],[Prior day close]]),Table13[[#This Row],[Prior Close to PM Hi %]])</f>
        <v>#DIV/0!</v>
      </c>
      <c r="AD135" s="42" t="e">
        <f>(Table13[[#This Row],[Price at hi of squeeze]]-Table13[[#This Row],[MKT Open Price]])/Table13[[#This Row],[MKT Open Price]]</f>
        <v>#DIV/0!</v>
      </c>
      <c r="AE135" s="18" t="e">
        <f>(Table13[[#This Row],[Price at hi of squeeze]]-Table13[[#This Row],[PM Hi]])/Table13[[#This Row],[PM Hi]]</f>
        <v>#DIV/0!</v>
      </c>
      <c r="AF135" s="18"/>
      <c r="AG135" s="20" t="e">
        <f>Table13[[#This Row],[PM VOL]]/1000000/Table13[[#This Row],[FLOAT(M)]]</f>
        <v>#DIV/0!</v>
      </c>
      <c r="AH135" s="23" t="e">
        <f>(Table13[[#This Row],[Volume]]/1000000)/Table13[[#This Row],[FLOAT(M)]]</f>
        <v>#DIV/0!</v>
      </c>
      <c r="AJ135" s="18" t="e">
        <f>(Table13[[#This Row],[PM Hi]]-Table13[[#This Row],[MKT Open Price]])/(Table13[[#This Row],[PM Hi]])</f>
        <v>#DIV/0!</v>
      </c>
      <c r="AK135" s="18" t="e">
        <f>IF(Table13[[#This Row],[PM LO]]&gt;Table13[[#This Row],[Prior day close]],(Table13[[#This Row],[PM Hi]]-Table13[[#This Row],[MKT Open Price]])/(Table13[[#This Row],[PM Hi]]-Table13[[#This Row],[Prior day close]]),(Table13[[#This Row],[PM Hi]]-Table13[[#This Row],[MKT Open Price]])/(Table13[[#This Row],[PM Hi]]-Table13[[#This Row],[PM LO]]))</f>
        <v>#DIV/0!</v>
      </c>
      <c r="AL135" s="48" t="e">
        <f>IF(Table13[[#This Row],[Prior day close]]&lt;Table13[[#This Row],[PM LO]],(J135-L135)/(J135-Table13[[#This Row],[Prior day close]]),(J135-L135)/(J135-Table13[[#This Row],[PM LO]]))</f>
        <v>#DIV/0!</v>
      </c>
      <c r="AM135" s="48">
        <f>Table13[[#This Row],[Spike % on open before drop]]+AN135</f>
        <v>0</v>
      </c>
      <c r="AN135" s="16"/>
      <c r="AO135" s="16"/>
      <c r="AP135" s="48" t="e">
        <f>IF(Table13[[#This Row],[Prior day close]]&lt;=Table13[[#This Row],[PM LO]],IF($K135&gt;=$G135,($K135-$L135)/($K135-Table13[[#This Row],[Prior day close]]),(IF($I135&lt;=$L135,($G135-$I135)/($G135-Table13[[#This Row],[Prior day close]]),(Table13[[#This Row],[PM Hi]]-Table13[[#This Row],[Lowest lo from open to squeeze]])/(Table13[[#This Row],[PM Hi]]-Table13[[#This Row],[Prior day close]])))),IF($K135&gt;=$G135,($K135-$L135)/($K135-Table13[[#This Row],[PM LO]]),(IF($I135&lt;=$L135,($G135-$I135)/($G135-Table13[[#This Row],[PM LO]]),(Table13[[#This Row],[PM Hi]]-Table13[[#This Row],[Lowest lo from open to squeeze]])/(Table13[[#This Row],[PM Hi]]-Table13[[#This Row],[PM LO]])))))</f>
        <v>#DIV/0!</v>
      </c>
      <c r="AQ135" s="18"/>
      <c r="AR135" s="17">
        <f>390+Table13[[#This Row],[Time until ideal entry point (mins) from open]]</f>
        <v>390</v>
      </c>
      <c r="AS135" s="17">
        <f>Table13[[#This Row],[Time until ideal entry + 390 (6:30)]]+Table13[[#This Row],[Duration of frontside (mins)]]</f>
        <v>390</v>
      </c>
    </row>
    <row r="136" spans="1:45" hidden="1" x14ac:dyDescent="0.25">
      <c r="A136" s="24" t="s">
        <v>221</v>
      </c>
      <c r="B136" s="47">
        <v>43935</v>
      </c>
      <c r="C136" s="47" t="s">
        <v>78</v>
      </c>
      <c r="D136" s="46"/>
      <c r="E136" s="12"/>
      <c r="F136" s="13"/>
      <c r="G136" s="12"/>
      <c r="H136" s="12"/>
      <c r="I136" s="12"/>
      <c r="J136" s="12"/>
      <c r="K136" s="12"/>
      <c r="L136" s="12"/>
      <c r="O136" s="13"/>
      <c r="Q136" s="37"/>
      <c r="R136" s="46"/>
      <c r="S136" s="37"/>
      <c r="T136" s="37"/>
      <c r="U136" s="37"/>
      <c r="V136" s="37"/>
      <c r="W136" s="38"/>
      <c r="X136" s="46"/>
      <c r="Y136" s="37"/>
      <c r="Z136" s="46"/>
      <c r="AA136" s="41">
        <f>Table13[[#This Row],[Time until ideal entry + 390 (6:30)]]/(1440)</f>
        <v>0.27083333333333331</v>
      </c>
      <c r="AB136" s="18"/>
      <c r="AC136" s="18" t="e">
        <f>IF(Table13[[#This Row],[HOD AFTER PM HI]]&gt;=Table13[[#This Row],[PM Hi]],((Table13[[#This Row],[HOD AFTER PM HI]]-Table13[[#This Row],[Prior day close]])/Table13[[#This Row],[Prior day close]]),Table13[[#This Row],[Prior Close to PM Hi %]])</f>
        <v>#DIV/0!</v>
      </c>
      <c r="AD136" s="42" t="e">
        <f>(Table13[[#This Row],[Price at hi of squeeze]]-Table13[[#This Row],[MKT Open Price]])/Table13[[#This Row],[MKT Open Price]]</f>
        <v>#DIV/0!</v>
      </c>
      <c r="AE136" s="18" t="e">
        <f>(Table13[[#This Row],[Price at hi of squeeze]]-Table13[[#This Row],[PM Hi]])/Table13[[#This Row],[PM Hi]]</f>
        <v>#DIV/0!</v>
      </c>
      <c r="AF136" s="18"/>
      <c r="AG136" s="20" t="e">
        <f>Table13[[#This Row],[PM VOL]]/1000000/Table13[[#This Row],[FLOAT(M)]]</f>
        <v>#DIV/0!</v>
      </c>
      <c r="AH136" s="23" t="e">
        <f>(Table13[[#This Row],[Volume]]/1000000)/Table13[[#This Row],[FLOAT(M)]]</f>
        <v>#DIV/0!</v>
      </c>
      <c r="AJ136" s="18" t="e">
        <f>(Table13[[#This Row],[PM Hi]]-Table13[[#This Row],[MKT Open Price]])/(Table13[[#This Row],[PM Hi]])</f>
        <v>#DIV/0!</v>
      </c>
      <c r="AK136" s="18" t="e">
        <f>IF(Table13[[#This Row],[PM LO]]&gt;Table13[[#This Row],[Prior day close]],(Table13[[#This Row],[PM Hi]]-Table13[[#This Row],[MKT Open Price]])/(Table13[[#This Row],[PM Hi]]-Table13[[#This Row],[Prior day close]]),(Table13[[#This Row],[PM Hi]]-Table13[[#This Row],[MKT Open Price]])/(Table13[[#This Row],[PM Hi]]-Table13[[#This Row],[PM LO]]))</f>
        <v>#DIV/0!</v>
      </c>
      <c r="AL136" s="48" t="e">
        <f>IF(Table13[[#This Row],[Prior day close]]&lt;Table13[[#This Row],[PM LO]],(J136-L136)/(J136-Table13[[#This Row],[Prior day close]]),(J136-L136)/(J136-Table13[[#This Row],[PM LO]]))</f>
        <v>#DIV/0!</v>
      </c>
      <c r="AM136" s="48">
        <f>Table13[[#This Row],[Spike % on open before drop]]+AN136</f>
        <v>0</v>
      </c>
      <c r="AN136" s="16"/>
      <c r="AO136" s="16"/>
      <c r="AP136" s="48" t="e">
        <f>IF(Table13[[#This Row],[Prior day close]]&lt;=Table13[[#This Row],[PM LO]],IF($K136&gt;=$G136,($K136-$L136)/($K136-Table13[[#This Row],[Prior day close]]),(IF($I136&lt;=$L136,($G136-$I136)/($G136-Table13[[#This Row],[Prior day close]]),(Table13[[#This Row],[PM Hi]]-Table13[[#This Row],[Lowest lo from open to squeeze]])/(Table13[[#This Row],[PM Hi]]-Table13[[#This Row],[Prior day close]])))),IF($K136&gt;=$G136,($K136-$L136)/($K136-Table13[[#This Row],[PM LO]]),(IF($I136&lt;=$L136,($G136-$I136)/($G136-Table13[[#This Row],[PM LO]]),(Table13[[#This Row],[PM Hi]]-Table13[[#This Row],[Lowest lo from open to squeeze]])/(Table13[[#This Row],[PM Hi]]-Table13[[#This Row],[PM LO]])))))</f>
        <v>#DIV/0!</v>
      </c>
      <c r="AQ136" s="18"/>
      <c r="AR136" s="17">
        <f>390+Table13[[#This Row],[Time until ideal entry point (mins) from open]]</f>
        <v>390</v>
      </c>
      <c r="AS136" s="17">
        <f>Table13[[#This Row],[Time until ideal entry + 390 (6:30)]]+Table13[[#This Row],[Duration of frontside (mins)]]</f>
        <v>390</v>
      </c>
    </row>
    <row r="137" spans="1:45" hidden="1" x14ac:dyDescent="0.25">
      <c r="A137" s="24" t="s">
        <v>222</v>
      </c>
      <c r="B137" s="47">
        <v>43936</v>
      </c>
      <c r="C137" s="47" t="s">
        <v>178</v>
      </c>
      <c r="D137" s="46"/>
      <c r="E137" s="12"/>
      <c r="F137" s="13"/>
      <c r="G137" s="12"/>
      <c r="H137" s="12"/>
      <c r="I137" s="12"/>
      <c r="J137" s="12"/>
      <c r="K137" s="12"/>
      <c r="L137" s="12"/>
      <c r="O137" s="13"/>
      <c r="Q137" s="37"/>
      <c r="R137" s="46"/>
      <c r="S137" s="37"/>
      <c r="T137" s="37"/>
      <c r="U137" s="37"/>
      <c r="V137" s="37"/>
      <c r="W137" s="38"/>
      <c r="X137" s="46"/>
      <c r="Y137" s="37"/>
      <c r="Z137" s="46"/>
      <c r="AA137" s="41">
        <f>Table13[[#This Row],[Time until ideal entry + 390 (6:30)]]/(1440)</f>
        <v>0.27083333333333331</v>
      </c>
      <c r="AB137" s="18"/>
      <c r="AC137" s="18" t="e">
        <f>IF(Table13[[#This Row],[HOD AFTER PM HI]]&gt;=Table13[[#This Row],[PM Hi]],((Table13[[#This Row],[HOD AFTER PM HI]]-Table13[[#This Row],[Prior day close]])/Table13[[#This Row],[Prior day close]]),Table13[[#This Row],[Prior Close to PM Hi %]])</f>
        <v>#DIV/0!</v>
      </c>
      <c r="AD137" s="42" t="e">
        <f>(Table13[[#This Row],[Price at hi of squeeze]]-Table13[[#This Row],[MKT Open Price]])/Table13[[#This Row],[MKT Open Price]]</f>
        <v>#DIV/0!</v>
      </c>
      <c r="AE137" s="18" t="e">
        <f>(Table13[[#This Row],[Price at hi of squeeze]]-Table13[[#This Row],[PM Hi]])/Table13[[#This Row],[PM Hi]]</f>
        <v>#DIV/0!</v>
      </c>
      <c r="AF137" s="18"/>
      <c r="AG137" s="20" t="e">
        <f>Table13[[#This Row],[PM VOL]]/1000000/Table13[[#This Row],[FLOAT(M)]]</f>
        <v>#DIV/0!</v>
      </c>
      <c r="AH137" s="23" t="e">
        <f>(Table13[[#This Row],[Volume]]/1000000)/Table13[[#This Row],[FLOAT(M)]]</f>
        <v>#DIV/0!</v>
      </c>
      <c r="AJ137" s="18" t="e">
        <f>(Table13[[#This Row],[PM Hi]]-Table13[[#This Row],[MKT Open Price]])/(Table13[[#This Row],[PM Hi]])</f>
        <v>#DIV/0!</v>
      </c>
      <c r="AK137" s="18" t="e">
        <f>IF(Table13[[#This Row],[PM LO]]&gt;Table13[[#This Row],[Prior day close]],(Table13[[#This Row],[PM Hi]]-Table13[[#This Row],[MKT Open Price]])/(Table13[[#This Row],[PM Hi]]-Table13[[#This Row],[Prior day close]]),(Table13[[#This Row],[PM Hi]]-Table13[[#This Row],[MKT Open Price]])/(Table13[[#This Row],[PM Hi]]-Table13[[#This Row],[PM LO]]))</f>
        <v>#DIV/0!</v>
      </c>
      <c r="AL137" s="48" t="e">
        <f>IF(Table13[[#This Row],[Prior day close]]&lt;Table13[[#This Row],[PM LO]],(J137-L137)/(J137-Table13[[#This Row],[Prior day close]]),(J137-L137)/(J137-Table13[[#This Row],[PM LO]]))</f>
        <v>#DIV/0!</v>
      </c>
      <c r="AM137" s="48">
        <f>Table13[[#This Row],[Spike % on open before drop]]+AN137</f>
        <v>0</v>
      </c>
      <c r="AN137" s="16"/>
      <c r="AO137" s="16"/>
      <c r="AP137" s="48" t="e">
        <f>IF(Table13[[#This Row],[Prior day close]]&lt;=Table13[[#This Row],[PM LO]],IF($K137&gt;=$G137,($K137-$L137)/($K137-Table13[[#This Row],[Prior day close]]),(IF($I137&lt;=$L137,($G137-$I137)/($G137-Table13[[#This Row],[Prior day close]]),(Table13[[#This Row],[PM Hi]]-Table13[[#This Row],[Lowest lo from open to squeeze]])/(Table13[[#This Row],[PM Hi]]-Table13[[#This Row],[Prior day close]])))),IF($K137&gt;=$G137,($K137-$L137)/($K137-Table13[[#This Row],[PM LO]]),(IF($I137&lt;=$L137,($G137-$I137)/($G137-Table13[[#This Row],[PM LO]]),(Table13[[#This Row],[PM Hi]]-Table13[[#This Row],[Lowest lo from open to squeeze]])/(Table13[[#This Row],[PM Hi]]-Table13[[#This Row],[PM LO]])))))</f>
        <v>#DIV/0!</v>
      </c>
      <c r="AQ137" s="18"/>
      <c r="AR137" s="17">
        <f>390+Table13[[#This Row],[Time until ideal entry point (mins) from open]]</f>
        <v>390</v>
      </c>
      <c r="AS137" s="17">
        <f>Table13[[#This Row],[Time until ideal entry + 390 (6:30)]]+Table13[[#This Row],[Duration of frontside (mins)]]</f>
        <v>390</v>
      </c>
    </row>
    <row r="138" spans="1:45" hidden="1" x14ac:dyDescent="0.25">
      <c r="A138" s="24" t="s">
        <v>223</v>
      </c>
      <c r="B138" s="47">
        <v>43937</v>
      </c>
      <c r="C138" s="47" t="s">
        <v>178</v>
      </c>
      <c r="D138" s="46"/>
      <c r="E138" s="12"/>
      <c r="F138" s="13"/>
      <c r="G138" s="12"/>
      <c r="H138" s="12"/>
      <c r="I138" s="12"/>
      <c r="J138" s="12"/>
      <c r="K138" s="12"/>
      <c r="L138" s="12"/>
      <c r="O138" s="13"/>
      <c r="Q138" s="37"/>
      <c r="R138" s="46"/>
      <c r="S138" s="37"/>
      <c r="T138" s="37"/>
      <c r="U138" s="37"/>
      <c r="V138" s="37"/>
      <c r="W138" s="38"/>
      <c r="X138" s="46"/>
      <c r="Y138" s="37"/>
      <c r="Z138" s="46"/>
      <c r="AA138" s="41">
        <f>Table13[[#This Row],[Time until ideal entry + 390 (6:30)]]/(1440)</f>
        <v>0.27083333333333331</v>
      </c>
      <c r="AB138" s="18"/>
      <c r="AC138" s="18" t="e">
        <f>IF(Table13[[#This Row],[HOD AFTER PM HI]]&gt;=Table13[[#This Row],[PM Hi]],((Table13[[#This Row],[HOD AFTER PM HI]]-Table13[[#This Row],[Prior day close]])/Table13[[#This Row],[Prior day close]]),Table13[[#This Row],[Prior Close to PM Hi %]])</f>
        <v>#DIV/0!</v>
      </c>
      <c r="AD138" s="42" t="e">
        <f>(Table13[[#This Row],[Price at hi of squeeze]]-Table13[[#This Row],[MKT Open Price]])/Table13[[#This Row],[MKT Open Price]]</f>
        <v>#DIV/0!</v>
      </c>
      <c r="AE138" s="18" t="e">
        <f>(Table13[[#This Row],[Price at hi of squeeze]]-Table13[[#This Row],[PM Hi]])/Table13[[#This Row],[PM Hi]]</f>
        <v>#DIV/0!</v>
      </c>
      <c r="AF138" s="18"/>
      <c r="AG138" s="20" t="e">
        <f>Table13[[#This Row],[PM VOL]]/1000000/Table13[[#This Row],[FLOAT(M)]]</f>
        <v>#DIV/0!</v>
      </c>
      <c r="AH138" s="23" t="e">
        <f>(Table13[[#This Row],[Volume]]/1000000)/Table13[[#This Row],[FLOAT(M)]]</f>
        <v>#DIV/0!</v>
      </c>
      <c r="AJ138" s="18" t="e">
        <f>(Table13[[#This Row],[PM Hi]]-Table13[[#This Row],[MKT Open Price]])/(Table13[[#This Row],[PM Hi]])</f>
        <v>#DIV/0!</v>
      </c>
      <c r="AK138" s="18" t="e">
        <f>IF(Table13[[#This Row],[PM LO]]&gt;Table13[[#This Row],[Prior day close]],(Table13[[#This Row],[PM Hi]]-Table13[[#This Row],[MKT Open Price]])/(Table13[[#This Row],[PM Hi]]-Table13[[#This Row],[Prior day close]]),(Table13[[#This Row],[PM Hi]]-Table13[[#This Row],[MKT Open Price]])/(Table13[[#This Row],[PM Hi]]-Table13[[#This Row],[PM LO]]))</f>
        <v>#DIV/0!</v>
      </c>
      <c r="AL138" s="48" t="e">
        <f>IF(Table13[[#This Row],[Prior day close]]&lt;Table13[[#This Row],[PM LO]],(J138-L138)/(J138-Table13[[#This Row],[Prior day close]]),(J138-L138)/(J138-Table13[[#This Row],[PM LO]]))</f>
        <v>#DIV/0!</v>
      </c>
      <c r="AM138" s="48">
        <f>Table13[[#This Row],[Spike % on open before drop]]+AN138</f>
        <v>0</v>
      </c>
      <c r="AN138" s="16"/>
      <c r="AO138" s="16"/>
      <c r="AP138" s="48" t="e">
        <f>IF(Table13[[#This Row],[Prior day close]]&lt;=Table13[[#This Row],[PM LO]],IF($K138&gt;=$G138,($K138-$L138)/($K138-Table13[[#This Row],[Prior day close]]),(IF($I138&lt;=$L138,($G138-$I138)/($G138-Table13[[#This Row],[Prior day close]]),(Table13[[#This Row],[PM Hi]]-Table13[[#This Row],[Lowest lo from open to squeeze]])/(Table13[[#This Row],[PM Hi]]-Table13[[#This Row],[Prior day close]])))),IF($K138&gt;=$G138,($K138-$L138)/($K138-Table13[[#This Row],[PM LO]]),(IF($I138&lt;=$L138,($G138-$I138)/($G138-Table13[[#This Row],[PM LO]]),(Table13[[#This Row],[PM Hi]]-Table13[[#This Row],[Lowest lo from open to squeeze]])/(Table13[[#This Row],[PM Hi]]-Table13[[#This Row],[PM LO]])))))</f>
        <v>#DIV/0!</v>
      </c>
      <c r="AQ138" s="18"/>
      <c r="AR138" s="17">
        <f>390+Table13[[#This Row],[Time until ideal entry point (mins) from open]]</f>
        <v>390</v>
      </c>
      <c r="AS138" s="17">
        <f>Table13[[#This Row],[Time until ideal entry + 390 (6:30)]]+Table13[[#This Row],[Duration of frontside (mins)]]</f>
        <v>390</v>
      </c>
    </row>
    <row r="139" spans="1:45" hidden="1" x14ac:dyDescent="0.25">
      <c r="A139" s="24" t="s">
        <v>224</v>
      </c>
      <c r="B139" s="47">
        <v>43937</v>
      </c>
      <c r="C139" s="47" t="s">
        <v>78</v>
      </c>
      <c r="D139" s="46"/>
      <c r="E139" s="12"/>
      <c r="F139" s="13"/>
      <c r="G139" s="12"/>
      <c r="H139" s="12"/>
      <c r="I139" s="12"/>
      <c r="J139" s="12"/>
      <c r="K139" s="12"/>
      <c r="L139" s="12"/>
      <c r="O139" s="13"/>
      <c r="Q139" s="37"/>
      <c r="R139" s="46"/>
      <c r="S139" s="37"/>
      <c r="T139" s="37"/>
      <c r="U139" s="37"/>
      <c r="V139" s="37"/>
      <c r="W139" s="38"/>
      <c r="X139" s="46"/>
      <c r="Y139" s="37"/>
      <c r="Z139" s="46"/>
      <c r="AA139" s="41">
        <f>Table13[[#This Row],[Time until ideal entry + 390 (6:30)]]/(1440)</f>
        <v>0.27083333333333331</v>
      </c>
      <c r="AB139" s="18"/>
      <c r="AC139" s="18" t="e">
        <f>IF(Table13[[#This Row],[HOD AFTER PM HI]]&gt;=Table13[[#This Row],[PM Hi]],((Table13[[#This Row],[HOD AFTER PM HI]]-Table13[[#This Row],[Prior day close]])/Table13[[#This Row],[Prior day close]]),Table13[[#This Row],[Prior Close to PM Hi %]])</f>
        <v>#DIV/0!</v>
      </c>
      <c r="AD139" s="42" t="e">
        <f>(Table13[[#This Row],[Price at hi of squeeze]]-Table13[[#This Row],[MKT Open Price]])/Table13[[#This Row],[MKT Open Price]]</f>
        <v>#DIV/0!</v>
      </c>
      <c r="AE139" s="18" t="e">
        <f>(Table13[[#This Row],[Price at hi of squeeze]]-Table13[[#This Row],[PM Hi]])/Table13[[#This Row],[PM Hi]]</f>
        <v>#DIV/0!</v>
      </c>
      <c r="AF139" s="18"/>
      <c r="AG139" s="20" t="e">
        <f>Table13[[#This Row],[PM VOL]]/1000000/Table13[[#This Row],[FLOAT(M)]]</f>
        <v>#DIV/0!</v>
      </c>
      <c r="AH139" s="23" t="e">
        <f>(Table13[[#This Row],[Volume]]/1000000)/Table13[[#This Row],[FLOAT(M)]]</f>
        <v>#DIV/0!</v>
      </c>
      <c r="AJ139" s="18" t="e">
        <f>(Table13[[#This Row],[PM Hi]]-Table13[[#This Row],[MKT Open Price]])/(Table13[[#This Row],[PM Hi]])</f>
        <v>#DIV/0!</v>
      </c>
      <c r="AK139" s="18" t="e">
        <f>IF(Table13[[#This Row],[PM LO]]&gt;Table13[[#This Row],[Prior day close]],(Table13[[#This Row],[PM Hi]]-Table13[[#This Row],[MKT Open Price]])/(Table13[[#This Row],[PM Hi]]-Table13[[#This Row],[Prior day close]]),(Table13[[#This Row],[PM Hi]]-Table13[[#This Row],[MKT Open Price]])/(Table13[[#This Row],[PM Hi]]-Table13[[#This Row],[PM LO]]))</f>
        <v>#DIV/0!</v>
      </c>
      <c r="AL139" s="48" t="e">
        <f>IF(Table13[[#This Row],[Prior day close]]&lt;Table13[[#This Row],[PM LO]],(J139-L139)/(J139-Table13[[#This Row],[Prior day close]]),(J139-L139)/(J139-Table13[[#This Row],[PM LO]]))</f>
        <v>#DIV/0!</v>
      </c>
      <c r="AM139" s="48">
        <f>Table13[[#This Row],[Spike % on open before drop]]+AN139</f>
        <v>0</v>
      </c>
      <c r="AN139" s="16"/>
      <c r="AO139" s="16"/>
      <c r="AP139" s="48" t="e">
        <f>IF(Table13[[#This Row],[Prior day close]]&lt;=Table13[[#This Row],[PM LO]],IF($K139&gt;=$G139,($K139-$L139)/($K139-Table13[[#This Row],[Prior day close]]),(IF($I139&lt;=$L139,($G139-$I139)/($G139-Table13[[#This Row],[Prior day close]]),(Table13[[#This Row],[PM Hi]]-Table13[[#This Row],[Lowest lo from open to squeeze]])/(Table13[[#This Row],[PM Hi]]-Table13[[#This Row],[Prior day close]])))),IF($K139&gt;=$G139,($K139-$L139)/($K139-Table13[[#This Row],[PM LO]]),(IF($I139&lt;=$L139,($G139-$I139)/($G139-Table13[[#This Row],[PM LO]]),(Table13[[#This Row],[PM Hi]]-Table13[[#This Row],[Lowest lo from open to squeeze]])/(Table13[[#This Row],[PM Hi]]-Table13[[#This Row],[PM LO]])))))</f>
        <v>#DIV/0!</v>
      </c>
      <c r="AQ139" s="18"/>
      <c r="AR139" s="17">
        <f>390+Table13[[#This Row],[Time until ideal entry point (mins) from open]]</f>
        <v>390</v>
      </c>
      <c r="AS139" s="17">
        <f>Table13[[#This Row],[Time until ideal entry + 390 (6:30)]]+Table13[[#This Row],[Duration of frontside (mins)]]</f>
        <v>390</v>
      </c>
    </row>
    <row r="140" spans="1:45" hidden="1" x14ac:dyDescent="0.25">
      <c r="A140" s="24" t="s">
        <v>225</v>
      </c>
      <c r="B140" s="47">
        <v>43942</v>
      </c>
      <c r="C140" s="47" t="s">
        <v>78</v>
      </c>
      <c r="D140" s="46"/>
      <c r="E140" s="12"/>
      <c r="F140" s="13"/>
      <c r="G140" s="12"/>
      <c r="H140" s="12"/>
      <c r="I140" s="12"/>
      <c r="J140" s="12"/>
      <c r="K140" s="12"/>
      <c r="L140" s="12"/>
      <c r="O140" s="13"/>
      <c r="Q140" s="37"/>
      <c r="R140" s="46"/>
      <c r="S140" s="37"/>
      <c r="T140" s="37"/>
      <c r="U140" s="37"/>
      <c r="V140" s="37"/>
      <c r="W140" s="38"/>
      <c r="X140" s="46"/>
      <c r="Y140" s="37"/>
      <c r="Z140" s="46"/>
      <c r="AA140" s="41">
        <f>Table13[[#This Row],[Time until ideal entry + 390 (6:30)]]/(1440)</f>
        <v>0.27083333333333331</v>
      </c>
      <c r="AB140" s="18"/>
      <c r="AC140" s="18" t="e">
        <f>IF(Table13[[#This Row],[HOD AFTER PM HI]]&gt;=Table13[[#This Row],[PM Hi]],((Table13[[#This Row],[HOD AFTER PM HI]]-Table13[[#This Row],[Prior day close]])/Table13[[#This Row],[Prior day close]]),Table13[[#This Row],[Prior Close to PM Hi %]])</f>
        <v>#DIV/0!</v>
      </c>
      <c r="AD140" s="42" t="e">
        <f>(Table13[[#This Row],[Price at hi of squeeze]]-Table13[[#This Row],[MKT Open Price]])/Table13[[#This Row],[MKT Open Price]]</f>
        <v>#DIV/0!</v>
      </c>
      <c r="AE140" s="18" t="e">
        <f>(Table13[[#This Row],[Price at hi of squeeze]]-Table13[[#This Row],[PM Hi]])/Table13[[#This Row],[PM Hi]]</f>
        <v>#DIV/0!</v>
      </c>
      <c r="AF140" s="18"/>
      <c r="AG140" s="20" t="e">
        <f>Table13[[#This Row],[PM VOL]]/1000000/Table13[[#This Row],[FLOAT(M)]]</f>
        <v>#DIV/0!</v>
      </c>
      <c r="AH140" s="23" t="e">
        <f>(Table13[[#This Row],[Volume]]/1000000)/Table13[[#This Row],[FLOAT(M)]]</f>
        <v>#DIV/0!</v>
      </c>
      <c r="AJ140" s="18" t="e">
        <f>(Table13[[#This Row],[PM Hi]]-Table13[[#This Row],[MKT Open Price]])/(Table13[[#This Row],[PM Hi]])</f>
        <v>#DIV/0!</v>
      </c>
      <c r="AK140" s="18" t="e">
        <f>IF(Table13[[#This Row],[PM LO]]&gt;Table13[[#This Row],[Prior day close]],(Table13[[#This Row],[PM Hi]]-Table13[[#This Row],[MKT Open Price]])/(Table13[[#This Row],[PM Hi]]-Table13[[#This Row],[Prior day close]]),(Table13[[#This Row],[PM Hi]]-Table13[[#This Row],[MKT Open Price]])/(Table13[[#This Row],[PM Hi]]-Table13[[#This Row],[PM LO]]))</f>
        <v>#DIV/0!</v>
      </c>
      <c r="AL140" s="48" t="e">
        <f>IF(Table13[[#This Row],[Prior day close]]&lt;Table13[[#This Row],[PM LO]],(J140-L140)/(J140-Table13[[#This Row],[Prior day close]]),(J140-L140)/(J140-Table13[[#This Row],[PM LO]]))</f>
        <v>#DIV/0!</v>
      </c>
      <c r="AM140" s="48">
        <f>Table13[[#This Row],[Spike % on open before drop]]+AN140</f>
        <v>0</v>
      </c>
      <c r="AN140" s="16"/>
      <c r="AO140" s="16"/>
      <c r="AP140" s="48" t="e">
        <f>IF(Table13[[#This Row],[Prior day close]]&lt;=Table13[[#This Row],[PM LO]],IF($K140&gt;=$G140,($K140-$L140)/($K140-Table13[[#This Row],[Prior day close]]),(IF($I140&lt;=$L140,($G140-$I140)/($G140-Table13[[#This Row],[Prior day close]]),(Table13[[#This Row],[PM Hi]]-Table13[[#This Row],[Lowest lo from open to squeeze]])/(Table13[[#This Row],[PM Hi]]-Table13[[#This Row],[Prior day close]])))),IF($K140&gt;=$G140,($K140-$L140)/($K140-Table13[[#This Row],[PM LO]]),(IF($I140&lt;=$L140,($G140-$I140)/($G140-Table13[[#This Row],[PM LO]]),(Table13[[#This Row],[PM Hi]]-Table13[[#This Row],[Lowest lo from open to squeeze]])/(Table13[[#This Row],[PM Hi]]-Table13[[#This Row],[PM LO]])))))</f>
        <v>#DIV/0!</v>
      </c>
      <c r="AQ140" s="18"/>
      <c r="AR140" s="17">
        <f>390+Table13[[#This Row],[Time until ideal entry point (mins) from open]]</f>
        <v>390</v>
      </c>
      <c r="AS140" s="17">
        <f>Table13[[#This Row],[Time until ideal entry + 390 (6:30)]]+Table13[[#This Row],[Duration of frontside (mins)]]</f>
        <v>390</v>
      </c>
    </row>
    <row r="141" spans="1:45" hidden="1" x14ac:dyDescent="0.25">
      <c r="A141" s="24" t="s">
        <v>109</v>
      </c>
      <c r="B141" s="47">
        <v>43941</v>
      </c>
      <c r="C141" s="47" t="s">
        <v>178</v>
      </c>
      <c r="D141" s="46" t="s">
        <v>344</v>
      </c>
      <c r="E141" s="12"/>
      <c r="F141" s="13"/>
      <c r="G141" s="12"/>
      <c r="H141" s="12"/>
      <c r="I141" s="12"/>
      <c r="J141" s="12"/>
      <c r="K141" s="12"/>
      <c r="L141" s="12"/>
      <c r="O141" s="13"/>
      <c r="Q141" s="37"/>
      <c r="R141" s="46"/>
      <c r="S141" s="37"/>
      <c r="T141" s="37"/>
      <c r="U141" s="37"/>
      <c r="V141" s="37"/>
      <c r="W141" s="38"/>
      <c r="X141" s="46"/>
      <c r="Y141" s="37"/>
      <c r="Z141" s="46"/>
      <c r="AA141" s="41">
        <f>Table13[[#This Row],[Time until ideal entry + 390 (6:30)]]/(1440)</f>
        <v>0.27083333333333331</v>
      </c>
      <c r="AB141" s="18"/>
      <c r="AC141" s="18" t="e">
        <f>IF(Table13[[#This Row],[HOD AFTER PM HI]]&gt;=Table13[[#This Row],[PM Hi]],((Table13[[#This Row],[HOD AFTER PM HI]]-Table13[[#This Row],[Prior day close]])/Table13[[#This Row],[Prior day close]]),Table13[[#This Row],[Prior Close to PM Hi %]])</f>
        <v>#DIV/0!</v>
      </c>
      <c r="AD141" s="42" t="e">
        <f>(Table13[[#This Row],[Price at hi of squeeze]]-Table13[[#This Row],[MKT Open Price]])/Table13[[#This Row],[MKT Open Price]]</f>
        <v>#DIV/0!</v>
      </c>
      <c r="AE141" s="18" t="e">
        <f>(Table13[[#This Row],[Price at hi of squeeze]]-Table13[[#This Row],[PM Hi]])/Table13[[#This Row],[PM Hi]]</f>
        <v>#DIV/0!</v>
      </c>
      <c r="AF141" s="18"/>
      <c r="AG141" s="20" t="e">
        <f>Table13[[#This Row],[PM VOL]]/1000000/Table13[[#This Row],[FLOAT(M)]]</f>
        <v>#DIV/0!</v>
      </c>
      <c r="AH141" s="23" t="e">
        <f>(Table13[[#This Row],[Volume]]/1000000)/Table13[[#This Row],[FLOAT(M)]]</f>
        <v>#DIV/0!</v>
      </c>
      <c r="AJ141" s="18" t="e">
        <f>(Table13[[#This Row],[PM Hi]]-Table13[[#This Row],[MKT Open Price]])/(Table13[[#This Row],[PM Hi]])</f>
        <v>#DIV/0!</v>
      </c>
      <c r="AK141" s="18" t="e">
        <f>IF(Table13[[#This Row],[PM LO]]&gt;Table13[[#This Row],[Prior day close]],(Table13[[#This Row],[PM Hi]]-Table13[[#This Row],[MKT Open Price]])/(Table13[[#This Row],[PM Hi]]-Table13[[#This Row],[Prior day close]]),(Table13[[#This Row],[PM Hi]]-Table13[[#This Row],[MKT Open Price]])/(Table13[[#This Row],[PM Hi]]-Table13[[#This Row],[PM LO]]))</f>
        <v>#DIV/0!</v>
      </c>
      <c r="AL141" s="48" t="e">
        <f>IF(Table13[[#This Row],[Prior day close]]&lt;Table13[[#This Row],[PM LO]],(J141-L141)/(J141-Table13[[#This Row],[Prior day close]]),(J141-L141)/(J141-Table13[[#This Row],[PM LO]]))</f>
        <v>#DIV/0!</v>
      </c>
      <c r="AM141" s="48">
        <f>Table13[[#This Row],[Spike % on open before drop]]+AN141</f>
        <v>0</v>
      </c>
      <c r="AN141" s="16"/>
      <c r="AO141" s="16"/>
      <c r="AP141" s="48" t="e">
        <f>IF(Table13[[#This Row],[Prior day close]]&lt;=Table13[[#This Row],[PM LO]],IF($K141&gt;=$G141,($K141-$L141)/($K141-Table13[[#This Row],[Prior day close]]),(IF($I141&lt;=$L141,($G141-$I141)/($G141-Table13[[#This Row],[Prior day close]]),(Table13[[#This Row],[PM Hi]]-Table13[[#This Row],[Lowest lo from open to squeeze]])/(Table13[[#This Row],[PM Hi]]-Table13[[#This Row],[Prior day close]])))),IF($K141&gt;=$G141,($K141-$L141)/($K141-Table13[[#This Row],[PM LO]]),(IF($I141&lt;=$L141,($G141-$I141)/($G141-Table13[[#This Row],[PM LO]]),(Table13[[#This Row],[PM Hi]]-Table13[[#This Row],[Lowest lo from open to squeeze]])/(Table13[[#This Row],[PM Hi]]-Table13[[#This Row],[PM LO]])))))</f>
        <v>#DIV/0!</v>
      </c>
      <c r="AQ141" s="18"/>
      <c r="AR141" s="17">
        <f>390+Table13[[#This Row],[Time until ideal entry point (mins) from open]]</f>
        <v>390</v>
      </c>
      <c r="AS141" s="17">
        <f>Table13[[#This Row],[Time until ideal entry + 390 (6:30)]]+Table13[[#This Row],[Duration of frontside (mins)]]</f>
        <v>390</v>
      </c>
    </row>
    <row r="142" spans="1:45" hidden="1" x14ac:dyDescent="0.25">
      <c r="A142" s="24" t="s">
        <v>226</v>
      </c>
      <c r="B142" s="47">
        <v>43941</v>
      </c>
      <c r="C142" s="47" t="s">
        <v>78</v>
      </c>
      <c r="D142" s="46"/>
      <c r="E142" s="12"/>
      <c r="F142" s="13"/>
      <c r="G142" s="12"/>
      <c r="H142" s="12"/>
      <c r="I142" s="12"/>
      <c r="J142" s="12"/>
      <c r="K142" s="12"/>
      <c r="L142" s="12"/>
      <c r="O142" s="13"/>
      <c r="Q142" s="37"/>
      <c r="R142" s="46"/>
      <c r="S142" s="37"/>
      <c r="T142" s="37"/>
      <c r="U142" s="37"/>
      <c r="V142" s="37"/>
      <c r="W142" s="38"/>
      <c r="X142" s="46"/>
      <c r="Y142" s="37"/>
      <c r="Z142" s="46"/>
      <c r="AA142" s="41">
        <f>Table13[[#This Row],[Time until ideal entry + 390 (6:30)]]/(1440)</f>
        <v>0.27083333333333331</v>
      </c>
      <c r="AB142" s="18"/>
      <c r="AC142" s="18" t="e">
        <f>IF(Table13[[#This Row],[HOD AFTER PM HI]]&gt;=Table13[[#This Row],[PM Hi]],((Table13[[#This Row],[HOD AFTER PM HI]]-Table13[[#This Row],[Prior day close]])/Table13[[#This Row],[Prior day close]]),Table13[[#This Row],[Prior Close to PM Hi %]])</f>
        <v>#DIV/0!</v>
      </c>
      <c r="AD142" s="42" t="e">
        <f>(Table13[[#This Row],[Price at hi of squeeze]]-Table13[[#This Row],[MKT Open Price]])/Table13[[#This Row],[MKT Open Price]]</f>
        <v>#DIV/0!</v>
      </c>
      <c r="AE142" s="18" t="e">
        <f>(Table13[[#This Row],[Price at hi of squeeze]]-Table13[[#This Row],[PM Hi]])/Table13[[#This Row],[PM Hi]]</f>
        <v>#DIV/0!</v>
      </c>
      <c r="AF142" s="18"/>
      <c r="AG142" s="20" t="e">
        <f>Table13[[#This Row],[PM VOL]]/1000000/Table13[[#This Row],[FLOAT(M)]]</f>
        <v>#DIV/0!</v>
      </c>
      <c r="AH142" s="23" t="e">
        <f>(Table13[[#This Row],[Volume]]/1000000)/Table13[[#This Row],[FLOAT(M)]]</f>
        <v>#DIV/0!</v>
      </c>
      <c r="AJ142" s="18" t="e">
        <f>(Table13[[#This Row],[PM Hi]]-Table13[[#This Row],[MKT Open Price]])/(Table13[[#This Row],[PM Hi]])</f>
        <v>#DIV/0!</v>
      </c>
      <c r="AK142" s="18" t="e">
        <f>IF(Table13[[#This Row],[PM LO]]&gt;Table13[[#This Row],[Prior day close]],(Table13[[#This Row],[PM Hi]]-Table13[[#This Row],[MKT Open Price]])/(Table13[[#This Row],[PM Hi]]-Table13[[#This Row],[Prior day close]]),(Table13[[#This Row],[PM Hi]]-Table13[[#This Row],[MKT Open Price]])/(Table13[[#This Row],[PM Hi]]-Table13[[#This Row],[PM LO]]))</f>
        <v>#DIV/0!</v>
      </c>
      <c r="AL142" s="48" t="e">
        <f>IF(Table13[[#This Row],[Prior day close]]&lt;Table13[[#This Row],[PM LO]],(J142-L142)/(J142-Table13[[#This Row],[Prior day close]]),(J142-L142)/(J142-Table13[[#This Row],[PM LO]]))</f>
        <v>#DIV/0!</v>
      </c>
      <c r="AM142" s="48">
        <f>Table13[[#This Row],[Spike % on open before drop]]+AN142</f>
        <v>0</v>
      </c>
      <c r="AN142" s="16"/>
      <c r="AO142" s="16"/>
      <c r="AP142" s="48" t="e">
        <f>IF(Table13[[#This Row],[Prior day close]]&lt;=Table13[[#This Row],[PM LO]],IF($K142&gt;=$G142,($K142-$L142)/($K142-Table13[[#This Row],[Prior day close]]),(IF($I142&lt;=$L142,($G142-$I142)/($G142-Table13[[#This Row],[Prior day close]]),(Table13[[#This Row],[PM Hi]]-Table13[[#This Row],[Lowest lo from open to squeeze]])/(Table13[[#This Row],[PM Hi]]-Table13[[#This Row],[Prior day close]])))),IF($K142&gt;=$G142,($K142-$L142)/($K142-Table13[[#This Row],[PM LO]]),(IF($I142&lt;=$L142,($G142-$I142)/($G142-Table13[[#This Row],[PM LO]]),(Table13[[#This Row],[PM Hi]]-Table13[[#This Row],[Lowest lo from open to squeeze]])/(Table13[[#This Row],[PM Hi]]-Table13[[#This Row],[PM LO]])))))</f>
        <v>#DIV/0!</v>
      </c>
      <c r="AQ142" s="18"/>
      <c r="AR142" s="17">
        <f>390+Table13[[#This Row],[Time until ideal entry point (mins) from open]]</f>
        <v>390</v>
      </c>
      <c r="AS142" s="17">
        <f>Table13[[#This Row],[Time until ideal entry + 390 (6:30)]]+Table13[[#This Row],[Duration of frontside (mins)]]</f>
        <v>390</v>
      </c>
    </row>
    <row r="143" spans="1:45" hidden="1" x14ac:dyDescent="0.25">
      <c r="A143" s="24" t="s">
        <v>227</v>
      </c>
      <c r="B143" s="47">
        <v>43944</v>
      </c>
      <c r="C143" s="47" t="s">
        <v>178</v>
      </c>
      <c r="D143" s="46"/>
      <c r="E143" s="12"/>
      <c r="F143" s="13"/>
      <c r="G143" s="12"/>
      <c r="H143" s="12"/>
      <c r="I143" s="12"/>
      <c r="J143" s="12"/>
      <c r="K143" s="12"/>
      <c r="L143" s="12"/>
      <c r="O143" s="13"/>
      <c r="Q143" s="37"/>
      <c r="R143" s="46"/>
      <c r="S143" s="37"/>
      <c r="T143" s="37"/>
      <c r="U143" s="37"/>
      <c r="V143" s="37"/>
      <c r="W143" s="38"/>
      <c r="X143" s="46"/>
      <c r="Y143" s="37"/>
      <c r="Z143" s="46"/>
      <c r="AA143" s="41">
        <f>Table13[[#This Row],[Time until ideal entry + 390 (6:30)]]/(1440)</f>
        <v>0.27083333333333331</v>
      </c>
      <c r="AB143" s="18"/>
      <c r="AC143" s="18" t="e">
        <f>IF(Table13[[#This Row],[HOD AFTER PM HI]]&gt;=Table13[[#This Row],[PM Hi]],((Table13[[#This Row],[HOD AFTER PM HI]]-Table13[[#This Row],[Prior day close]])/Table13[[#This Row],[Prior day close]]),Table13[[#This Row],[Prior Close to PM Hi %]])</f>
        <v>#DIV/0!</v>
      </c>
      <c r="AD143" s="42" t="e">
        <f>(Table13[[#This Row],[Price at hi of squeeze]]-Table13[[#This Row],[MKT Open Price]])/Table13[[#This Row],[MKT Open Price]]</f>
        <v>#DIV/0!</v>
      </c>
      <c r="AE143" s="18" t="e">
        <f>(Table13[[#This Row],[Price at hi of squeeze]]-Table13[[#This Row],[PM Hi]])/Table13[[#This Row],[PM Hi]]</f>
        <v>#DIV/0!</v>
      </c>
      <c r="AF143" s="18"/>
      <c r="AG143" s="20" t="e">
        <f>Table13[[#This Row],[PM VOL]]/1000000/Table13[[#This Row],[FLOAT(M)]]</f>
        <v>#DIV/0!</v>
      </c>
      <c r="AH143" s="23" t="e">
        <f>(Table13[[#This Row],[Volume]]/1000000)/Table13[[#This Row],[FLOAT(M)]]</f>
        <v>#DIV/0!</v>
      </c>
      <c r="AJ143" s="18" t="e">
        <f>(Table13[[#This Row],[PM Hi]]-Table13[[#This Row],[MKT Open Price]])/(Table13[[#This Row],[PM Hi]])</f>
        <v>#DIV/0!</v>
      </c>
      <c r="AK143" s="18" t="e">
        <f>IF(Table13[[#This Row],[PM LO]]&gt;Table13[[#This Row],[Prior day close]],(Table13[[#This Row],[PM Hi]]-Table13[[#This Row],[MKT Open Price]])/(Table13[[#This Row],[PM Hi]]-Table13[[#This Row],[Prior day close]]),(Table13[[#This Row],[PM Hi]]-Table13[[#This Row],[MKT Open Price]])/(Table13[[#This Row],[PM Hi]]-Table13[[#This Row],[PM LO]]))</f>
        <v>#DIV/0!</v>
      </c>
      <c r="AL143" s="48" t="e">
        <f>IF(Table13[[#This Row],[Prior day close]]&lt;Table13[[#This Row],[PM LO]],(J143-L143)/(J143-Table13[[#This Row],[Prior day close]]),(J143-L143)/(J143-Table13[[#This Row],[PM LO]]))</f>
        <v>#DIV/0!</v>
      </c>
      <c r="AM143" s="48">
        <f>Table13[[#This Row],[Spike % on open before drop]]+AN143</f>
        <v>0</v>
      </c>
      <c r="AN143" s="16"/>
      <c r="AO143" s="16"/>
      <c r="AP143" s="48" t="e">
        <f>IF(Table13[[#This Row],[Prior day close]]&lt;=Table13[[#This Row],[PM LO]],IF($K143&gt;=$G143,($K143-$L143)/($K143-Table13[[#This Row],[Prior day close]]),(IF($I143&lt;=$L143,($G143-$I143)/($G143-Table13[[#This Row],[Prior day close]]),(Table13[[#This Row],[PM Hi]]-Table13[[#This Row],[Lowest lo from open to squeeze]])/(Table13[[#This Row],[PM Hi]]-Table13[[#This Row],[Prior day close]])))),IF($K143&gt;=$G143,($K143-$L143)/($K143-Table13[[#This Row],[PM LO]]),(IF($I143&lt;=$L143,($G143-$I143)/($G143-Table13[[#This Row],[PM LO]]),(Table13[[#This Row],[PM Hi]]-Table13[[#This Row],[Lowest lo from open to squeeze]])/(Table13[[#This Row],[PM Hi]]-Table13[[#This Row],[PM LO]])))))</f>
        <v>#DIV/0!</v>
      </c>
      <c r="AQ143" s="18"/>
      <c r="AR143" s="17">
        <f>390+Table13[[#This Row],[Time until ideal entry point (mins) from open]]</f>
        <v>390</v>
      </c>
      <c r="AS143" s="17">
        <f>Table13[[#This Row],[Time until ideal entry + 390 (6:30)]]+Table13[[#This Row],[Duration of frontside (mins)]]</f>
        <v>390</v>
      </c>
    </row>
    <row r="144" spans="1:45" hidden="1" x14ac:dyDescent="0.25">
      <c r="A144" s="24" t="s">
        <v>74</v>
      </c>
      <c r="B144" s="47">
        <v>43948</v>
      </c>
      <c r="C144" s="47" t="s">
        <v>78</v>
      </c>
      <c r="D144" s="46" t="s">
        <v>345</v>
      </c>
      <c r="E144" s="12"/>
      <c r="F144" s="13"/>
      <c r="G144" s="12"/>
      <c r="H144" s="12"/>
      <c r="I144" s="12"/>
      <c r="J144" s="12"/>
      <c r="K144" s="12"/>
      <c r="L144" s="12"/>
      <c r="O144" s="13"/>
      <c r="Q144" s="37"/>
      <c r="R144" s="46"/>
      <c r="S144" s="37"/>
      <c r="T144" s="37"/>
      <c r="U144" s="37"/>
      <c r="V144" s="37"/>
      <c r="W144" s="38"/>
      <c r="X144" s="46"/>
      <c r="Y144" s="37"/>
      <c r="Z144" s="46"/>
      <c r="AA144" s="41">
        <f>Table13[[#This Row],[Time until ideal entry + 390 (6:30)]]/(1440)</f>
        <v>0.27083333333333331</v>
      </c>
      <c r="AB144" s="18"/>
      <c r="AC144" s="18" t="e">
        <f>IF(Table13[[#This Row],[HOD AFTER PM HI]]&gt;=Table13[[#This Row],[PM Hi]],((Table13[[#This Row],[HOD AFTER PM HI]]-Table13[[#This Row],[Prior day close]])/Table13[[#This Row],[Prior day close]]),Table13[[#This Row],[Prior Close to PM Hi %]])</f>
        <v>#DIV/0!</v>
      </c>
      <c r="AD144" s="42" t="e">
        <f>(Table13[[#This Row],[Price at hi of squeeze]]-Table13[[#This Row],[MKT Open Price]])/Table13[[#This Row],[MKT Open Price]]</f>
        <v>#DIV/0!</v>
      </c>
      <c r="AE144" s="18" t="e">
        <f>(Table13[[#This Row],[Price at hi of squeeze]]-Table13[[#This Row],[PM Hi]])/Table13[[#This Row],[PM Hi]]</f>
        <v>#DIV/0!</v>
      </c>
      <c r="AF144" s="18"/>
      <c r="AG144" s="20" t="e">
        <f>Table13[[#This Row],[PM VOL]]/1000000/Table13[[#This Row],[FLOAT(M)]]</f>
        <v>#DIV/0!</v>
      </c>
      <c r="AH144" s="23" t="e">
        <f>(Table13[[#This Row],[Volume]]/1000000)/Table13[[#This Row],[FLOAT(M)]]</f>
        <v>#DIV/0!</v>
      </c>
      <c r="AJ144" s="18" t="e">
        <f>(Table13[[#This Row],[PM Hi]]-Table13[[#This Row],[MKT Open Price]])/(Table13[[#This Row],[PM Hi]])</f>
        <v>#DIV/0!</v>
      </c>
      <c r="AK144" s="18" t="e">
        <f>IF(Table13[[#This Row],[PM LO]]&gt;Table13[[#This Row],[Prior day close]],(Table13[[#This Row],[PM Hi]]-Table13[[#This Row],[MKT Open Price]])/(Table13[[#This Row],[PM Hi]]-Table13[[#This Row],[Prior day close]]),(Table13[[#This Row],[PM Hi]]-Table13[[#This Row],[MKT Open Price]])/(Table13[[#This Row],[PM Hi]]-Table13[[#This Row],[PM LO]]))</f>
        <v>#DIV/0!</v>
      </c>
      <c r="AL144" s="48" t="e">
        <f>IF(Table13[[#This Row],[Prior day close]]&lt;Table13[[#This Row],[PM LO]],(J144-L144)/(J144-Table13[[#This Row],[Prior day close]]),(J144-L144)/(J144-Table13[[#This Row],[PM LO]]))</f>
        <v>#DIV/0!</v>
      </c>
      <c r="AM144" s="48">
        <f>Table13[[#This Row],[Spike % on open before drop]]+AN144</f>
        <v>0</v>
      </c>
      <c r="AN144" s="16"/>
      <c r="AO144" s="16"/>
      <c r="AP144" s="48" t="e">
        <f>IF(Table13[[#This Row],[Prior day close]]&lt;=Table13[[#This Row],[PM LO]],IF($K144&gt;=$G144,($K144-$L144)/($K144-Table13[[#This Row],[Prior day close]]),(IF($I144&lt;=$L144,($G144-$I144)/($G144-Table13[[#This Row],[Prior day close]]),(Table13[[#This Row],[PM Hi]]-Table13[[#This Row],[Lowest lo from open to squeeze]])/(Table13[[#This Row],[PM Hi]]-Table13[[#This Row],[Prior day close]])))),IF($K144&gt;=$G144,($K144-$L144)/($K144-Table13[[#This Row],[PM LO]]),(IF($I144&lt;=$L144,($G144-$I144)/($G144-Table13[[#This Row],[PM LO]]),(Table13[[#This Row],[PM Hi]]-Table13[[#This Row],[Lowest lo from open to squeeze]])/(Table13[[#This Row],[PM Hi]]-Table13[[#This Row],[PM LO]])))))</f>
        <v>#DIV/0!</v>
      </c>
      <c r="AQ144" s="18"/>
      <c r="AR144" s="17">
        <f>390+Table13[[#This Row],[Time until ideal entry point (mins) from open]]</f>
        <v>390</v>
      </c>
      <c r="AS144" s="17">
        <f>Table13[[#This Row],[Time until ideal entry + 390 (6:30)]]+Table13[[#This Row],[Duration of frontside (mins)]]</f>
        <v>390</v>
      </c>
    </row>
    <row r="145" spans="1:45" hidden="1" x14ac:dyDescent="0.25">
      <c r="A145" s="24" t="s">
        <v>228</v>
      </c>
      <c r="B145" s="47">
        <v>43951</v>
      </c>
      <c r="C145" s="47" t="s">
        <v>178</v>
      </c>
      <c r="D145" s="46" t="s">
        <v>346</v>
      </c>
      <c r="E145" s="12"/>
      <c r="F145" s="13"/>
      <c r="G145" s="12"/>
      <c r="H145" s="12"/>
      <c r="I145" s="12"/>
      <c r="J145" s="12"/>
      <c r="K145" s="12"/>
      <c r="L145" s="12"/>
      <c r="O145" s="13"/>
      <c r="Q145" s="37"/>
      <c r="R145" s="46"/>
      <c r="S145" s="37"/>
      <c r="T145" s="37"/>
      <c r="U145" s="37"/>
      <c r="V145" s="37"/>
      <c r="W145" s="38"/>
      <c r="X145" s="46"/>
      <c r="Y145" s="37"/>
      <c r="Z145" s="46"/>
      <c r="AA145" s="41">
        <f>Table13[[#This Row],[Time until ideal entry + 390 (6:30)]]/(1440)</f>
        <v>0.27083333333333331</v>
      </c>
      <c r="AB145" s="18"/>
      <c r="AC145" s="18" t="e">
        <f>IF(Table13[[#This Row],[HOD AFTER PM HI]]&gt;=Table13[[#This Row],[PM Hi]],((Table13[[#This Row],[HOD AFTER PM HI]]-Table13[[#This Row],[Prior day close]])/Table13[[#This Row],[Prior day close]]),Table13[[#This Row],[Prior Close to PM Hi %]])</f>
        <v>#DIV/0!</v>
      </c>
      <c r="AD145" s="42" t="e">
        <f>(Table13[[#This Row],[Price at hi of squeeze]]-Table13[[#This Row],[MKT Open Price]])/Table13[[#This Row],[MKT Open Price]]</f>
        <v>#DIV/0!</v>
      </c>
      <c r="AE145" s="18" t="e">
        <f>(Table13[[#This Row],[Price at hi of squeeze]]-Table13[[#This Row],[PM Hi]])/Table13[[#This Row],[PM Hi]]</f>
        <v>#DIV/0!</v>
      </c>
      <c r="AF145" s="18"/>
      <c r="AG145" s="20" t="e">
        <f>Table13[[#This Row],[PM VOL]]/1000000/Table13[[#This Row],[FLOAT(M)]]</f>
        <v>#DIV/0!</v>
      </c>
      <c r="AH145" s="23" t="e">
        <f>(Table13[[#This Row],[Volume]]/1000000)/Table13[[#This Row],[FLOAT(M)]]</f>
        <v>#DIV/0!</v>
      </c>
      <c r="AJ145" s="18" t="e">
        <f>(Table13[[#This Row],[PM Hi]]-Table13[[#This Row],[MKT Open Price]])/(Table13[[#This Row],[PM Hi]])</f>
        <v>#DIV/0!</v>
      </c>
      <c r="AK145" s="18" t="e">
        <f>IF(Table13[[#This Row],[PM LO]]&gt;Table13[[#This Row],[Prior day close]],(Table13[[#This Row],[PM Hi]]-Table13[[#This Row],[MKT Open Price]])/(Table13[[#This Row],[PM Hi]]-Table13[[#This Row],[Prior day close]]),(Table13[[#This Row],[PM Hi]]-Table13[[#This Row],[MKT Open Price]])/(Table13[[#This Row],[PM Hi]]-Table13[[#This Row],[PM LO]]))</f>
        <v>#DIV/0!</v>
      </c>
      <c r="AL145" s="48" t="e">
        <f>IF(Table13[[#This Row],[Prior day close]]&lt;Table13[[#This Row],[PM LO]],(J145-L145)/(J145-Table13[[#This Row],[Prior day close]]),(J145-L145)/(J145-Table13[[#This Row],[PM LO]]))</f>
        <v>#DIV/0!</v>
      </c>
      <c r="AM145" s="48">
        <f>Table13[[#This Row],[Spike % on open before drop]]+AN145</f>
        <v>0</v>
      </c>
      <c r="AN145" s="16"/>
      <c r="AO145" s="16"/>
      <c r="AP145" s="48" t="e">
        <f>IF(Table13[[#This Row],[Prior day close]]&lt;=Table13[[#This Row],[PM LO]],IF($K145&gt;=$G145,($K145-$L145)/($K145-Table13[[#This Row],[Prior day close]]),(IF($I145&lt;=$L145,($G145-$I145)/($G145-Table13[[#This Row],[Prior day close]]),(Table13[[#This Row],[PM Hi]]-Table13[[#This Row],[Lowest lo from open to squeeze]])/(Table13[[#This Row],[PM Hi]]-Table13[[#This Row],[Prior day close]])))),IF($K145&gt;=$G145,($K145-$L145)/($K145-Table13[[#This Row],[PM LO]]),(IF($I145&lt;=$L145,($G145-$I145)/($G145-Table13[[#This Row],[PM LO]]),(Table13[[#This Row],[PM Hi]]-Table13[[#This Row],[Lowest lo from open to squeeze]])/(Table13[[#This Row],[PM Hi]]-Table13[[#This Row],[PM LO]])))))</f>
        <v>#DIV/0!</v>
      </c>
      <c r="AQ145" s="18"/>
      <c r="AR145" s="17">
        <f>390+Table13[[#This Row],[Time until ideal entry point (mins) from open]]</f>
        <v>390</v>
      </c>
      <c r="AS145" s="17">
        <f>Table13[[#This Row],[Time until ideal entry + 390 (6:30)]]+Table13[[#This Row],[Duration of frontside (mins)]]</f>
        <v>390</v>
      </c>
    </row>
    <row r="146" spans="1:45" hidden="1" x14ac:dyDescent="0.25">
      <c r="A146" s="24" t="s">
        <v>229</v>
      </c>
      <c r="B146" s="47">
        <v>43952</v>
      </c>
      <c r="C146" s="47" t="s">
        <v>78</v>
      </c>
      <c r="D146" s="46"/>
      <c r="E146" s="12"/>
      <c r="F146" s="13"/>
      <c r="G146" s="12"/>
      <c r="H146" s="12"/>
      <c r="I146" s="12"/>
      <c r="J146" s="12"/>
      <c r="K146" s="12"/>
      <c r="L146" s="12"/>
      <c r="O146" s="13"/>
      <c r="Q146" s="37"/>
      <c r="R146" s="46"/>
      <c r="S146" s="37"/>
      <c r="T146" s="37"/>
      <c r="U146" s="37"/>
      <c r="V146" s="37"/>
      <c r="W146" s="38"/>
      <c r="X146" s="46"/>
      <c r="Y146" s="37"/>
      <c r="Z146" s="46"/>
      <c r="AA146" s="41">
        <f>Table13[[#This Row],[Time until ideal entry + 390 (6:30)]]/(1440)</f>
        <v>0.27083333333333331</v>
      </c>
      <c r="AB146" s="18"/>
      <c r="AC146" s="18" t="e">
        <f>IF(Table13[[#This Row],[HOD AFTER PM HI]]&gt;=Table13[[#This Row],[PM Hi]],((Table13[[#This Row],[HOD AFTER PM HI]]-Table13[[#This Row],[Prior day close]])/Table13[[#This Row],[Prior day close]]),Table13[[#This Row],[Prior Close to PM Hi %]])</f>
        <v>#DIV/0!</v>
      </c>
      <c r="AD146" s="42" t="e">
        <f>(Table13[[#This Row],[Price at hi of squeeze]]-Table13[[#This Row],[MKT Open Price]])/Table13[[#This Row],[MKT Open Price]]</f>
        <v>#DIV/0!</v>
      </c>
      <c r="AE146" s="18" t="e">
        <f>(Table13[[#This Row],[Price at hi of squeeze]]-Table13[[#This Row],[PM Hi]])/Table13[[#This Row],[PM Hi]]</f>
        <v>#DIV/0!</v>
      </c>
      <c r="AF146" s="18"/>
      <c r="AG146" s="20" t="e">
        <f>Table13[[#This Row],[PM VOL]]/1000000/Table13[[#This Row],[FLOAT(M)]]</f>
        <v>#DIV/0!</v>
      </c>
      <c r="AH146" s="23" t="e">
        <f>(Table13[[#This Row],[Volume]]/1000000)/Table13[[#This Row],[FLOAT(M)]]</f>
        <v>#DIV/0!</v>
      </c>
      <c r="AJ146" s="18" t="e">
        <f>(Table13[[#This Row],[PM Hi]]-Table13[[#This Row],[MKT Open Price]])/(Table13[[#This Row],[PM Hi]])</f>
        <v>#DIV/0!</v>
      </c>
      <c r="AK146" s="18" t="e">
        <f>IF(Table13[[#This Row],[PM LO]]&gt;Table13[[#This Row],[Prior day close]],(Table13[[#This Row],[PM Hi]]-Table13[[#This Row],[MKT Open Price]])/(Table13[[#This Row],[PM Hi]]-Table13[[#This Row],[Prior day close]]),(Table13[[#This Row],[PM Hi]]-Table13[[#This Row],[MKT Open Price]])/(Table13[[#This Row],[PM Hi]]-Table13[[#This Row],[PM LO]]))</f>
        <v>#DIV/0!</v>
      </c>
      <c r="AL146" s="48" t="e">
        <f>IF(Table13[[#This Row],[Prior day close]]&lt;Table13[[#This Row],[PM LO]],(J146-L146)/(J146-Table13[[#This Row],[Prior day close]]),(J146-L146)/(J146-Table13[[#This Row],[PM LO]]))</f>
        <v>#DIV/0!</v>
      </c>
      <c r="AM146" s="48">
        <f>Table13[[#This Row],[Spike % on open before drop]]+AN146</f>
        <v>0</v>
      </c>
      <c r="AN146" s="16"/>
      <c r="AO146" s="16"/>
      <c r="AP146" s="48" t="e">
        <f>IF(Table13[[#This Row],[Prior day close]]&lt;=Table13[[#This Row],[PM LO]],IF($K146&gt;=$G146,($K146-$L146)/($K146-Table13[[#This Row],[Prior day close]]),(IF($I146&lt;=$L146,($G146-$I146)/($G146-Table13[[#This Row],[Prior day close]]),(Table13[[#This Row],[PM Hi]]-Table13[[#This Row],[Lowest lo from open to squeeze]])/(Table13[[#This Row],[PM Hi]]-Table13[[#This Row],[Prior day close]])))),IF($K146&gt;=$G146,($K146-$L146)/($K146-Table13[[#This Row],[PM LO]]),(IF($I146&lt;=$L146,($G146-$I146)/($G146-Table13[[#This Row],[PM LO]]),(Table13[[#This Row],[PM Hi]]-Table13[[#This Row],[Lowest lo from open to squeeze]])/(Table13[[#This Row],[PM Hi]]-Table13[[#This Row],[PM LO]])))))</f>
        <v>#DIV/0!</v>
      </c>
      <c r="AQ146" s="18"/>
      <c r="AR146" s="17">
        <f>390+Table13[[#This Row],[Time until ideal entry point (mins) from open]]</f>
        <v>390</v>
      </c>
      <c r="AS146" s="17">
        <f>Table13[[#This Row],[Time until ideal entry + 390 (6:30)]]+Table13[[#This Row],[Duration of frontside (mins)]]</f>
        <v>390</v>
      </c>
    </row>
    <row r="147" spans="1:45" hidden="1" x14ac:dyDescent="0.25">
      <c r="A147" s="24" t="s">
        <v>230</v>
      </c>
      <c r="B147" s="47">
        <v>43956</v>
      </c>
      <c r="C147" s="47" t="s">
        <v>78</v>
      </c>
      <c r="D147" s="46" t="s">
        <v>347</v>
      </c>
      <c r="E147" s="12"/>
      <c r="F147" s="13"/>
      <c r="G147" s="12"/>
      <c r="H147" s="12"/>
      <c r="I147" s="12"/>
      <c r="J147" s="12"/>
      <c r="K147" s="12"/>
      <c r="L147" s="12"/>
      <c r="O147" s="13"/>
      <c r="Q147" s="37"/>
      <c r="R147" s="46"/>
      <c r="S147" s="37"/>
      <c r="T147" s="37"/>
      <c r="U147" s="37"/>
      <c r="V147" s="37"/>
      <c r="W147" s="38"/>
      <c r="X147" s="46"/>
      <c r="Y147" s="37"/>
      <c r="Z147" s="46"/>
      <c r="AA147" s="41">
        <f>Table13[[#This Row],[Time until ideal entry + 390 (6:30)]]/(1440)</f>
        <v>0.27083333333333331</v>
      </c>
      <c r="AB147" s="18"/>
      <c r="AC147" s="18" t="e">
        <f>IF(Table13[[#This Row],[HOD AFTER PM HI]]&gt;=Table13[[#This Row],[PM Hi]],((Table13[[#This Row],[HOD AFTER PM HI]]-Table13[[#This Row],[Prior day close]])/Table13[[#This Row],[Prior day close]]),Table13[[#This Row],[Prior Close to PM Hi %]])</f>
        <v>#DIV/0!</v>
      </c>
      <c r="AD147" s="42" t="e">
        <f>(Table13[[#This Row],[Price at hi of squeeze]]-Table13[[#This Row],[MKT Open Price]])/Table13[[#This Row],[MKT Open Price]]</f>
        <v>#DIV/0!</v>
      </c>
      <c r="AE147" s="18" t="e">
        <f>(Table13[[#This Row],[Price at hi of squeeze]]-Table13[[#This Row],[PM Hi]])/Table13[[#This Row],[PM Hi]]</f>
        <v>#DIV/0!</v>
      </c>
      <c r="AF147" s="18"/>
      <c r="AG147" s="20" t="e">
        <f>Table13[[#This Row],[PM VOL]]/1000000/Table13[[#This Row],[FLOAT(M)]]</f>
        <v>#DIV/0!</v>
      </c>
      <c r="AH147" s="23" t="e">
        <f>(Table13[[#This Row],[Volume]]/1000000)/Table13[[#This Row],[FLOAT(M)]]</f>
        <v>#DIV/0!</v>
      </c>
      <c r="AJ147" s="18" t="e">
        <f>(Table13[[#This Row],[PM Hi]]-Table13[[#This Row],[MKT Open Price]])/(Table13[[#This Row],[PM Hi]])</f>
        <v>#DIV/0!</v>
      </c>
      <c r="AK147" s="18" t="e">
        <f>IF(Table13[[#This Row],[PM LO]]&gt;Table13[[#This Row],[Prior day close]],(Table13[[#This Row],[PM Hi]]-Table13[[#This Row],[MKT Open Price]])/(Table13[[#This Row],[PM Hi]]-Table13[[#This Row],[Prior day close]]),(Table13[[#This Row],[PM Hi]]-Table13[[#This Row],[MKT Open Price]])/(Table13[[#This Row],[PM Hi]]-Table13[[#This Row],[PM LO]]))</f>
        <v>#DIV/0!</v>
      </c>
      <c r="AL147" s="48" t="e">
        <f>IF(Table13[[#This Row],[Prior day close]]&lt;Table13[[#This Row],[PM LO]],(J147-L147)/(J147-Table13[[#This Row],[Prior day close]]),(J147-L147)/(J147-Table13[[#This Row],[PM LO]]))</f>
        <v>#DIV/0!</v>
      </c>
      <c r="AM147" s="48">
        <f>Table13[[#This Row],[Spike % on open before drop]]+AN147</f>
        <v>0</v>
      </c>
      <c r="AN147" s="16"/>
      <c r="AO147" s="16"/>
      <c r="AP147" s="48" t="e">
        <f>IF(Table13[[#This Row],[Prior day close]]&lt;=Table13[[#This Row],[PM LO]],IF($K147&gt;=$G147,($K147-$L147)/($K147-Table13[[#This Row],[Prior day close]]),(IF($I147&lt;=$L147,($G147-$I147)/($G147-Table13[[#This Row],[Prior day close]]),(Table13[[#This Row],[PM Hi]]-Table13[[#This Row],[Lowest lo from open to squeeze]])/(Table13[[#This Row],[PM Hi]]-Table13[[#This Row],[Prior day close]])))),IF($K147&gt;=$G147,($K147-$L147)/($K147-Table13[[#This Row],[PM LO]]),(IF($I147&lt;=$L147,($G147-$I147)/($G147-Table13[[#This Row],[PM LO]]),(Table13[[#This Row],[PM Hi]]-Table13[[#This Row],[Lowest lo from open to squeeze]])/(Table13[[#This Row],[PM Hi]]-Table13[[#This Row],[PM LO]])))))</f>
        <v>#DIV/0!</v>
      </c>
      <c r="AQ147" s="18"/>
      <c r="AR147" s="17">
        <f>390+Table13[[#This Row],[Time until ideal entry point (mins) from open]]</f>
        <v>390</v>
      </c>
      <c r="AS147" s="17">
        <f>Table13[[#This Row],[Time until ideal entry + 390 (6:30)]]+Table13[[#This Row],[Duration of frontside (mins)]]</f>
        <v>390</v>
      </c>
    </row>
    <row r="148" spans="1:45" hidden="1" x14ac:dyDescent="0.25">
      <c r="A148" s="24" t="s">
        <v>231</v>
      </c>
      <c r="B148" s="47">
        <v>43962</v>
      </c>
      <c r="C148" s="47" t="s">
        <v>78</v>
      </c>
      <c r="D148" s="46" t="s">
        <v>348</v>
      </c>
      <c r="E148" s="12"/>
      <c r="F148" s="13"/>
      <c r="G148" s="12"/>
      <c r="H148" s="12"/>
      <c r="I148" s="12"/>
      <c r="J148" s="12"/>
      <c r="K148" s="12"/>
      <c r="L148" s="12"/>
      <c r="O148" s="13"/>
      <c r="Q148" s="37"/>
      <c r="R148" s="46"/>
      <c r="S148" s="37"/>
      <c r="T148" s="37"/>
      <c r="U148" s="37"/>
      <c r="V148" s="37"/>
      <c r="W148" s="38"/>
      <c r="X148" s="46"/>
      <c r="Y148" s="37"/>
      <c r="Z148" s="46"/>
      <c r="AA148" s="41">
        <f>Table13[[#This Row],[Time until ideal entry + 390 (6:30)]]/(1440)</f>
        <v>0.27083333333333331</v>
      </c>
      <c r="AB148" s="18"/>
      <c r="AC148" s="18" t="e">
        <f>IF(Table13[[#This Row],[HOD AFTER PM HI]]&gt;=Table13[[#This Row],[PM Hi]],((Table13[[#This Row],[HOD AFTER PM HI]]-Table13[[#This Row],[Prior day close]])/Table13[[#This Row],[Prior day close]]),Table13[[#This Row],[Prior Close to PM Hi %]])</f>
        <v>#DIV/0!</v>
      </c>
      <c r="AD148" s="42" t="e">
        <f>(Table13[[#This Row],[Price at hi of squeeze]]-Table13[[#This Row],[MKT Open Price]])/Table13[[#This Row],[MKT Open Price]]</f>
        <v>#DIV/0!</v>
      </c>
      <c r="AE148" s="18" t="e">
        <f>(Table13[[#This Row],[Price at hi of squeeze]]-Table13[[#This Row],[PM Hi]])/Table13[[#This Row],[PM Hi]]</f>
        <v>#DIV/0!</v>
      </c>
      <c r="AF148" s="18"/>
      <c r="AG148" s="20" t="e">
        <f>Table13[[#This Row],[PM VOL]]/1000000/Table13[[#This Row],[FLOAT(M)]]</f>
        <v>#DIV/0!</v>
      </c>
      <c r="AH148" s="23" t="e">
        <f>(Table13[[#This Row],[Volume]]/1000000)/Table13[[#This Row],[FLOAT(M)]]</f>
        <v>#DIV/0!</v>
      </c>
      <c r="AJ148" s="18" t="e">
        <f>(Table13[[#This Row],[PM Hi]]-Table13[[#This Row],[MKT Open Price]])/(Table13[[#This Row],[PM Hi]])</f>
        <v>#DIV/0!</v>
      </c>
      <c r="AK148" s="18" t="e">
        <f>IF(Table13[[#This Row],[PM LO]]&gt;Table13[[#This Row],[Prior day close]],(Table13[[#This Row],[PM Hi]]-Table13[[#This Row],[MKT Open Price]])/(Table13[[#This Row],[PM Hi]]-Table13[[#This Row],[Prior day close]]),(Table13[[#This Row],[PM Hi]]-Table13[[#This Row],[MKT Open Price]])/(Table13[[#This Row],[PM Hi]]-Table13[[#This Row],[PM LO]]))</f>
        <v>#DIV/0!</v>
      </c>
      <c r="AL148" s="48" t="e">
        <f>IF(Table13[[#This Row],[Prior day close]]&lt;Table13[[#This Row],[PM LO]],(J148-L148)/(J148-Table13[[#This Row],[Prior day close]]),(J148-L148)/(J148-Table13[[#This Row],[PM LO]]))</f>
        <v>#DIV/0!</v>
      </c>
      <c r="AM148" s="48">
        <f>Table13[[#This Row],[Spike % on open before drop]]+AN148</f>
        <v>0</v>
      </c>
      <c r="AN148" s="16"/>
      <c r="AO148" s="16"/>
      <c r="AP148" s="48" t="e">
        <f>IF(Table13[[#This Row],[Prior day close]]&lt;=Table13[[#This Row],[PM LO]],IF($K148&gt;=$G148,($K148-$L148)/($K148-Table13[[#This Row],[Prior day close]]),(IF($I148&lt;=$L148,($G148-$I148)/($G148-Table13[[#This Row],[Prior day close]]),(Table13[[#This Row],[PM Hi]]-Table13[[#This Row],[Lowest lo from open to squeeze]])/(Table13[[#This Row],[PM Hi]]-Table13[[#This Row],[Prior day close]])))),IF($K148&gt;=$G148,($K148-$L148)/($K148-Table13[[#This Row],[PM LO]]),(IF($I148&lt;=$L148,($G148-$I148)/($G148-Table13[[#This Row],[PM LO]]),(Table13[[#This Row],[PM Hi]]-Table13[[#This Row],[Lowest lo from open to squeeze]])/(Table13[[#This Row],[PM Hi]]-Table13[[#This Row],[PM LO]])))))</f>
        <v>#DIV/0!</v>
      </c>
      <c r="AQ148" s="18"/>
      <c r="AR148" s="17">
        <f>390+Table13[[#This Row],[Time until ideal entry point (mins) from open]]</f>
        <v>390</v>
      </c>
      <c r="AS148" s="17">
        <f>Table13[[#This Row],[Time until ideal entry + 390 (6:30)]]+Table13[[#This Row],[Duration of frontside (mins)]]</f>
        <v>390</v>
      </c>
    </row>
    <row r="149" spans="1:45" hidden="1" x14ac:dyDescent="0.25">
      <c r="A149" s="24" t="s">
        <v>232</v>
      </c>
      <c r="B149" s="47">
        <v>43963</v>
      </c>
      <c r="C149" s="47" t="s">
        <v>78</v>
      </c>
      <c r="D149" s="46"/>
      <c r="E149" s="12"/>
      <c r="F149" s="13"/>
      <c r="G149" s="12"/>
      <c r="H149" s="12"/>
      <c r="I149" s="12"/>
      <c r="J149" s="12"/>
      <c r="K149" s="12"/>
      <c r="L149" s="12"/>
      <c r="O149" s="13"/>
      <c r="Q149" s="37"/>
      <c r="R149" s="46"/>
      <c r="S149" s="37"/>
      <c r="T149" s="37"/>
      <c r="U149" s="37"/>
      <c r="V149" s="37"/>
      <c r="W149" s="38"/>
      <c r="X149" s="46"/>
      <c r="Y149" s="37"/>
      <c r="Z149" s="46"/>
      <c r="AA149" s="41">
        <f>Table13[[#This Row],[Time until ideal entry + 390 (6:30)]]/(1440)</f>
        <v>0.27083333333333331</v>
      </c>
      <c r="AB149" s="18"/>
      <c r="AC149" s="18" t="e">
        <f>IF(Table13[[#This Row],[HOD AFTER PM HI]]&gt;=Table13[[#This Row],[PM Hi]],((Table13[[#This Row],[HOD AFTER PM HI]]-Table13[[#This Row],[Prior day close]])/Table13[[#This Row],[Prior day close]]),Table13[[#This Row],[Prior Close to PM Hi %]])</f>
        <v>#DIV/0!</v>
      </c>
      <c r="AD149" s="42" t="e">
        <f>(Table13[[#This Row],[Price at hi of squeeze]]-Table13[[#This Row],[MKT Open Price]])/Table13[[#This Row],[MKT Open Price]]</f>
        <v>#DIV/0!</v>
      </c>
      <c r="AE149" s="18" t="e">
        <f>(Table13[[#This Row],[Price at hi of squeeze]]-Table13[[#This Row],[PM Hi]])/Table13[[#This Row],[PM Hi]]</f>
        <v>#DIV/0!</v>
      </c>
      <c r="AF149" s="18"/>
      <c r="AG149" s="20" t="e">
        <f>Table13[[#This Row],[PM VOL]]/1000000/Table13[[#This Row],[FLOAT(M)]]</f>
        <v>#DIV/0!</v>
      </c>
      <c r="AH149" s="23" t="e">
        <f>(Table13[[#This Row],[Volume]]/1000000)/Table13[[#This Row],[FLOAT(M)]]</f>
        <v>#DIV/0!</v>
      </c>
      <c r="AJ149" s="18" t="e">
        <f>(Table13[[#This Row],[PM Hi]]-Table13[[#This Row],[MKT Open Price]])/(Table13[[#This Row],[PM Hi]])</f>
        <v>#DIV/0!</v>
      </c>
      <c r="AK149" s="18" t="e">
        <f>IF(Table13[[#This Row],[PM LO]]&gt;Table13[[#This Row],[Prior day close]],(Table13[[#This Row],[PM Hi]]-Table13[[#This Row],[MKT Open Price]])/(Table13[[#This Row],[PM Hi]]-Table13[[#This Row],[Prior day close]]),(Table13[[#This Row],[PM Hi]]-Table13[[#This Row],[MKT Open Price]])/(Table13[[#This Row],[PM Hi]]-Table13[[#This Row],[PM LO]]))</f>
        <v>#DIV/0!</v>
      </c>
      <c r="AL149" s="48" t="e">
        <f>IF(Table13[[#This Row],[Prior day close]]&lt;Table13[[#This Row],[PM LO]],(J149-L149)/(J149-Table13[[#This Row],[Prior day close]]),(J149-L149)/(J149-Table13[[#This Row],[PM LO]]))</f>
        <v>#DIV/0!</v>
      </c>
      <c r="AM149" s="48">
        <f>Table13[[#This Row],[Spike % on open before drop]]+AN149</f>
        <v>0</v>
      </c>
      <c r="AN149" s="16"/>
      <c r="AO149" s="16"/>
      <c r="AP149" s="48" t="e">
        <f>IF(Table13[[#This Row],[Prior day close]]&lt;=Table13[[#This Row],[PM LO]],IF($K149&gt;=$G149,($K149-$L149)/($K149-Table13[[#This Row],[Prior day close]]),(IF($I149&lt;=$L149,($G149-$I149)/($G149-Table13[[#This Row],[Prior day close]]),(Table13[[#This Row],[PM Hi]]-Table13[[#This Row],[Lowest lo from open to squeeze]])/(Table13[[#This Row],[PM Hi]]-Table13[[#This Row],[Prior day close]])))),IF($K149&gt;=$G149,($K149-$L149)/($K149-Table13[[#This Row],[PM LO]]),(IF($I149&lt;=$L149,($G149-$I149)/($G149-Table13[[#This Row],[PM LO]]),(Table13[[#This Row],[PM Hi]]-Table13[[#This Row],[Lowest lo from open to squeeze]])/(Table13[[#This Row],[PM Hi]]-Table13[[#This Row],[PM LO]])))))</f>
        <v>#DIV/0!</v>
      </c>
      <c r="AQ149" s="18"/>
      <c r="AR149" s="17">
        <f>390+Table13[[#This Row],[Time until ideal entry point (mins) from open]]</f>
        <v>390</v>
      </c>
      <c r="AS149" s="17">
        <f>Table13[[#This Row],[Time until ideal entry + 390 (6:30)]]+Table13[[#This Row],[Duration of frontside (mins)]]</f>
        <v>390</v>
      </c>
    </row>
    <row r="150" spans="1:45" hidden="1" x14ac:dyDescent="0.25">
      <c r="A150" s="24" t="s">
        <v>233</v>
      </c>
      <c r="B150" s="47">
        <v>43963</v>
      </c>
      <c r="C150" s="47" t="s">
        <v>78</v>
      </c>
      <c r="D150" s="46" t="s">
        <v>349</v>
      </c>
      <c r="E150" s="12"/>
      <c r="F150" s="13"/>
      <c r="G150" s="12"/>
      <c r="H150" s="12"/>
      <c r="I150" s="12"/>
      <c r="J150" s="12"/>
      <c r="K150" s="12"/>
      <c r="L150" s="12"/>
      <c r="O150" s="13"/>
      <c r="Q150" s="37"/>
      <c r="R150" s="46"/>
      <c r="S150" s="37"/>
      <c r="T150" s="37"/>
      <c r="U150" s="37"/>
      <c r="V150" s="37"/>
      <c r="W150" s="38"/>
      <c r="X150" s="46"/>
      <c r="Y150" s="37"/>
      <c r="Z150" s="46"/>
      <c r="AA150" s="41">
        <f>Table13[[#This Row],[Time until ideal entry + 390 (6:30)]]/(1440)</f>
        <v>0.27083333333333331</v>
      </c>
      <c r="AB150" s="18"/>
      <c r="AC150" s="18" t="e">
        <f>IF(Table13[[#This Row],[HOD AFTER PM HI]]&gt;=Table13[[#This Row],[PM Hi]],((Table13[[#This Row],[HOD AFTER PM HI]]-Table13[[#This Row],[Prior day close]])/Table13[[#This Row],[Prior day close]]),Table13[[#This Row],[Prior Close to PM Hi %]])</f>
        <v>#DIV/0!</v>
      </c>
      <c r="AD150" s="42" t="e">
        <f>(Table13[[#This Row],[Price at hi of squeeze]]-Table13[[#This Row],[MKT Open Price]])/Table13[[#This Row],[MKT Open Price]]</f>
        <v>#DIV/0!</v>
      </c>
      <c r="AE150" s="18" t="e">
        <f>(Table13[[#This Row],[Price at hi of squeeze]]-Table13[[#This Row],[PM Hi]])/Table13[[#This Row],[PM Hi]]</f>
        <v>#DIV/0!</v>
      </c>
      <c r="AF150" s="18"/>
      <c r="AG150" s="20" t="e">
        <f>Table13[[#This Row],[PM VOL]]/1000000/Table13[[#This Row],[FLOAT(M)]]</f>
        <v>#DIV/0!</v>
      </c>
      <c r="AH150" s="23" t="e">
        <f>(Table13[[#This Row],[Volume]]/1000000)/Table13[[#This Row],[FLOAT(M)]]</f>
        <v>#DIV/0!</v>
      </c>
      <c r="AJ150" s="18" t="e">
        <f>(Table13[[#This Row],[PM Hi]]-Table13[[#This Row],[MKT Open Price]])/(Table13[[#This Row],[PM Hi]])</f>
        <v>#DIV/0!</v>
      </c>
      <c r="AK150" s="18" t="e">
        <f>IF(Table13[[#This Row],[PM LO]]&gt;Table13[[#This Row],[Prior day close]],(Table13[[#This Row],[PM Hi]]-Table13[[#This Row],[MKT Open Price]])/(Table13[[#This Row],[PM Hi]]-Table13[[#This Row],[Prior day close]]),(Table13[[#This Row],[PM Hi]]-Table13[[#This Row],[MKT Open Price]])/(Table13[[#This Row],[PM Hi]]-Table13[[#This Row],[PM LO]]))</f>
        <v>#DIV/0!</v>
      </c>
      <c r="AL150" s="48" t="e">
        <f>IF(Table13[[#This Row],[Prior day close]]&lt;Table13[[#This Row],[PM LO]],(J150-L150)/(J150-Table13[[#This Row],[Prior day close]]),(J150-L150)/(J150-Table13[[#This Row],[PM LO]]))</f>
        <v>#DIV/0!</v>
      </c>
      <c r="AM150" s="48">
        <f>Table13[[#This Row],[Spike % on open before drop]]+AN150</f>
        <v>0</v>
      </c>
      <c r="AN150" s="16"/>
      <c r="AO150" s="16"/>
      <c r="AP150" s="48" t="e">
        <f>IF(Table13[[#This Row],[Prior day close]]&lt;=Table13[[#This Row],[PM LO]],IF($K150&gt;=$G150,($K150-$L150)/($K150-Table13[[#This Row],[Prior day close]]),(IF($I150&lt;=$L150,($G150-$I150)/($G150-Table13[[#This Row],[Prior day close]]),(Table13[[#This Row],[PM Hi]]-Table13[[#This Row],[Lowest lo from open to squeeze]])/(Table13[[#This Row],[PM Hi]]-Table13[[#This Row],[Prior day close]])))),IF($K150&gt;=$G150,($K150-$L150)/($K150-Table13[[#This Row],[PM LO]]),(IF($I150&lt;=$L150,($G150-$I150)/($G150-Table13[[#This Row],[PM LO]]),(Table13[[#This Row],[PM Hi]]-Table13[[#This Row],[Lowest lo from open to squeeze]])/(Table13[[#This Row],[PM Hi]]-Table13[[#This Row],[PM LO]])))))</f>
        <v>#DIV/0!</v>
      </c>
      <c r="AQ150" s="18"/>
      <c r="AR150" s="17">
        <f>390+Table13[[#This Row],[Time until ideal entry point (mins) from open]]</f>
        <v>390</v>
      </c>
      <c r="AS150" s="17">
        <f>Table13[[#This Row],[Time until ideal entry + 390 (6:30)]]+Table13[[#This Row],[Duration of frontside (mins)]]</f>
        <v>390</v>
      </c>
    </row>
    <row r="151" spans="1:45" hidden="1" x14ac:dyDescent="0.25">
      <c r="A151" s="24" t="s">
        <v>218</v>
      </c>
      <c r="B151" s="47">
        <v>43965</v>
      </c>
      <c r="C151" s="47" t="s">
        <v>78</v>
      </c>
      <c r="D151" s="46"/>
      <c r="E151" s="12"/>
      <c r="F151" s="13"/>
      <c r="G151" s="12"/>
      <c r="H151" s="12"/>
      <c r="I151" s="12"/>
      <c r="J151" s="12"/>
      <c r="K151" s="12"/>
      <c r="L151" s="12"/>
      <c r="O151" s="13"/>
      <c r="Q151" s="37"/>
      <c r="R151" s="46"/>
      <c r="S151" s="37"/>
      <c r="T151" s="37"/>
      <c r="U151" s="37"/>
      <c r="V151" s="37"/>
      <c r="W151" s="38"/>
      <c r="X151" s="46"/>
      <c r="Y151" s="37"/>
      <c r="Z151" s="46"/>
      <c r="AA151" s="41">
        <f>Table13[[#This Row],[Time until ideal entry + 390 (6:30)]]/(1440)</f>
        <v>0.27083333333333331</v>
      </c>
      <c r="AB151" s="18"/>
      <c r="AC151" s="18" t="e">
        <f>IF(Table13[[#This Row],[HOD AFTER PM HI]]&gt;=Table13[[#This Row],[PM Hi]],((Table13[[#This Row],[HOD AFTER PM HI]]-Table13[[#This Row],[Prior day close]])/Table13[[#This Row],[Prior day close]]),Table13[[#This Row],[Prior Close to PM Hi %]])</f>
        <v>#DIV/0!</v>
      </c>
      <c r="AD151" s="42" t="e">
        <f>(Table13[[#This Row],[Price at hi of squeeze]]-Table13[[#This Row],[MKT Open Price]])/Table13[[#This Row],[MKT Open Price]]</f>
        <v>#DIV/0!</v>
      </c>
      <c r="AE151" s="18" t="e">
        <f>(Table13[[#This Row],[Price at hi of squeeze]]-Table13[[#This Row],[PM Hi]])/Table13[[#This Row],[PM Hi]]</f>
        <v>#DIV/0!</v>
      </c>
      <c r="AF151" s="18"/>
      <c r="AG151" s="20" t="e">
        <f>Table13[[#This Row],[PM VOL]]/1000000/Table13[[#This Row],[FLOAT(M)]]</f>
        <v>#DIV/0!</v>
      </c>
      <c r="AH151" s="23" t="e">
        <f>(Table13[[#This Row],[Volume]]/1000000)/Table13[[#This Row],[FLOAT(M)]]</f>
        <v>#DIV/0!</v>
      </c>
      <c r="AJ151" s="18" t="e">
        <f>(Table13[[#This Row],[PM Hi]]-Table13[[#This Row],[MKT Open Price]])/(Table13[[#This Row],[PM Hi]])</f>
        <v>#DIV/0!</v>
      </c>
      <c r="AK151" s="18" t="e">
        <f>IF(Table13[[#This Row],[PM LO]]&gt;Table13[[#This Row],[Prior day close]],(Table13[[#This Row],[PM Hi]]-Table13[[#This Row],[MKT Open Price]])/(Table13[[#This Row],[PM Hi]]-Table13[[#This Row],[Prior day close]]),(Table13[[#This Row],[PM Hi]]-Table13[[#This Row],[MKT Open Price]])/(Table13[[#This Row],[PM Hi]]-Table13[[#This Row],[PM LO]]))</f>
        <v>#DIV/0!</v>
      </c>
      <c r="AL151" s="48" t="e">
        <f>IF(Table13[[#This Row],[Prior day close]]&lt;Table13[[#This Row],[PM LO]],(J151-L151)/(J151-Table13[[#This Row],[Prior day close]]),(J151-L151)/(J151-Table13[[#This Row],[PM LO]]))</f>
        <v>#DIV/0!</v>
      </c>
      <c r="AM151" s="48">
        <f>Table13[[#This Row],[Spike % on open before drop]]+AN151</f>
        <v>0</v>
      </c>
      <c r="AN151" s="16"/>
      <c r="AO151" s="16"/>
      <c r="AP151" s="48" t="e">
        <f>IF(Table13[[#This Row],[Prior day close]]&lt;=Table13[[#This Row],[PM LO]],IF($K151&gt;=$G151,($K151-$L151)/($K151-Table13[[#This Row],[Prior day close]]),(IF($I151&lt;=$L151,($G151-$I151)/($G151-Table13[[#This Row],[Prior day close]]),(Table13[[#This Row],[PM Hi]]-Table13[[#This Row],[Lowest lo from open to squeeze]])/(Table13[[#This Row],[PM Hi]]-Table13[[#This Row],[Prior day close]])))),IF($K151&gt;=$G151,($K151-$L151)/($K151-Table13[[#This Row],[PM LO]]),(IF($I151&lt;=$L151,($G151-$I151)/($G151-Table13[[#This Row],[PM LO]]),(Table13[[#This Row],[PM Hi]]-Table13[[#This Row],[Lowest lo from open to squeeze]])/(Table13[[#This Row],[PM Hi]]-Table13[[#This Row],[PM LO]])))))</f>
        <v>#DIV/0!</v>
      </c>
      <c r="AQ151" s="18"/>
      <c r="AR151" s="17">
        <f>390+Table13[[#This Row],[Time until ideal entry point (mins) from open]]</f>
        <v>390</v>
      </c>
      <c r="AS151" s="17">
        <f>Table13[[#This Row],[Time until ideal entry + 390 (6:30)]]+Table13[[#This Row],[Duration of frontside (mins)]]</f>
        <v>390</v>
      </c>
    </row>
    <row r="152" spans="1:45" hidden="1" x14ac:dyDescent="0.25">
      <c r="A152" s="24" t="s">
        <v>234</v>
      </c>
      <c r="B152" s="47">
        <v>43970</v>
      </c>
      <c r="C152" s="47" t="s">
        <v>178</v>
      </c>
      <c r="D152" s="46" t="s">
        <v>350</v>
      </c>
      <c r="E152" s="12"/>
      <c r="F152" s="13"/>
      <c r="G152" s="12"/>
      <c r="H152" s="12"/>
      <c r="I152" s="12"/>
      <c r="J152" s="12"/>
      <c r="K152" s="12"/>
      <c r="L152" s="12"/>
      <c r="O152" s="13"/>
      <c r="Q152" s="37"/>
      <c r="R152" s="46"/>
      <c r="S152" s="37"/>
      <c r="T152" s="37"/>
      <c r="U152" s="37"/>
      <c r="V152" s="37"/>
      <c r="W152" s="38"/>
      <c r="X152" s="46"/>
      <c r="Y152" s="37"/>
      <c r="Z152" s="46"/>
      <c r="AA152" s="41">
        <f>Table13[[#This Row],[Time until ideal entry + 390 (6:30)]]/(1440)</f>
        <v>0.27083333333333331</v>
      </c>
      <c r="AB152" s="18"/>
      <c r="AC152" s="18" t="e">
        <f>IF(Table13[[#This Row],[HOD AFTER PM HI]]&gt;=Table13[[#This Row],[PM Hi]],((Table13[[#This Row],[HOD AFTER PM HI]]-Table13[[#This Row],[Prior day close]])/Table13[[#This Row],[Prior day close]]),Table13[[#This Row],[Prior Close to PM Hi %]])</f>
        <v>#DIV/0!</v>
      </c>
      <c r="AD152" s="42" t="e">
        <f>(Table13[[#This Row],[Price at hi of squeeze]]-Table13[[#This Row],[MKT Open Price]])/Table13[[#This Row],[MKT Open Price]]</f>
        <v>#DIV/0!</v>
      </c>
      <c r="AE152" s="18" t="e">
        <f>(Table13[[#This Row],[Price at hi of squeeze]]-Table13[[#This Row],[PM Hi]])/Table13[[#This Row],[PM Hi]]</f>
        <v>#DIV/0!</v>
      </c>
      <c r="AF152" s="18"/>
      <c r="AG152" s="20" t="e">
        <f>Table13[[#This Row],[PM VOL]]/1000000/Table13[[#This Row],[FLOAT(M)]]</f>
        <v>#DIV/0!</v>
      </c>
      <c r="AH152" s="23" t="e">
        <f>(Table13[[#This Row],[Volume]]/1000000)/Table13[[#This Row],[FLOAT(M)]]</f>
        <v>#DIV/0!</v>
      </c>
      <c r="AJ152" s="18" t="e">
        <f>(Table13[[#This Row],[PM Hi]]-Table13[[#This Row],[MKT Open Price]])/(Table13[[#This Row],[PM Hi]])</f>
        <v>#DIV/0!</v>
      </c>
      <c r="AK152" s="18" t="e">
        <f>IF(Table13[[#This Row],[PM LO]]&gt;Table13[[#This Row],[Prior day close]],(Table13[[#This Row],[PM Hi]]-Table13[[#This Row],[MKT Open Price]])/(Table13[[#This Row],[PM Hi]]-Table13[[#This Row],[Prior day close]]),(Table13[[#This Row],[PM Hi]]-Table13[[#This Row],[MKT Open Price]])/(Table13[[#This Row],[PM Hi]]-Table13[[#This Row],[PM LO]]))</f>
        <v>#DIV/0!</v>
      </c>
      <c r="AL152" s="48" t="e">
        <f>IF(Table13[[#This Row],[Prior day close]]&lt;Table13[[#This Row],[PM LO]],(J152-L152)/(J152-Table13[[#This Row],[Prior day close]]),(J152-L152)/(J152-Table13[[#This Row],[PM LO]]))</f>
        <v>#DIV/0!</v>
      </c>
      <c r="AM152" s="48">
        <f>Table13[[#This Row],[Spike % on open before drop]]+AN152</f>
        <v>0</v>
      </c>
      <c r="AN152" s="16"/>
      <c r="AO152" s="16"/>
      <c r="AP152" s="48" t="e">
        <f>IF(Table13[[#This Row],[Prior day close]]&lt;=Table13[[#This Row],[PM LO]],IF($K152&gt;=$G152,($K152-$L152)/($K152-Table13[[#This Row],[Prior day close]]),(IF($I152&lt;=$L152,($G152-$I152)/($G152-Table13[[#This Row],[Prior day close]]),(Table13[[#This Row],[PM Hi]]-Table13[[#This Row],[Lowest lo from open to squeeze]])/(Table13[[#This Row],[PM Hi]]-Table13[[#This Row],[Prior day close]])))),IF($K152&gt;=$G152,($K152-$L152)/($K152-Table13[[#This Row],[PM LO]]),(IF($I152&lt;=$L152,($G152-$I152)/($G152-Table13[[#This Row],[PM LO]]),(Table13[[#This Row],[PM Hi]]-Table13[[#This Row],[Lowest lo from open to squeeze]])/(Table13[[#This Row],[PM Hi]]-Table13[[#This Row],[PM LO]])))))</f>
        <v>#DIV/0!</v>
      </c>
      <c r="AQ152" s="18"/>
      <c r="AR152" s="17">
        <f>390+Table13[[#This Row],[Time until ideal entry point (mins) from open]]</f>
        <v>390</v>
      </c>
      <c r="AS152" s="17">
        <f>Table13[[#This Row],[Time until ideal entry + 390 (6:30)]]+Table13[[#This Row],[Duration of frontside (mins)]]</f>
        <v>390</v>
      </c>
    </row>
    <row r="153" spans="1:45" hidden="1" x14ac:dyDescent="0.25">
      <c r="A153" s="24" t="s">
        <v>235</v>
      </c>
      <c r="B153" s="45">
        <v>43971</v>
      </c>
      <c r="C153" s="47" t="s">
        <v>78</v>
      </c>
      <c r="D153" s="46" t="s">
        <v>351</v>
      </c>
      <c r="E153" s="12"/>
      <c r="F153" s="13"/>
      <c r="G153" s="12"/>
      <c r="H153" s="12"/>
      <c r="I153" s="12"/>
      <c r="J153" s="12"/>
      <c r="K153" s="12"/>
      <c r="L153" s="12"/>
      <c r="O153" s="13"/>
      <c r="Q153" s="37"/>
      <c r="R153" s="46"/>
      <c r="S153" s="37"/>
      <c r="T153" s="37"/>
      <c r="U153" s="37"/>
      <c r="V153" s="37"/>
      <c r="W153" s="38"/>
      <c r="X153" s="46"/>
      <c r="Y153" s="37"/>
      <c r="Z153" s="46"/>
      <c r="AA153" s="41">
        <f>Table13[[#This Row],[Time until ideal entry + 390 (6:30)]]/(1440)</f>
        <v>0.27083333333333331</v>
      </c>
      <c r="AB153" s="18"/>
      <c r="AC153" s="18" t="e">
        <f>IF(Table13[[#This Row],[HOD AFTER PM HI]]&gt;=Table13[[#This Row],[PM Hi]],((Table13[[#This Row],[HOD AFTER PM HI]]-Table13[[#This Row],[Prior day close]])/Table13[[#This Row],[Prior day close]]),Table13[[#This Row],[Prior Close to PM Hi %]])</f>
        <v>#DIV/0!</v>
      </c>
      <c r="AD153" s="42" t="e">
        <f>(Table13[[#This Row],[Price at hi of squeeze]]-Table13[[#This Row],[MKT Open Price]])/Table13[[#This Row],[MKT Open Price]]</f>
        <v>#DIV/0!</v>
      </c>
      <c r="AE153" s="18" t="e">
        <f>(Table13[[#This Row],[Price at hi of squeeze]]-Table13[[#This Row],[PM Hi]])/Table13[[#This Row],[PM Hi]]</f>
        <v>#DIV/0!</v>
      </c>
      <c r="AF153" s="18"/>
      <c r="AG153" s="20" t="e">
        <f>Table13[[#This Row],[PM VOL]]/1000000/Table13[[#This Row],[FLOAT(M)]]</f>
        <v>#DIV/0!</v>
      </c>
      <c r="AH153" s="23" t="e">
        <f>(Table13[[#This Row],[Volume]]/1000000)/Table13[[#This Row],[FLOAT(M)]]</f>
        <v>#DIV/0!</v>
      </c>
      <c r="AJ153" s="18" t="e">
        <f>(Table13[[#This Row],[PM Hi]]-Table13[[#This Row],[MKT Open Price]])/(Table13[[#This Row],[PM Hi]])</f>
        <v>#DIV/0!</v>
      </c>
      <c r="AK153" s="18" t="e">
        <f>IF(Table13[[#This Row],[PM LO]]&gt;Table13[[#This Row],[Prior day close]],(Table13[[#This Row],[PM Hi]]-Table13[[#This Row],[MKT Open Price]])/(Table13[[#This Row],[PM Hi]]-Table13[[#This Row],[Prior day close]]),(Table13[[#This Row],[PM Hi]]-Table13[[#This Row],[MKT Open Price]])/(Table13[[#This Row],[PM Hi]]-Table13[[#This Row],[PM LO]]))</f>
        <v>#DIV/0!</v>
      </c>
      <c r="AL153" s="48" t="e">
        <f>IF(Table13[[#This Row],[Prior day close]]&lt;Table13[[#This Row],[PM LO]],(J153-L153)/(J153-Table13[[#This Row],[Prior day close]]),(J153-L153)/(J153-Table13[[#This Row],[PM LO]]))</f>
        <v>#DIV/0!</v>
      </c>
      <c r="AM153" s="48">
        <f>Table13[[#This Row],[Spike % on open before drop]]+AN153</f>
        <v>0</v>
      </c>
      <c r="AN153" s="16"/>
      <c r="AO153" s="16"/>
      <c r="AP153" s="48" t="e">
        <f>IF(Table13[[#This Row],[Prior day close]]&lt;=Table13[[#This Row],[PM LO]],IF($K153&gt;=$G153,($K153-$L153)/($K153-Table13[[#This Row],[Prior day close]]),(IF($I153&lt;=$L153,($G153-$I153)/($G153-Table13[[#This Row],[Prior day close]]),(Table13[[#This Row],[PM Hi]]-Table13[[#This Row],[Lowest lo from open to squeeze]])/(Table13[[#This Row],[PM Hi]]-Table13[[#This Row],[Prior day close]])))),IF($K153&gt;=$G153,($K153-$L153)/($K153-Table13[[#This Row],[PM LO]]),(IF($I153&lt;=$L153,($G153-$I153)/($G153-Table13[[#This Row],[PM LO]]),(Table13[[#This Row],[PM Hi]]-Table13[[#This Row],[Lowest lo from open to squeeze]])/(Table13[[#This Row],[PM Hi]]-Table13[[#This Row],[PM LO]])))))</f>
        <v>#DIV/0!</v>
      </c>
      <c r="AQ153" s="18"/>
      <c r="AR153" s="17">
        <f>390+Table13[[#This Row],[Time until ideal entry point (mins) from open]]</f>
        <v>390</v>
      </c>
      <c r="AS153" s="17">
        <f>Table13[[#This Row],[Time until ideal entry + 390 (6:30)]]+Table13[[#This Row],[Duration of frontside (mins)]]</f>
        <v>390</v>
      </c>
    </row>
    <row r="154" spans="1:45" hidden="1" x14ac:dyDescent="0.25">
      <c r="A154" s="24" t="s">
        <v>179</v>
      </c>
      <c r="B154" s="47">
        <v>43978</v>
      </c>
      <c r="C154" s="47" t="s">
        <v>178</v>
      </c>
      <c r="D154" s="46" t="s">
        <v>352</v>
      </c>
      <c r="E154" s="12"/>
      <c r="F154" s="13"/>
      <c r="G154" s="12"/>
      <c r="H154" s="12"/>
      <c r="I154" s="12"/>
      <c r="J154" s="12"/>
      <c r="K154" s="12"/>
      <c r="L154" s="12"/>
      <c r="O154" s="13"/>
      <c r="Q154" s="37"/>
      <c r="R154" s="46"/>
      <c r="S154" s="37"/>
      <c r="T154" s="37"/>
      <c r="U154" s="37"/>
      <c r="V154" s="37"/>
      <c r="W154" s="38"/>
      <c r="X154" s="46"/>
      <c r="Y154" s="37"/>
      <c r="Z154" s="46"/>
      <c r="AA154" s="41">
        <f>Table13[[#This Row],[Time until ideal entry + 390 (6:30)]]/(1440)</f>
        <v>0.27083333333333331</v>
      </c>
      <c r="AB154" s="18"/>
      <c r="AC154" s="18" t="e">
        <f>IF(Table13[[#This Row],[HOD AFTER PM HI]]&gt;=Table13[[#This Row],[PM Hi]],((Table13[[#This Row],[HOD AFTER PM HI]]-Table13[[#This Row],[Prior day close]])/Table13[[#This Row],[Prior day close]]),Table13[[#This Row],[Prior Close to PM Hi %]])</f>
        <v>#DIV/0!</v>
      </c>
      <c r="AD154" s="42" t="e">
        <f>(Table13[[#This Row],[Price at hi of squeeze]]-Table13[[#This Row],[MKT Open Price]])/Table13[[#This Row],[MKT Open Price]]</f>
        <v>#DIV/0!</v>
      </c>
      <c r="AE154" s="18" t="e">
        <f>(Table13[[#This Row],[Price at hi of squeeze]]-Table13[[#This Row],[PM Hi]])/Table13[[#This Row],[PM Hi]]</f>
        <v>#DIV/0!</v>
      </c>
      <c r="AF154" s="18"/>
      <c r="AG154" s="20" t="e">
        <f>Table13[[#This Row],[PM VOL]]/1000000/Table13[[#This Row],[FLOAT(M)]]</f>
        <v>#DIV/0!</v>
      </c>
      <c r="AH154" s="23" t="e">
        <f>(Table13[[#This Row],[Volume]]/1000000)/Table13[[#This Row],[FLOAT(M)]]</f>
        <v>#DIV/0!</v>
      </c>
      <c r="AJ154" s="18" t="e">
        <f>(Table13[[#This Row],[PM Hi]]-Table13[[#This Row],[MKT Open Price]])/(Table13[[#This Row],[PM Hi]])</f>
        <v>#DIV/0!</v>
      </c>
      <c r="AK154" s="18" t="e">
        <f>IF(Table13[[#This Row],[PM LO]]&gt;Table13[[#This Row],[Prior day close]],(Table13[[#This Row],[PM Hi]]-Table13[[#This Row],[MKT Open Price]])/(Table13[[#This Row],[PM Hi]]-Table13[[#This Row],[Prior day close]]),(Table13[[#This Row],[PM Hi]]-Table13[[#This Row],[MKT Open Price]])/(Table13[[#This Row],[PM Hi]]-Table13[[#This Row],[PM LO]]))</f>
        <v>#DIV/0!</v>
      </c>
      <c r="AL154" s="48" t="e">
        <f>IF(Table13[[#This Row],[Prior day close]]&lt;Table13[[#This Row],[PM LO]],(J154-L154)/(J154-Table13[[#This Row],[Prior day close]]),(J154-L154)/(J154-Table13[[#This Row],[PM LO]]))</f>
        <v>#DIV/0!</v>
      </c>
      <c r="AM154" s="48">
        <f>Table13[[#This Row],[Spike % on open before drop]]+AN154</f>
        <v>0</v>
      </c>
      <c r="AN154" s="16"/>
      <c r="AO154" s="16"/>
      <c r="AP154" s="48" t="e">
        <f>IF(Table13[[#This Row],[Prior day close]]&lt;=Table13[[#This Row],[PM LO]],IF($K154&gt;=$G154,($K154-$L154)/($K154-Table13[[#This Row],[Prior day close]]),(IF($I154&lt;=$L154,($G154-$I154)/($G154-Table13[[#This Row],[Prior day close]]),(Table13[[#This Row],[PM Hi]]-Table13[[#This Row],[Lowest lo from open to squeeze]])/(Table13[[#This Row],[PM Hi]]-Table13[[#This Row],[Prior day close]])))),IF($K154&gt;=$G154,($K154-$L154)/($K154-Table13[[#This Row],[PM LO]]),(IF($I154&lt;=$L154,($G154-$I154)/($G154-Table13[[#This Row],[PM LO]]),(Table13[[#This Row],[PM Hi]]-Table13[[#This Row],[Lowest lo from open to squeeze]])/(Table13[[#This Row],[PM Hi]]-Table13[[#This Row],[PM LO]])))))</f>
        <v>#DIV/0!</v>
      </c>
      <c r="AQ154" s="18"/>
      <c r="AR154" s="17">
        <f>390+Table13[[#This Row],[Time until ideal entry point (mins) from open]]</f>
        <v>390</v>
      </c>
      <c r="AS154" s="17">
        <f>Table13[[#This Row],[Time until ideal entry + 390 (6:30)]]+Table13[[#This Row],[Duration of frontside (mins)]]</f>
        <v>390</v>
      </c>
    </row>
    <row r="155" spans="1:45" hidden="1" x14ac:dyDescent="0.25">
      <c r="A155" s="25" t="s">
        <v>236</v>
      </c>
      <c r="B155" s="11">
        <v>43983</v>
      </c>
      <c r="C155" s="47" t="s">
        <v>178</v>
      </c>
      <c r="D155" s="46" t="s">
        <v>353</v>
      </c>
      <c r="E155" s="12"/>
      <c r="F155" s="13"/>
      <c r="G155" s="12"/>
      <c r="H155" s="12"/>
      <c r="I155" s="12"/>
      <c r="J155" s="12"/>
      <c r="K155" s="12"/>
      <c r="L155" s="12"/>
      <c r="O155" s="13"/>
      <c r="Q155" s="37"/>
      <c r="R155" s="46"/>
      <c r="S155" s="37"/>
      <c r="T155" s="37"/>
      <c r="U155" s="37"/>
      <c r="V155" s="37"/>
      <c r="W155" s="38"/>
      <c r="X155" s="46"/>
      <c r="Y155" s="37"/>
      <c r="Z155" s="46"/>
      <c r="AA155" s="41">
        <f>Table13[[#This Row],[Time until ideal entry + 390 (6:30)]]/(1440)</f>
        <v>0.27083333333333331</v>
      </c>
      <c r="AB155" s="18"/>
      <c r="AC155" s="18" t="e">
        <f>IF(Table13[[#This Row],[HOD AFTER PM HI]]&gt;=Table13[[#This Row],[PM Hi]],((Table13[[#This Row],[HOD AFTER PM HI]]-Table13[[#This Row],[Prior day close]])/Table13[[#This Row],[Prior day close]]),Table13[[#This Row],[Prior Close to PM Hi %]])</f>
        <v>#DIV/0!</v>
      </c>
      <c r="AD155" s="42" t="e">
        <f>(Table13[[#This Row],[Price at hi of squeeze]]-Table13[[#This Row],[MKT Open Price]])/Table13[[#This Row],[MKT Open Price]]</f>
        <v>#DIV/0!</v>
      </c>
      <c r="AE155" s="18" t="e">
        <f>(Table13[[#This Row],[Price at hi of squeeze]]-Table13[[#This Row],[PM Hi]])/Table13[[#This Row],[PM Hi]]</f>
        <v>#DIV/0!</v>
      </c>
      <c r="AF155" s="18"/>
      <c r="AG155" s="20" t="e">
        <f>Table13[[#This Row],[PM VOL]]/1000000/Table13[[#This Row],[FLOAT(M)]]</f>
        <v>#DIV/0!</v>
      </c>
      <c r="AH155" s="23" t="e">
        <f>(Table13[[#This Row],[Volume]]/1000000)/Table13[[#This Row],[FLOAT(M)]]</f>
        <v>#DIV/0!</v>
      </c>
      <c r="AJ155" s="18" t="e">
        <f>(Table13[[#This Row],[PM Hi]]-Table13[[#This Row],[MKT Open Price]])/(Table13[[#This Row],[PM Hi]])</f>
        <v>#DIV/0!</v>
      </c>
      <c r="AK155" s="18" t="e">
        <f>IF(Table13[[#This Row],[PM LO]]&gt;Table13[[#This Row],[Prior day close]],(Table13[[#This Row],[PM Hi]]-Table13[[#This Row],[MKT Open Price]])/(Table13[[#This Row],[PM Hi]]-Table13[[#This Row],[Prior day close]]),(Table13[[#This Row],[PM Hi]]-Table13[[#This Row],[MKT Open Price]])/(Table13[[#This Row],[PM Hi]]-Table13[[#This Row],[PM LO]]))</f>
        <v>#DIV/0!</v>
      </c>
      <c r="AL155" s="48" t="e">
        <f>IF(Table13[[#This Row],[Prior day close]]&lt;Table13[[#This Row],[PM LO]],(J155-L155)/(J155-Table13[[#This Row],[Prior day close]]),(J155-L155)/(J155-Table13[[#This Row],[PM LO]]))</f>
        <v>#DIV/0!</v>
      </c>
      <c r="AM155" s="48">
        <f>Table13[[#This Row],[Spike % on open before drop]]+AN155</f>
        <v>0</v>
      </c>
      <c r="AN155" s="16"/>
      <c r="AO155" s="16"/>
      <c r="AP155" s="48" t="e">
        <f>IF(Table13[[#This Row],[Prior day close]]&lt;=Table13[[#This Row],[PM LO]],IF($K155&gt;=$G155,($K155-$L155)/($K155-Table13[[#This Row],[Prior day close]]),(IF($I155&lt;=$L155,($G155-$I155)/($G155-Table13[[#This Row],[Prior day close]]),(Table13[[#This Row],[PM Hi]]-Table13[[#This Row],[Lowest lo from open to squeeze]])/(Table13[[#This Row],[PM Hi]]-Table13[[#This Row],[Prior day close]])))),IF($K155&gt;=$G155,($K155-$L155)/($K155-Table13[[#This Row],[PM LO]]),(IF($I155&lt;=$L155,($G155-$I155)/($G155-Table13[[#This Row],[PM LO]]),(Table13[[#This Row],[PM Hi]]-Table13[[#This Row],[Lowest lo from open to squeeze]])/(Table13[[#This Row],[PM Hi]]-Table13[[#This Row],[PM LO]])))))</f>
        <v>#DIV/0!</v>
      </c>
      <c r="AQ155" s="18"/>
      <c r="AR155" s="17">
        <f>390+Table13[[#This Row],[Time until ideal entry point (mins) from open]]</f>
        <v>390</v>
      </c>
      <c r="AS155" s="17">
        <f>Table13[[#This Row],[Time until ideal entry + 390 (6:30)]]+Table13[[#This Row],[Duration of frontside (mins)]]</f>
        <v>390</v>
      </c>
    </row>
    <row r="156" spans="1:45" hidden="1" x14ac:dyDescent="0.25">
      <c r="A156" s="24" t="s">
        <v>84</v>
      </c>
      <c r="B156" s="47">
        <v>43985</v>
      </c>
      <c r="C156" s="47" t="s">
        <v>78</v>
      </c>
      <c r="D156" s="46" t="s">
        <v>354</v>
      </c>
      <c r="E156" s="12"/>
      <c r="F156" s="13"/>
      <c r="G156" s="12"/>
      <c r="H156" s="12"/>
      <c r="I156" s="12"/>
      <c r="J156" s="12"/>
      <c r="K156" s="12"/>
      <c r="L156" s="12"/>
      <c r="O156" s="13"/>
      <c r="Q156" s="37"/>
      <c r="R156" s="46"/>
      <c r="S156" s="37"/>
      <c r="T156" s="37"/>
      <c r="U156" s="37"/>
      <c r="V156" s="37"/>
      <c r="W156" s="38"/>
      <c r="X156" s="46"/>
      <c r="Y156" s="37"/>
      <c r="Z156" s="46"/>
      <c r="AA156" s="41">
        <f>Table13[[#This Row],[Time until ideal entry + 390 (6:30)]]/(1440)</f>
        <v>0.27083333333333331</v>
      </c>
      <c r="AB156" s="18"/>
      <c r="AC156" s="18" t="e">
        <f>IF(Table13[[#This Row],[HOD AFTER PM HI]]&gt;=Table13[[#This Row],[PM Hi]],((Table13[[#This Row],[HOD AFTER PM HI]]-Table13[[#This Row],[Prior day close]])/Table13[[#This Row],[Prior day close]]),Table13[[#This Row],[Prior Close to PM Hi %]])</f>
        <v>#DIV/0!</v>
      </c>
      <c r="AD156" s="42" t="e">
        <f>(Table13[[#This Row],[Price at hi of squeeze]]-Table13[[#This Row],[MKT Open Price]])/Table13[[#This Row],[MKT Open Price]]</f>
        <v>#DIV/0!</v>
      </c>
      <c r="AE156" s="18" t="e">
        <f>(Table13[[#This Row],[Price at hi of squeeze]]-Table13[[#This Row],[PM Hi]])/Table13[[#This Row],[PM Hi]]</f>
        <v>#DIV/0!</v>
      </c>
      <c r="AF156" s="18"/>
      <c r="AG156" s="20" t="e">
        <f>Table13[[#This Row],[PM VOL]]/1000000/Table13[[#This Row],[FLOAT(M)]]</f>
        <v>#DIV/0!</v>
      </c>
      <c r="AH156" s="23" t="e">
        <f>(Table13[[#This Row],[Volume]]/1000000)/Table13[[#This Row],[FLOAT(M)]]</f>
        <v>#DIV/0!</v>
      </c>
      <c r="AJ156" s="18" t="e">
        <f>(Table13[[#This Row],[PM Hi]]-Table13[[#This Row],[MKT Open Price]])/(Table13[[#This Row],[PM Hi]])</f>
        <v>#DIV/0!</v>
      </c>
      <c r="AK156" s="18" t="e">
        <f>IF(Table13[[#This Row],[PM LO]]&gt;Table13[[#This Row],[Prior day close]],(Table13[[#This Row],[PM Hi]]-Table13[[#This Row],[MKT Open Price]])/(Table13[[#This Row],[PM Hi]]-Table13[[#This Row],[Prior day close]]),(Table13[[#This Row],[PM Hi]]-Table13[[#This Row],[MKT Open Price]])/(Table13[[#This Row],[PM Hi]]-Table13[[#This Row],[PM LO]]))</f>
        <v>#DIV/0!</v>
      </c>
      <c r="AL156" s="48" t="e">
        <f>IF(Table13[[#This Row],[Prior day close]]&lt;Table13[[#This Row],[PM LO]],(J156-L156)/(J156-Table13[[#This Row],[Prior day close]]),(J156-L156)/(J156-Table13[[#This Row],[PM LO]]))</f>
        <v>#DIV/0!</v>
      </c>
      <c r="AM156" s="48">
        <f>Table13[[#This Row],[Spike % on open before drop]]+AN156</f>
        <v>0</v>
      </c>
      <c r="AN156" s="16"/>
      <c r="AO156" s="16"/>
      <c r="AP156" s="48" t="e">
        <f>IF(Table13[[#This Row],[Prior day close]]&lt;=Table13[[#This Row],[PM LO]],IF($K156&gt;=$G156,($K156-$L156)/($K156-Table13[[#This Row],[Prior day close]]),(IF($I156&lt;=$L156,($G156-$I156)/($G156-Table13[[#This Row],[Prior day close]]),(Table13[[#This Row],[PM Hi]]-Table13[[#This Row],[Lowest lo from open to squeeze]])/(Table13[[#This Row],[PM Hi]]-Table13[[#This Row],[Prior day close]])))),IF($K156&gt;=$G156,($K156-$L156)/($K156-Table13[[#This Row],[PM LO]]),(IF($I156&lt;=$L156,($G156-$I156)/($G156-Table13[[#This Row],[PM LO]]),(Table13[[#This Row],[PM Hi]]-Table13[[#This Row],[Lowest lo from open to squeeze]])/(Table13[[#This Row],[PM Hi]]-Table13[[#This Row],[PM LO]])))))</f>
        <v>#DIV/0!</v>
      </c>
      <c r="AQ156" s="18"/>
      <c r="AR156" s="17">
        <f>390+Table13[[#This Row],[Time until ideal entry point (mins) from open]]</f>
        <v>390</v>
      </c>
      <c r="AS156" s="17">
        <f>Table13[[#This Row],[Time until ideal entry + 390 (6:30)]]+Table13[[#This Row],[Duration of frontside (mins)]]</f>
        <v>390</v>
      </c>
    </row>
    <row r="157" spans="1:45" hidden="1" x14ac:dyDescent="0.25">
      <c r="A157" s="24" t="s">
        <v>237</v>
      </c>
      <c r="B157" s="47">
        <v>43985</v>
      </c>
      <c r="C157" s="47" t="s">
        <v>178</v>
      </c>
      <c r="D157" s="46"/>
      <c r="E157" s="12"/>
      <c r="F157" s="13"/>
      <c r="G157" s="12"/>
      <c r="H157" s="12"/>
      <c r="I157" s="12"/>
      <c r="J157" s="12"/>
      <c r="K157" s="12"/>
      <c r="L157" s="12"/>
      <c r="O157" s="13"/>
      <c r="Q157" s="37"/>
      <c r="R157" s="46"/>
      <c r="S157" s="37"/>
      <c r="T157" s="37"/>
      <c r="U157" s="37"/>
      <c r="V157" s="37"/>
      <c r="W157" s="38"/>
      <c r="X157" s="46"/>
      <c r="Y157" s="37"/>
      <c r="Z157" s="46"/>
      <c r="AA157" s="41">
        <f>Table13[[#This Row],[Time until ideal entry + 390 (6:30)]]/(1440)</f>
        <v>0.27083333333333331</v>
      </c>
      <c r="AB157" s="18"/>
      <c r="AC157" s="18" t="e">
        <f>IF(Table13[[#This Row],[HOD AFTER PM HI]]&gt;=Table13[[#This Row],[PM Hi]],((Table13[[#This Row],[HOD AFTER PM HI]]-Table13[[#This Row],[Prior day close]])/Table13[[#This Row],[Prior day close]]),Table13[[#This Row],[Prior Close to PM Hi %]])</f>
        <v>#DIV/0!</v>
      </c>
      <c r="AD157" s="42" t="e">
        <f>(Table13[[#This Row],[Price at hi of squeeze]]-Table13[[#This Row],[MKT Open Price]])/Table13[[#This Row],[MKT Open Price]]</f>
        <v>#DIV/0!</v>
      </c>
      <c r="AE157" s="18" t="e">
        <f>(Table13[[#This Row],[Price at hi of squeeze]]-Table13[[#This Row],[PM Hi]])/Table13[[#This Row],[PM Hi]]</f>
        <v>#DIV/0!</v>
      </c>
      <c r="AF157" s="18"/>
      <c r="AG157" s="20" t="e">
        <f>Table13[[#This Row],[PM VOL]]/1000000/Table13[[#This Row],[FLOAT(M)]]</f>
        <v>#DIV/0!</v>
      </c>
      <c r="AH157" s="23" t="e">
        <f>(Table13[[#This Row],[Volume]]/1000000)/Table13[[#This Row],[FLOAT(M)]]</f>
        <v>#DIV/0!</v>
      </c>
      <c r="AJ157" s="18" t="e">
        <f>(Table13[[#This Row],[PM Hi]]-Table13[[#This Row],[MKT Open Price]])/(Table13[[#This Row],[PM Hi]])</f>
        <v>#DIV/0!</v>
      </c>
      <c r="AK157" s="18" t="e">
        <f>IF(Table13[[#This Row],[PM LO]]&gt;Table13[[#This Row],[Prior day close]],(Table13[[#This Row],[PM Hi]]-Table13[[#This Row],[MKT Open Price]])/(Table13[[#This Row],[PM Hi]]-Table13[[#This Row],[Prior day close]]),(Table13[[#This Row],[PM Hi]]-Table13[[#This Row],[MKT Open Price]])/(Table13[[#This Row],[PM Hi]]-Table13[[#This Row],[PM LO]]))</f>
        <v>#DIV/0!</v>
      </c>
      <c r="AL157" s="48" t="e">
        <f>IF(Table13[[#This Row],[Prior day close]]&lt;Table13[[#This Row],[PM LO]],(J157-L157)/(J157-Table13[[#This Row],[Prior day close]]),(J157-L157)/(J157-Table13[[#This Row],[PM LO]]))</f>
        <v>#DIV/0!</v>
      </c>
      <c r="AM157" s="48">
        <f>Table13[[#This Row],[Spike % on open before drop]]+AN157</f>
        <v>0</v>
      </c>
      <c r="AN157" s="16"/>
      <c r="AO157" s="16"/>
      <c r="AP157" s="48" t="e">
        <f>IF(Table13[[#This Row],[Prior day close]]&lt;=Table13[[#This Row],[PM LO]],IF($K157&gt;=$G157,($K157-$L157)/($K157-Table13[[#This Row],[Prior day close]]),(IF($I157&lt;=$L157,($G157-$I157)/($G157-Table13[[#This Row],[Prior day close]]),(Table13[[#This Row],[PM Hi]]-Table13[[#This Row],[Lowest lo from open to squeeze]])/(Table13[[#This Row],[PM Hi]]-Table13[[#This Row],[Prior day close]])))),IF($K157&gt;=$G157,($K157-$L157)/($K157-Table13[[#This Row],[PM LO]]),(IF($I157&lt;=$L157,($G157-$I157)/($G157-Table13[[#This Row],[PM LO]]),(Table13[[#This Row],[PM Hi]]-Table13[[#This Row],[Lowest lo from open to squeeze]])/(Table13[[#This Row],[PM Hi]]-Table13[[#This Row],[PM LO]])))))</f>
        <v>#DIV/0!</v>
      </c>
      <c r="AQ157" s="18"/>
      <c r="AR157" s="17">
        <f>390+Table13[[#This Row],[Time until ideal entry point (mins) from open]]</f>
        <v>390</v>
      </c>
      <c r="AS157" s="17">
        <f>Table13[[#This Row],[Time until ideal entry + 390 (6:30)]]+Table13[[#This Row],[Duration of frontside (mins)]]</f>
        <v>390</v>
      </c>
    </row>
    <row r="158" spans="1:45" hidden="1" x14ac:dyDescent="0.25">
      <c r="A158" s="25" t="s">
        <v>84</v>
      </c>
      <c r="B158" s="11">
        <v>43986</v>
      </c>
      <c r="C158" s="47" t="s">
        <v>78</v>
      </c>
      <c r="D158" s="46"/>
      <c r="E158" s="12"/>
      <c r="F158" s="13"/>
      <c r="G158" s="12"/>
      <c r="H158" s="12"/>
      <c r="I158" s="12"/>
      <c r="J158" s="12"/>
      <c r="K158" s="12"/>
      <c r="L158" s="12"/>
      <c r="O158" s="13"/>
      <c r="Q158" s="37"/>
      <c r="R158" s="46"/>
      <c r="S158" s="37"/>
      <c r="T158" s="37"/>
      <c r="U158" s="37"/>
      <c r="V158" s="37"/>
      <c r="W158" s="38"/>
      <c r="X158" s="46"/>
      <c r="Y158" s="37"/>
      <c r="Z158" s="46"/>
      <c r="AA158" s="41">
        <f>Table13[[#This Row],[Time until ideal entry + 390 (6:30)]]/(1440)</f>
        <v>0.27083333333333331</v>
      </c>
      <c r="AB158" s="18"/>
      <c r="AC158" s="18" t="e">
        <f>IF(Table13[[#This Row],[HOD AFTER PM HI]]&gt;=Table13[[#This Row],[PM Hi]],((Table13[[#This Row],[HOD AFTER PM HI]]-Table13[[#This Row],[Prior day close]])/Table13[[#This Row],[Prior day close]]),Table13[[#This Row],[Prior Close to PM Hi %]])</f>
        <v>#DIV/0!</v>
      </c>
      <c r="AD158" s="42" t="e">
        <f>(Table13[[#This Row],[Price at hi of squeeze]]-Table13[[#This Row],[MKT Open Price]])/Table13[[#This Row],[MKT Open Price]]</f>
        <v>#DIV/0!</v>
      </c>
      <c r="AE158" s="18" t="e">
        <f>(Table13[[#This Row],[Price at hi of squeeze]]-Table13[[#This Row],[PM Hi]])/Table13[[#This Row],[PM Hi]]</f>
        <v>#DIV/0!</v>
      </c>
      <c r="AF158" s="18"/>
      <c r="AG158" s="20" t="e">
        <f>Table13[[#This Row],[PM VOL]]/1000000/Table13[[#This Row],[FLOAT(M)]]</f>
        <v>#DIV/0!</v>
      </c>
      <c r="AH158" s="23" t="e">
        <f>(Table13[[#This Row],[Volume]]/1000000)/Table13[[#This Row],[FLOAT(M)]]</f>
        <v>#DIV/0!</v>
      </c>
      <c r="AJ158" s="18" t="e">
        <f>(Table13[[#This Row],[PM Hi]]-Table13[[#This Row],[MKT Open Price]])/(Table13[[#This Row],[PM Hi]])</f>
        <v>#DIV/0!</v>
      </c>
      <c r="AK158" s="18" t="e">
        <f>IF(Table13[[#This Row],[PM LO]]&gt;Table13[[#This Row],[Prior day close]],(Table13[[#This Row],[PM Hi]]-Table13[[#This Row],[MKT Open Price]])/(Table13[[#This Row],[PM Hi]]-Table13[[#This Row],[Prior day close]]),(Table13[[#This Row],[PM Hi]]-Table13[[#This Row],[MKT Open Price]])/(Table13[[#This Row],[PM Hi]]-Table13[[#This Row],[PM LO]]))</f>
        <v>#DIV/0!</v>
      </c>
      <c r="AL158" s="48" t="e">
        <f>IF(Table13[[#This Row],[Prior day close]]&lt;Table13[[#This Row],[PM LO]],(J158-L158)/(J158-Table13[[#This Row],[Prior day close]]),(J158-L158)/(J158-Table13[[#This Row],[PM LO]]))</f>
        <v>#DIV/0!</v>
      </c>
      <c r="AM158" s="48">
        <f>Table13[[#This Row],[Spike % on open before drop]]+AN158</f>
        <v>0</v>
      </c>
      <c r="AN158" s="16"/>
      <c r="AO158" s="16"/>
      <c r="AP158" s="48" t="e">
        <f>IF(Table13[[#This Row],[Prior day close]]&lt;=Table13[[#This Row],[PM LO]],IF($K158&gt;=$G158,($K158-$L158)/($K158-Table13[[#This Row],[Prior day close]]),(IF($I158&lt;=$L158,($G158-$I158)/($G158-Table13[[#This Row],[Prior day close]]),(Table13[[#This Row],[PM Hi]]-Table13[[#This Row],[Lowest lo from open to squeeze]])/(Table13[[#This Row],[PM Hi]]-Table13[[#This Row],[Prior day close]])))),IF($K158&gt;=$G158,($K158-$L158)/($K158-Table13[[#This Row],[PM LO]]),(IF($I158&lt;=$L158,($G158-$I158)/($G158-Table13[[#This Row],[PM LO]]),(Table13[[#This Row],[PM Hi]]-Table13[[#This Row],[Lowest lo from open to squeeze]])/(Table13[[#This Row],[PM Hi]]-Table13[[#This Row],[PM LO]])))))</f>
        <v>#DIV/0!</v>
      </c>
      <c r="AQ158" s="18"/>
      <c r="AR158" s="17">
        <f>390+Table13[[#This Row],[Time until ideal entry point (mins) from open]]</f>
        <v>390</v>
      </c>
      <c r="AS158" s="17">
        <f>Table13[[#This Row],[Time until ideal entry + 390 (6:30)]]+Table13[[#This Row],[Duration of frontside (mins)]]</f>
        <v>390</v>
      </c>
    </row>
    <row r="159" spans="1:45" hidden="1" x14ac:dyDescent="0.25">
      <c r="A159" s="24" t="s">
        <v>238</v>
      </c>
      <c r="B159" s="47">
        <v>43986</v>
      </c>
      <c r="C159" s="47" t="s">
        <v>78</v>
      </c>
      <c r="D159" s="46"/>
      <c r="E159" s="12"/>
      <c r="F159" s="13"/>
      <c r="G159" s="12"/>
      <c r="H159" s="12"/>
      <c r="I159" s="12"/>
      <c r="J159" s="12"/>
      <c r="K159" s="12"/>
      <c r="L159" s="12"/>
      <c r="O159" s="13"/>
      <c r="Q159" s="37"/>
      <c r="R159" s="46"/>
      <c r="S159" s="37"/>
      <c r="T159" s="37"/>
      <c r="U159" s="37"/>
      <c r="V159" s="37"/>
      <c r="W159" s="38"/>
      <c r="X159" s="46"/>
      <c r="Y159" s="37"/>
      <c r="Z159" s="46"/>
      <c r="AA159" s="41">
        <f>Table13[[#This Row],[Time until ideal entry + 390 (6:30)]]/(1440)</f>
        <v>0.27083333333333331</v>
      </c>
      <c r="AB159" s="18"/>
      <c r="AC159" s="18" t="e">
        <f>IF(Table13[[#This Row],[HOD AFTER PM HI]]&gt;=Table13[[#This Row],[PM Hi]],((Table13[[#This Row],[HOD AFTER PM HI]]-Table13[[#This Row],[Prior day close]])/Table13[[#This Row],[Prior day close]]),Table13[[#This Row],[Prior Close to PM Hi %]])</f>
        <v>#DIV/0!</v>
      </c>
      <c r="AD159" s="42" t="e">
        <f>(Table13[[#This Row],[Price at hi of squeeze]]-Table13[[#This Row],[MKT Open Price]])/Table13[[#This Row],[MKT Open Price]]</f>
        <v>#DIV/0!</v>
      </c>
      <c r="AE159" s="18" t="e">
        <f>(Table13[[#This Row],[Price at hi of squeeze]]-Table13[[#This Row],[PM Hi]])/Table13[[#This Row],[PM Hi]]</f>
        <v>#DIV/0!</v>
      </c>
      <c r="AF159" s="18"/>
      <c r="AG159" s="20" t="e">
        <f>Table13[[#This Row],[PM VOL]]/1000000/Table13[[#This Row],[FLOAT(M)]]</f>
        <v>#DIV/0!</v>
      </c>
      <c r="AH159" s="23" t="e">
        <f>(Table13[[#This Row],[Volume]]/1000000)/Table13[[#This Row],[FLOAT(M)]]</f>
        <v>#DIV/0!</v>
      </c>
      <c r="AJ159" s="18" t="e">
        <f>(Table13[[#This Row],[PM Hi]]-Table13[[#This Row],[MKT Open Price]])/(Table13[[#This Row],[PM Hi]])</f>
        <v>#DIV/0!</v>
      </c>
      <c r="AK159" s="18" t="e">
        <f>IF(Table13[[#This Row],[PM LO]]&gt;Table13[[#This Row],[Prior day close]],(Table13[[#This Row],[PM Hi]]-Table13[[#This Row],[MKT Open Price]])/(Table13[[#This Row],[PM Hi]]-Table13[[#This Row],[Prior day close]]),(Table13[[#This Row],[PM Hi]]-Table13[[#This Row],[MKT Open Price]])/(Table13[[#This Row],[PM Hi]]-Table13[[#This Row],[PM LO]]))</f>
        <v>#DIV/0!</v>
      </c>
      <c r="AL159" s="48" t="e">
        <f>IF(Table13[[#This Row],[Prior day close]]&lt;Table13[[#This Row],[PM LO]],(J159-L159)/(J159-Table13[[#This Row],[Prior day close]]),(J159-L159)/(J159-Table13[[#This Row],[PM LO]]))</f>
        <v>#DIV/0!</v>
      </c>
      <c r="AM159" s="48">
        <f>Table13[[#This Row],[Spike % on open before drop]]+AN159</f>
        <v>0</v>
      </c>
      <c r="AN159" s="16"/>
      <c r="AO159" s="16"/>
      <c r="AP159" s="48" t="e">
        <f>IF(Table13[[#This Row],[Prior day close]]&lt;=Table13[[#This Row],[PM LO]],IF($K159&gt;=$G159,($K159-$L159)/($K159-Table13[[#This Row],[Prior day close]]),(IF($I159&lt;=$L159,($G159-$I159)/($G159-Table13[[#This Row],[Prior day close]]),(Table13[[#This Row],[PM Hi]]-Table13[[#This Row],[Lowest lo from open to squeeze]])/(Table13[[#This Row],[PM Hi]]-Table13[[#This Row],[Prior day close]])))),IF($K159&gt;=$G159,($K159-$L159)/($K159-Table13[[#This Row],[PM LO]]),(IF($I159&lt;=$L159,($G159-$I159)/($G159-Table13[[#This Row],[PM LO]]),(Table13[[#This Row],[PM Hi]]-Table13[[#This Row],[Lowest lo from open to squeeze]])/(Table13[[#This Row],[PM Hi]]-Table13[[#This Row],[PM LO]])))))</f>
        <v>#DIV/0!</v>
      </c>
      <c r="AQ159" s="18"/>
      <c r="AR159" s="17">
        <f>390+Table13[[#This Row],[Time until ideal entry point (mins) from open]]</f>
        <v>390</v>
      </c>
      <c r="AS159" s="17">
        <f>Table13[[#This Row],[Time until ideal entry + 390 (6:30)]]+Table13[[#This Row],[Duration of frontside (mins)]]</f>
        <v>390</v>
      </c>
    </row>
    <row r="160" spans="1:45" hidden="1" x14ac:dyDescent="0.25">
      <c r="A160" s="24" t="s">
        <v>239</v>
      </c>
      <c r="B160" s="47">
        <v>43991</v>
      </c>
      <c r="C160" s="47" t="s">
        <v>178</v>
      </c>
      <c r="D160" s="46" t="s">
        <v>355</v>
      </c>
      <c r="E160" s="12"/>
      <c r="F160" s="13"/>
      <c r="G160" s="12"/>
      <c r="H160" s="12"/>
      <c r="I160" s="12"/>
      <c r="J160" s="12"/>
      <c r="K160" s="12"/>
      <c r="L160" s="12"/>
      <c r="O160" s="13"/>
      <c r="Q160" s="37"/>
      <c r="R160" s="46"/>
      <c r="S160" s="37"/>
      <c r="T160" s="37"/>
      <c r="U160" s="37"/>
      <c r="V160" s="37"/>
      <c r="W160" s="38"/>
      <c r="X160" s="46"/>
      <c r="Y160" s="37"/>
      <c r="Z160" s="46"/>
      <c r="AA160" s="41">
        <f>Table13[[#This Row],[Time until ideal entry + 390 (6:30)]]/(1440)</f>
        <v>0.27083333333333331</v>
      </c>
      <c r="AB160" s="18"/>
      <c r="AC160" s="18" t="e">
        <f>IF(Table13[[#This Row],[HOD AFTER PM HI]]&gt;=Table13[[#This Row],[PM Hi]],((Table13[[#This Row],[HOD AFTER PM HI]]-Table13[[#This Row],[Prior day close]])/Table13[[#This Row],[Prior day close]]),Table13[[#This Row],[Prior Close to PM Hi %]])</f>
        <v>#DIV/0!</v>
      </c>
      <c r="AD160" s="42" t="e">
        <f>(Table13[[#This Row],[Price at hi of squeeze]]-Table13[[#This Row],[MKT Open Price]])/Table13[[#This Row],[MKT Open Price]]</f>
        <v>#DIV/0!</v>
      </c>
      <c r="AE160" s="18" t="e">
        <f>(Table13[[#This Row],[Price at hi of squeeze]]-Table13[[#This Row],[PM Hi]])/Table13[[#This Row],[PM Hi]]</f>
        <v>#DIV/0!</v>
      </c>
      <c r="AF160" s="18"/>
      <c r="AG160" s="20" t="e">
        <f>Table13[[#This Row],[PM VOL]]/1000000/Table13[[#This Row],[FLOAT(M)]]</f>
        <v>#DIV/0!</v>
      </c>
      <c r="AH160" s="23" t="e">
        <f>(Table13[[#This Row],[Volume]]/1000000)/Table13[[#This Row],[FLOAT(M)]]</f>
        <v>#DIV/0!</v>
      </c>
      <c r="AJ160" s="18" t="e">
        <f>(Table13[[#This Row],[PM Hi]]-Table13[[#This Row],[MKT Open Price]])/(Table13[[#This Row],[PM Hi]])</f>
        <v>#DIV/0!</v>
      </c>
      <c r="AK160" s="18" t="e">
        <f>IF(Table13[[#This Row],[PM LO]]&gt;Table13[[#This Row],[Prior day close]],(Table13[[#This Row],[PM Hi]]-Table13[[#This Row],[MKT Open Price]])/(Table13[[#This Row],[PM Hi]]-Table13[[#This Row],[Prior day close]]),(Table13[[#This Row],[PM Hi]]-Table13[[#This Row],[MKT Open Price]])/(Table13[[#This Row],[PM Hi]]-Table13[[#This Row],[PM LO]]))</f>
        <v>#DIV/0!</v>
      </c>
      <c r="AL160" s="48" t="e">
        <f>IF(Table13[[#This Row],[Prior day close]]&lt;Table13[[#This Row],[PM LO]],(J160-L160)/(J160-Table13[[#This Row],[Prior day close]]),(J160-L160)/(J160-Table13[[#This Row],[PM LO]]))</f>
        <v>#DIV/0!</v>
      </c>
      <c r="AM160" s="48">
        <f>Table13[[#This Row],[Spike % on open before drop]]+AN160</f>
        <v>0</v>
      </c>
      <c r="AN160" s="16"/>
      <c r="AO160" s="16"/>
      <c r="AP160" s="48" t="e">
        <f>IF(Table13[[#This Row],[Prior day close]]&lt;=Table13[[#This Row],[PM LO]],IF($K160&gt;=$G160,($K160-$L160)/($K160-Table13[[#This Row],[Prior day close]]),(IF($I160&lt;=$L160,($G160-$I160)/($G160-Table13[[#This Row],[Prior day close]]),(Table13[[#This Row],[PM Hi]]-Table13[[#This Row],[Lowest lo from open to squeeze]])/(Table13[[#This Row],[PM Hi]]-Table13[[#This Row],[Prior day close]])))),IF($K160&gt;=$G160,($K160-$L160)/($K160-Table13[[#This Row],[PM LO]]),(IF($I160&lt;=$L160,($G160-$I160)/($G160-Table13[[#This Row],[PM LO]]),(Table13[[#This Row],[PM Hi]]-Table13[[#This Row],[Lowest lo from open to squeeze]])/(Table13[[#This Row],[PM Hi]]-Table13[[#This Row],[PM LO]])))))</f>
        <v>#DIV/0!</v>
      </c>
      <c r="AQ160" s="18"/>
      <c r="AR160" s="17">
        <f>390+Table13[[#This Row],[Time until ideal entry point (mins) from open]]</f>
        <v>390</v>
      </c>
      <c r="AS160" s="17">
        <f>Table13[[#This Row],[Time until ideal entry + 390 (6:30)]]+Table13[[#This Row],[Duration of frontside (mins)]]</f>
        <v>390</v>
      </c>
    </row>
    <row r="161" spans="1:45" hidden="1" x14ac:dyDescent="0.25">
      <c r="A161" s="24" t="s">
        <v>240</v>
      </c>
      <c r="B161" s="47">
        <v>43992</v>
      </c>
      <c r="C161" s="47" t="s">
        <v>178</v>
      </c>
      <c r="D161" s="46" t="s">
        <v>356</v>
      </c>
      <c r="E161" s="12"/>
      <c r="F161" s="13"/>
      <c r="G161" s="12"/>
      <c r="H161" s="12"/>
      <c r="I161" s="12"/>
      <c r="J161" s="12"/>
      <c r="K161" s="12"/>
      <c r="L161" s="12"/>
      <c r="O161" s="13"/>
      <c r="Q161" s="37"/>
      <c r="R161" s="46"/>
      <c r="S161" s="37"/>
      <c r="T161" s="37"/>
      <c r="U161" s="37"/>
      <c r="V161" s="37"/>
      <c r="W161" s="38"/>
      <c r="X161" s="46"/>
      <c r="Y161" s="37"/>
      <c r="Z161" s="46"/>
      <c r="AA161" s="41">
        <f>Table13[[#This Row],[Time until ideal entry + 390 (6:30)]]/(1440)</f>
        <v>0.27083333333333331</v>
      </c>
      <c r="AB161" s="18"/>
      <c r="AC161" s="18" t="e">
        <f>IF(Table13[[#This Row],[HOD AFTER PM HI]]&gt;=Table13[[#This Row],[PM Hi]],((Table13[[#This Row],[HOD AFTER PM HI]]-Table13[[#This Row],[Prior day close]])/Table13[[#This Row],[Prior day close]]),Table13[[#This Row],[Prior Close to PM Hi %]])</f>
        <v>#DIV/0!</v>
      </c>
      <c r="AD161" s="42" t="e">
        <f>(Table13[[#This Row],[Price at hi of squeeze]]-Table13[[#This Row],[MKT Open Price]])/Table13[[#This Row],[MKT Open Price]]</f>
        <v>#DIV/0!</v>
      </c>
      <c r="AE161" s="18" t="e">
        <f>(Table13[[#This Row],[Price at hi of squeeze]]-Table13[[#This Row],[PM Hi]])/Table13[[#This Row],[PM Hi]]</f>
        <v>#DIV/0!</v>
      </c>
      <c r="AF161" s="18"/>
      <c r="AG161" s="20" t="e">
        <f>Table13[[#This Row],[PM VOL]]/1000000/Table13[[#This Row],[FLOAT(M)]]</f>
        <v>#DIV/0!</v>
      </c>
      <c r="AH161" s="23" t="e">
        <f>(Table13[[#This Row],[Volume]]/1000000)/Table13[[#This Row],[FLOAT(M)]]</f>
        <v>#DIV/0!</v>
      </c>
      <c r="AJ161" s="18" t="e">
        <f>(Table13[[#This Row],[PM Hi]]-Table13[[#This Row],[MKT Open Price]])/(Table13[[#This Row],[PM Hi]])</f>
        <v>#DIV/0!</v>
      </c>
      <c r="AK161" s="18" t="e">
        <f>IF(Table13[[#This Row],[PM LO]]&gt;Table13[[#This Row],[Prior day close]],(Table13[[#This Row],[PM Hi]]-Table13[[#This Row],[MKT Open Price]])/(Table13[[#This Row],[PM Hi]]-Table13[[#This Row],[Prior day close]]),(Table13[[#This Row],[PM Hi]]-Table13[[#This Row],[MKT Open Price]])/(Table13[[#This Row],[PM Hi]]-Table13[[#This Row],[PM LO]]))</f>
        <v>#DIV/0!</v>
      </c>
      <c r="AL161" s="48" t="e">
        <f>IF(Table13[[#This Row],[Prior day close]]&lt;Table13[[#This Row],[PM LO]],(J161-L161)/(J161-Table13[[#This Row],[Prior day close]]),(J161-L161)/(J161-Table13[[#This Row],[PM LO]]))</f>
        <v>#DIV/0!</v>
      </c>
      <c r="AM161" s="48">
        <f>Table13[[#This Row],[Spike % on open before drop]]+AN161</f>
        <v>0</v>
      </c>
      <c r="AN161" s="16"/>
      <c r="AO161" s="16"/>
      <c r="AP161" s="48" t="e">
        <f>IF(Table13[[#This Row],[Prior day close]]&lt;=Table13[[#This Row],[PM LO]],IF($K161&gt;=$G161,($K161-$L161)/($K161-Table13[[#This Row],[Prior day close]]),(IF($I161&lt;=$L161,($G161-$I161)/($G161-Table13[[#This Row],[Prior day close]]),(Table13[[#This Row],[PM Hi]]-Table13[[#This Row],[Lowest lo from open to squeeze]])/(Table13[[#This Row],[PM Hi]]-Table13[[#This Row],[Prior day close]])))),IF($K161&gt;=$G161,($K161-$L161)/($K161-Table13[[#This Row],[PM LO]]),(IF($I161&lt;=$L161,($G161-$I161)/($G161-Table13[[#This Row],[PM LO]]),(Table13[[#This Row],[PM Hi]]-Table13[[#This Row],[Lowest lo from open to squeeze]])/(Table13[[#This Row],[PM Hi]]-Table13[[#This Row],[PM LO]])))))</f>
        <v>#DIV/0!</v>
      </c>
      <c r="AQ161" s="18"/>
      <c r="AR161" s="17">
        <f>390+Table13[[#This Row],[Time until ideal entry point (mins) from open]]</f>
        <v>390</v>
      </c>
      <c r="AS161" s="17">
        <f>Table13[[#This Row],[Time until ideal entry + 390 (6:30)]]+Table13[[#This Row],[Duration of frontside (mins)]]</f>
        <v>390</v>
      </c>
    </row>
    <row r="162" spans="1:45" hidden="1" x14ac:dyDescent="0.25">
      <c r="A162" s="24" t="s">
        <v>241</v>
      </c>
      <c r="B162" s="47">
        <v>43998</v>
      </c>
      <c r="C162" s="47" t="s">
        <v>178</v>
      </c>
      <c r="D162" s="46" t="s">
        <v>357</v>
      </c>
      <c r="E162" s="12"/>
      <c r="F162" s="13"/>
      <c r="G162" s="12"/>
      <c r="H162" s="12"/>
      <c r="I162" s="12"/>
      <c r="J162" s="12"/>
      <c r="K162" s="12"/>
      <c r="L162" s="12"/>
      <c r="O162" s="13"/>
      <c r="Q162" s="37"/>
      <c r="R162" s="46"/>
      <c r="S162" s="37"/>
      <c r="T162" s="37"/>
      <c r="U162" s="37"/>
      <c r="V162" s="37"/>
      <c r="W162" s="38"/>
      <c r="X162" s="46"/>
      <c r="Y162" s="37"/>
      <c r="Z162" s="46"/>
      <c r="AA162" s="41">
        <f>Table13[[#This Row],[Time until ideal entry + 390 (6:30)]]/(1440)</f>
        <v>0.27083333333333331</v>
      </c>
      <c r="AB162" s="18"/>
      <c r="AC162" s="18" t="e">
        <f>IF(Table13[[#This Row],[HOD AFTER PM HI]]&gt;=Table13[[#This Row],[PM Hi]],((Table13[[#This Row],[HOD AFTER PM HI]]-Table13[[#This Row],[Prior day close]])/Table13[[#This Row],[Prior day close]]),Table13[[#This Row],[Prior Close to PM Hi %]])</f>
        <v>#DIV/0!</v>
      </c>
      <c r="AD162" s="42" t="e">
        <f>(Table13[[#This Row],[Price at hi of squeeze]]-Table13[[#This Row],[MKT Open Price]])/Table13[[#This Row],[MKT Open Price]]</f>
        <v>#DIV/0!</v>
      </c>
      <c r="AE162" s="18" t="e">
        <f>(Table13[[#This Row],[Price at hi of squeeze]]-Table13[[#This Row],[PM Hi]])/Table13[[#This Row],[PM Hi]]</f>
        <v>#DIV/0!</v>
      </c>
      <c r="AF162" s="18"/>
      <c r="AG162" s="20" t="e">
        <f>Table13[[#This Row],[PM VOL]]/1000000/Table13[[#This Row],[FLOAT(M)]]</f>
        <v>#DIV/0!</v>
      </c>
      <c r="AH162" s="23" t="e">
        <f>(Table13[[#This Row],[Volume]]/1000000)/Table13[[#This Row],[FLOAT(M)]]</f>
        <v>#DIV/0!</v>
      </c>
      <c r="AJ162" s="18" t="e">
        <f>(Table13[[#This Row],[PM Hi]]-Table13[[#This Row],[MKT Open Price]])/(Table13[[#This Row],[PM Hi]])</f>
        <v>#DIV/0!</v>
      </c>
      <c r="AK162" s="18" t="e">
        <f>IF(Table13[[#This Row],[PM LO]]&gt;Table13[[#This Row],[Prior day close]],(Table13[[#This Row],[PM Hi]]-Table13[[#This Row],[MKT Open Price]])/(Table13[[#This Row],[PM Hi]]-Table13[[#This Row],[Prior day close]]),(Table13[[#This Row],[PM Hi]]-Table13[[#This Row],[MKT Open Price]])/(Table13[[#This Row],[PM Hi]]-Table13[[#This Row],[PM LO]]))</f>
        <v>#DIV/0!</v>
      </c>
      <c r="AL162" s="48" t="e">
        <f>IF(Table13[[#This Row],[Prior day close]]&lt;Table13[[#This Row],[PM LO]],(J162-L162)/(J162-Table13[[#This Row],[Prior day close]]),(J162-L162)/(J162-Table13[[#This Row],[PM LO]]))</f>
        <v>#DIV/0!</v>
      </c>
      <c r="AM162" s="48">
        <f>Table13[[#This Row],[Spike % on open before drop]]+AN162</f>
        <v>0</v>
      </c>
      <c r="AN162" s="16"/>
      <c r="AO162" s="16"/>
      <c r="AP162" s="48" t="e">
        <f>IF(Table13[[#This Row],[Prior day close]]&lt;=Table13[[#This Row],[PM LO]],IF($K162&gt;=$G162,($K162-$L162)/($K162-Table13[[#This Row],[Prior day close]]),(IF($I162&lt;=$L162,($G162-$I162)/($G162-Table13[[#This Row],[Prior day close]]),(Table13[[#This Row],[PM Hi]]-Table13[[#This Row],[Lowest lo from open to squeeze]])/(Table13[[#This Row],[PM Hi]]-Table13[[#This Row],[Prior day close]])))),IF($K162&gt;=$G162,($K162-$L162)/($K162-Table13[[#This Row],[PM LO]]),(IF($I162&lt;=$L162,($G162-$I162)/($G162-Table13[[#This Row],[PM LO]]),(Table13[[#This Row],[PM Hi]]-Table13[[#This Row],[Lowest lo from open to squeeze]])/(Table13[[#This Row],[PM Hi]]-Table13[[#This Row],[PM LO]])))))</f>
        <v>#DIV/0!</v>
      </c>
      <c r="AQ162" s="18"/>
      <c r="AR162" s="17">
        <f>390+Table13[[#This Row],[Time until ideal entry point (mins) from open]]</f>
        <v>390</v>
      </c>
      <c r="AS162" s="17">
        <f>Table13[[#This Row],[Time until ideal entry + 390 (6:30)]]+Table13[[#This Row],[Duration of frontside (mins)]]</f>
        <v>390</v>
      </c>
    </row>
    <row r="163" spans="1:45" hidden="1" x14ac:dyDescent="0.25">
      <c r="A163" s="24" t="s">
        <v>242</v>
      </c>
      <c r="B163" s="47">
        <v>43999</v>
      </c>
      <c r="C163" s="47" t="s">
        <v>178</v>
      </c>
      <c r="D163" s="46" t="s">
        <v>358</v>
      </c>
      <c r="E163" s="12"/>
      <c r="F163" s="13"/>
      <c r="G163" s="12"/>
      <c r="H163" s="12"/>
      <c r="I163" s="12"/>
      <c r="J163" s="12"/>
      <c r="K163" s="12"/>
      <c r="L163" s="12"/>
      <c r="O163" s="13"/>
      <c r="Q163" s="37"/>
      <c r="R163" s="46"/>
      <c r="S163" s="37"/>
      <c r="T163" s="37"/>
      <c r="U163" s="37"/>
      <c r="V163" s="37"/>
      <c r="W163" s="38"/>
      <c r="X163" s="46"/>
      <c r="Y163" s="37"/>
      <c r="Z163" s="46"/>
      <c r="AA163" s="41">
        <f>Table13[[#This Row],[Time until ideal entry + 390 (6:30)]]/(1440)</f>
        <v>0.27083333333333331</v>
      </c>
      <c r="AB163" s="18"/>
      <c r="AC163" s="18" t="e">
        <f>IF(Table13[[#This Row],[HOD AFTER PM HI]]&gt;=Table13[[#This Row],[PM Hi]],((Table13[[#This Row],[HOD AFTER PM HI]]-Table13[[#This Row],[Prior day close]])/Table13[[#This Row],[Prior day close]]),Table13[[#This Row],[Prior Close to PM Hi %]])</f>
        <v>#DIV/0!</v>
      </c>
      <c r="AD163" s="42" t="e">
        <f>(Table13[[#This Row],[Price at hi of squeeze]]-Table13[[#This Row],[MKT Open Price]])/Table13[[#This Row],[MKT Open Price]]</f>
        <v>#DIV/0!</v>
      </c>
      <c r="AE163" s="18" t="e">
        <f>(Table13[[#This Row],[Price at hi of squeeze]]-Table13[[#This Row],[PM Hi]])/Table13[[#This Row],[PM Hi]]</f>
        <v>#DIV/0!</v>
      </c>
      <c r="AF163" s="18"/>
      <c r="AG163" s="20" t="e">
        <f>Table13[[#This Row],[PM VOL]]/1000000/Table13[[#This Row],[FLOAT(M)]]</f>
        <v>#DIV/0!</v>
      </c>
      <c r="AH163" s="23" t="e">
        <f>(Table13[[#This Row],[Volume]]/1000000)/Table13[[#This Row],[FLOAT(M)]]</f>
        <v>#DIV/0!</v>
      </c>
      <c r="AJ163" s="18" t="e">
        <f>(Table13[[#This Row],[PM Hi]]-Table13[[#This Row],[MKT Open Price]])/(Table13[[#This Row],[PM Hi]])</f>
        <v>#DIV/0!</v>
      </c>
      <c r="AK163" s="18" t="e">
        <f>IF(Table13[[#This Row],[PM LO]]&gt;Table13[[#This Row],[Prior day close]],(Table13[[#This Row],[PM Hi]]-Table13[[#This Row],[MKT Open Price]])/(Table13[[#This Row],[PM Hi]]-Table13[[#This Row],[Prior day close]]),(Table13[[#This Row],[PM Hi]]-Table13[[#This Row],[MKT Open Price]])/(Table13[[#This Row],[PM Hi]]-Table13[[#This Row],[PM LO]]))</f>
        <v>#DIV/0!</v>
      </c>
      <c r="AL163" s="48" t="e">
        <f>IF(Table13[[#This Row],[Prior day close]]&lt;Table13[[#This Row],[PM LO]],(J163-L163)/(J163-Table13[[#This Row],[Prior day close]]),(J163-L163)/(J163-Table13[[#This Row],[PM LO]]))</f>
        <v>#DIV/0!</v>
      </c>
      <c r="AM163" s="48">
        <f>Table13[[#This Row],[Spike % on open before drop]]+AN163</f>
        <v>0</v>
      </c>
      <c r="AN163" s="16"/>
      <c r="AO163" s="16"/>
      <c r="AP163" s="48" t="e">
        <f>IF(Table13[[#This Row],[Prior day close]]&lt;=Table13[[#This Row],[PM LO]],IF($K163&gt;=$G163,($K163-$L163)/($K163-Table13[[#This Row],[Prior day close]]),(IF($I163&lt;=$L163,($G163-$I163)/($G163-Table13[[#This Row],[Prior day close]]),(Table13[[#This Row],[PM Hi]]-Table13[[#This Row],[Lowest lo from open to squeeze]])/(Table13[[#This Row],[PM Hi]]-Table13[[#This Row],[Prior day close]])))),IF($K163&gt;=$G163,($K163-$L163)/($K163-Table13[[#This Row],[PM LO]]),(IF($I163&lt;=$L163,($G163-$I163)/($G163-Table13[[#This Row],[PM LO]]),(Table13[[#This Row],[PM Hi]]-Table13[[#This Row],[Lowest lo from open to squeeze]])/(Table13[[#This Row],[PM Hi]]-Table13[[#This Row],[PM LO]])))))</f>
        <v>#DIV/0!</v>
      </c>
      <c r="AQ163" s="18"/>
      <c r="AR163" s="17">
        <f>390+Table13[[#This Row],[Time until ideal entry point (mins) from open]]</f>
        <v>390</v>
      </c>
      <c r="AS163" s="17">
        <f>Table13[[#This Row],[Time until ideal entry + 390 (6:30)]]+Table13[[#This Row],[Duration of frontside (mins)]]</f>
        <v>390</v>
      </c>
    </row>
    <row r="164" spans="1:45" hidden="1" x14ac:dyDescent="0.25">
      <c r="A164" s="24" t="s">
        <v>243</v>
      </c>
      <c r="B164" s="47">
        <v>43999</v>
      </c>
      <c r="C164" s="47" t="s">
        <v>78</v>
      </c>
      <c r="D164" s="46" t="s">
        <v>359</v>
      </c>
      <c r="E164" s="12"/>
      <c r="F164" s="13"/>
      <c r="G164" s="12"/>
      <c r="H164" s="12"/>
      <c r="I164" s="12"/>
      <c r="J164" s="12"/>
      <c r="K164" s="12"/>
      <c r="L164" s="12"/>
      <c r="O164" s="13"/>
      <c r="Q164" s="37"/>
      <c r="R164" s="46"/>
      <c r="S164" s="37"/>
      <c r="T164" s="37"/>
      <c r="U164" s="37"/>
      <c r="V164" s="37"/>
      <c r="W164" s="38"/>
      <c r="X164" s="46"/>
      <c r="Y164" s="37"/>
      <c r="Z164" s="46"/>
      <c r="AA164" s="41">
        <f>Table13[[#This Row],[Time until ideal entry + 390 (6:30)]]/(1440)</f>
        <v>0.27083333333333331</v>
      </c>
      <c r="AB164" s="18"/>
      <c r="AC164" s="18" t="e">
        <f>IF(Table13[[#This Row],[HOD AFTER PM HI]]&gt;=Table13[[#This Row],[PM Hi]],((Table13[[#This Row],[HOD AFTER PM HI]]-Table13[[#This Row],[Prior day close]])/Table13[[#This Row],[Prior day close]]),Table13[[#This Row],[Prior Close to PM Hi %]])</f>
        <v>#DIV/0!</v>
      </c>
      <c r="AD164" s="42" t="e">
        <f>(Table13[[#This Row],[Price at hi of squeeze]]-Table13[[#This Row],[MKT Open Price]])/Table13[[#This Row],[MKT Open Price]]</f>
        <v>#DIV/0!</v>
      </c>
      <c r="AE164" s="18" t="e">
        <f>(Table13[[#This Row],[Price at hi of squeeze]]-Table13[[#This Row],[PM Hi]])/Table13[[#This Row],[PM Hi]]</f>
        <v>#DIV/0!</v>
      </c>
      <c r="AF164" s="18"/>
      <c r="AG164" s="20" t="e">
        <f>Table13[[#This Row],[PM VOL]]/1000000/Table13[[#This Row],[FLOAT(M)]]</f>
        <v>#DIV/0!</v>
      </c>
      <c r="AH164" s="23" t="e">
        <f>(Table13[[#This Row],[Volume]]/1000000)/Table13[[#This Row],[FLOAT(M)]]</f>
        <v>#DIV/0!</v>
      </c>
      <c r="AJ164" s="18" t="e">
        <f>(Table13[[#This Row],[PM Hi]]-Table13[[#This Row],[MKT Open Price]])/(Table13[[#This Row],[PM Hi]])</f>
        <v>#DIV/0!</v>
      </c>
      <c r="AK164" s="18" t="e">
        <f>IF(Table13[[#This Row],[PM LO]]&gt;Table13[[#This Row],[Prior day close]],(Table13[[#This Row],[PM Hi]]-Table13[[#This Row],[MKT Open Price]])/(Table13[[#This Row],[PM Hi]]-Table13[[#This Row],[Prior day close]]),(Table13[[#This Row],[PM Hi]]-Table13[[#This Row],[MKT Open Price]])/(Table13[[#This Row],[PM Hi]]-Table13[[#This Row],[PM LO]]))</f>
        <v>#DIV/0!</v>
      </c>
      <c r="AL164" s="48" t="e">
        <f>IF(Table13[[#This Row],[Prior day close]]&lt;Table13[[#This Row],[PM LO]],(J164-L164)/(J164-Table13[[#This Row],[Prior day close]]),(J164-L164)/(J164-Table13[[#This Row],[PM LO]]))</f>
        <v>#DIV/0!</v>
      </c>
      <c r="AM164" s="48">
        <f>Table13[[#This Row],[Spike % on open before drop]]+AN164</f>
        <v>0</v>
      </c>
      <c r="AN164" s="16"/>
      <c r="AO164" s="16"/>
      <c r="AP164" s="48" t="e">
        <f>IF(Table13[[#This Row],[Prior day close]]&lt;=Table13[[#This Row],[PM LO]],IF($K164&gt;=$G164,($K164-$L164)/($K164-Table13[[#This Row],[Prior day close]]),(IF($I164&lt;=$L164,($G164-$I164)/($G164-Table13[[#This Row],[Prior day close]]),(Table13[[#This Row],[PM Hi]]-Table13[[#This Row],[Lowest lo from open to squeeze]])/(Table13[[#This Row],[PM Hi]]-Table13[[#This Row],[Prior day close]])))),IF($K164&gt;=$G164,($K164-$L164)/($K164-Table13[[#This Row],[PM LO]]),(IF($I164&lt;=$L164,($G164-$I164)/($G164-Table13[[#This Row],[PM LO]]),(Table13[[#This Row],[PM Hi]]-Table13[[#This Row],[Lowest lo from open to squeeze]])/(Table13[[#This Row],[PM Hi]]-Table13[[#This Row],[PM LO]])))))</f>
        <v>#DIV/0!</v>
      </c>
      <c r="AQ164" s="18"/>
      <c r="AR164" s="17">
        <f>390+Table13[[#This Row],[Time until ideal entry point (mins) from open]]</f>
        <v>390</v>
      </c>
      <c r="AS164" s="17">
        <f>Table13[[#This Row],[Time until ideal entry + 390 (6:30)]]+Table13[[#This Row],[Duration of frontside (mins)]]</f>
        <v>390</v>
      </c>
    </row>
    <row r="165" spans="1:45" hidden="1" x14ac:dyDescent="0.25">
      <c r="A165" s="24" t="s">
        <v>244</v>
      </c>
      <c r="B165" s="47">
        <v>43999</v>
      </c>
      <c r="C165" s="47" t="s">
        <v>78</v>
      </c>
      <c r="D165" s="46"/>
      <c r="E165" s="12"/>
      <c r="F165" s="13"/>
      <c r="G165" s="12"/>
      <c r="H165" s="12"/>
      <c r="I165" s="12"/>
      <c r="J165" s="12"/>
      <c r="K165" s="12"/>
      <c r="L165" s="12"/>
      <c r="O165" s="13"/>
      <c r="Q165" s="37"/>
      <c r="R165" s="46"/>
      <c r="S165" s="37"/>
      <c r="T165" s="37"/>
      <c r="U165" s="37"/>
      <c r="V165" s="37"/>
      <c r="W165" s="38"/>
      <c r="X165" s="46"/>
      <c r="Y165" s="37"/>
      <c r="Z165" s="46"/>
      <c r="AA165" s="41">
        <f>Table13[[#This Row],[Time until ideal entry + 390 (6:30)]]/(1440)</f>
        <v>0.27083333333333331</v>
      </c>
      <c r="AB165" s="18"/>
      <c r="AC165" s="18" t="e">
        <f>IF(Table13[[#This Row],[HOD AFTER PM HI]]&gt;=Table13[[#This Row],[PM Hi]],((Table13[[#This Row],[HOD AFTER PM HI]]-Table13[[#This Row],[Prior day close]])/Table13[[#This Row],[Prior day close]]),Table13[[#This Row],[Prior Close to PM Hi %]])</f>
        <v>#DIV/0!</v>
      </c>
      <c r="AD165" s="42" t="e">
        <f>(Table13[[#This Row],[Price at hi of squeeze]]-Table13[[#This Row],[MKT Open Price]])/Table13[[#This Row],[MKT Open Price]]</f>
        <v>#DIV/0!</v>
      </c>
      <c r="AE165" s="18" t="e">
        <f>(Table13[[#This Row],[Price at hi of squeeze]]-Table13[[#This Row],[PM Hi]])/Table13[[#This Row],[PM Hi]]</f>
        <v>#DIV/0!</v>
      </c>
      <c r="AF165" s="18"/>
      <c r="AG165" s="20" t="e">
        <f>Table13[[#This Row],[PM VOL]]/1000000/Table13[[#This Row],[FLOAT(M)]]</f>
        <v>#DIV/0!</v>
      </c>
      <c r="AH165" s="23" t="e">
        <f>(Table13[[#This Row],[Volume]]/1000000)/Table13[[#This Row],[FLOAT(M)]]</f>
        <v>#DIV/0!</v>
      </c>
      <c r="AJ165" s="18" t="e">
        <f>(Table13[[#This Row],[PM Hi]]-Table13[[#This Row],[MKT Open Price]])/(Table13[[#This Row],[PM Hi]])</f>
        <v>#DIV/0!</v>
      </c>
      <c r="AK165" s="18" t="e">
        <f>IF(Table13[[#This Row],[PM LO]]&gt;Table13[[#This Row],[Prior day close]],(Table13[[#This Row],[PM Hi]]-Table13[[#This Row],[MKT Open Price]])/(Table13[[#This Row],[PM Hi]]-Table13[[#This Row],[Prior day close]]),(Table13[[#This Row],[PM Hi]]-Table13[[#This Row],[MKT Open Price]])/(Table13[[#This Row],[PM Hi]]-Table13[[#This Row],[PM LO]]))</f>
        <v>#DIV/0!</v>
      </c>
      <c r="AL165" s="48" t="e">
        <f>IF(Table13[[#This Row],[Prior day close]]&lt;Table13[[#This Row],[PM LO]],(J165-L165)/(J165-Table13[[#This Row],[Prior day close]]),(J165-L165)/(J165-Table13[[#This Row],[PM LO]]))</f>
        <v>#DIV/0!</v>
      </c>
      <c r="AM165" s="48">
        <f>Table13[[#This Row],[Spike % on open before drop]]+AN165</f>
        <v>0</v>
      </c>
      <c r="AN165" s="16"/>
      <c r="AO165" s="16"/>
      <c r="AP165" s="48" t="e">
        <f>IF(Table13[[#This Row],[Prior day close]]&lt;=Table13[[#This Row],[PM LO]],IF($K165&gt;=$G165,($K165-$L165)/($K165-Table13[[#This Row],[Prior day close]]),(IF($I165&lt;=$L165,($G165-$I165)/($G165-Table13[[#This Row],[Prior day close]]),(Table13[[#This Row],[PM Hi]]-Table13[[#This Row],[Lowest lo from open to squeeze]])/(Table13[[#This Row],[PM Hi]]-Table13[[#This Row],[Prior day close]])))),IF($K165&gt;=$G165,($K165-$L165)/($K165-Table13[[#This Row],[PM LO]]),(IF($I165&lt;=$L165,($G165-$I165)/($G165-Table13[[#This Row],[PM LO]]),(Table13[[#This Row],[PM Hi]]-Table13[[#This Row],[Lowest lo from open to squeeze]])/(Table13[[#This Row],[PM Hi]]-Table13[[#This Row],[PM LO]])))))</f>
        <v>#DIV/0!</v>
      </c>
      <c r="AQ165" s="18"/>
      <c r="AR165" s="17">
        <f>390+Table13[[#This Row],[Time until ideal entry point (mins) from open]]</f>
        <v>390</v>
      </c>
      <c r="AS165" s="17">
        <f>Table13[[#This Row],[Time until ideal entry + 390 (6:30)]]+Table13[[#This Row],[Duration of frontside (mins)]]</f>
        <v>390</v>
      </c>
    </row>
    <row r="166" spans="1:45" hidden="1" x14ac:dyDescent="0.25">
      <c r="A166" s="24" t="s">
        <v>245</v>
      </c>
      <c r="B166" s="47">
        <v>43999</v>
      </c>
      <c r="C166" s="47" t="s">
        <v>178</v>
      </c>
      <c r="D166" s="46"/>
      <c r="E166" s="12"/>
      <c r="F166" s="13"/>
      <c r="G166" s="12"/>
      <c r="H166" s="12"/>
      <c r="I166" s="12"/>
      <c r="J166" s="12"/>
      <c r="K166" s="12"/>
      <c r="L166" s="12"/>
      <c r="O166" s="13"/>
      <c r="Q166" s="37"/>
      <c r="R166" s="46"/>
      <c r="S166" s="37"/>
      <c r="T166" s="37"/>
      <c r="U166" s="37"/>
      <c r="V166" s="37"/>
      <c r="W166" s="38"/>
      <c r="X166" s="46"/>
      <c r="Y166" s="37"/>
      <c r="Z166" s="46"/>
      <c r="AA166" s="41">
        <f>Table13[[#This Row],[Time until ideal entry + 390 (6:30)]]/(1440)</f>
        <v>0.27083333333333331</v>
      </c>
      <c r="AB166" s="18"/>
      <c r="AC166" s="18" t="e">
        <f>IF(Table13[[#This Row],[HOD AFTER PM HI]]&gt;=Table13[[#This Row],[PM Hi]],((Table13[[#This Row],[HOD AFTER PM HI]]-Table13[[#This Row],[Prior day close]])/Table13[[#This Row],[Prior day close]]),Table13[[#This Row],[Prior Close to PM Hi %]])</f>
        <v>#DIV/0!</v>
      </c>
      <c r="AD166" s="42" t="e">
        <f>(Table13[[#This Row],[Price at hi of squeeze]]-Table13[[#This Row],[MKT Open Price]])/Table13[[#This Row],[MKT Open Price]]</f>
        <v>#DIV/0!</v>
      </c>
      <c r="AE166" s="18" t="e">
        <f>(Table13[[#This Row],[Price at hi of squeeze]]-Table13[[#This Row],[PM Hi]])/Table13[[#This Row],[PM Hi]]</f>
        <v>#DIV/0!</v>
      </c>
      <c r="AF166" s="18"/>
      <c r="AG166" s="20" t="e">
        <f>Table13[[#This Row],[PM VOL]]/1000000/Table13[[#This Row],[FLOAT(M)]]</f>
        <v>#DIV/0!</v>
      </c>
      <c r="AH166" s="23" t="e">
        <f>(Table13[[#This Row],[Volume]]/1000000)/Table13[[#This Row],[FLOAT(M)]]</f>
        <v>#DIV/0!</v>
      </c>
      <c r="AJ166" s="18" t="e">
        <f>(Table13[[#This Row],[PM Hi]]-Table13[[#This Row],[MKT Open Price]])/(Table13[[#This Row],[PM Hi]])</f>
        <v>#DIV/0!</v>
      </c>
      <c r="AK166" s="18" t="e">
        <f>IF(Table13[[#This Row],[PM LO]]&gt;Table13[[#This Row],[Prior day close]],(Table13[[#This Row],[PM Hi]]-Table13[[#This Row],[MKT Open Price]])/(Table13[[#This Row],[PM Hi]]-Table13[[#This Row],[Prior day close]]),(Table13[[#This Row],[PM Hi]]-Table13[[#This Row],[MKT Open Price]])/(Table13[[#This Row],[PM Hi]]-Table13[[#This Row],[PM LO]]))</f>
        <v>#DIV/0!</v>
      </c>
      <c r="AL166" s="48" t="e">
        <f>IF(Table13[[#This Row],[Prior day close]]&lt;Table13[[#This Row],[PM LO]],(J166-L166)/(J166-Table13[[#This Row],[Prior day close]]),(J166-L166)/(J166-Table13[[#This Row],[PM LO]]))</f>
        <v>#DIV/0!</v>
      </c>
      <c r="AM166" s="48">
        <f>Table13[[#This Row],[Spike % on open before drop]]+AN166</f>
        <v>0</v>
      </c>
      <c r="AN166" s="16"/>
      <c r="AO166" s="16"/>
      <c r="AP166" s="48" t="e">
        <f>IF(Table13[[#This Row],[Prior day close]]&lt;=Table13[[#This Row],[PM LO]],IF($K166&gt;=$G166,($K166-$L166)/($K166-Table13[[#This Row],[Prior day close]]),(IF($I166&lt;=$L166,($G166-$I166)/($G166-Table13[[#This Row],[Prior day close]]),(Table13[[#This Row],[PM Hi]]-Table13[[#This Row],[Lowest lo from open to squeeze]])/(Table13[[#This Row],[PM Hi]]-Table13[[#This Row],[Prior day close]])))),IF($K166&gt;=$G166,($K166-$L166)/($K166-Table13[[#This Row],[PM LO]]),(IF($I166&lt;=$L166,($G166-$I166)/($G166-Table13[[#This Row],[PM LO]]),(Table13[[#This Row],[PM Hi]]-Table13[[#This Row],[Lowest lo from open to squeeze]])/(Table13[[#This Row],[PM Hi]]-Table13[[#This Row],[PM LO]])))))</f>
        <v>#DIV/0!</v>
      </c>
      <c r="AQ166" s="18"/>
      <c r="AR166" s="17">
        <f>390+Table13[[#This Row],[Time until ideal entry point (mins) from open]]</f>
        <v>390</v>
      </c>
      <c r="AS166" s="17">
        <f>Table13[[#This Row],[Time until ideal entry + 390 (6:30)]]+Table13[[#This Row],[Duration of frontside (mins)]]</f>
        <v>390</v>
      </c>
    </row>
    <row r="167" spans="1:45" hidden="1" x14ac:dyDescent="0.25">
      <c r="A167" s="24" t="s">
        <v>246</v>
      </c>
      <c r="B167" s="47">
        <v>44004</v>
      </c>
      <c r="C167" s="47" t="s">
        <v>178</v>
      </c>
      <c r="D167" s="46" t="s">
        <v>360</v>
      </c>
      <c r="E167" s="12"/>
      <c r="F167" s="13"/>
      <c r="G167" s="12"/>
      <c r="H167" s="12"/>
      <c r="I167" s="12"/>
      <c r="J167" s="12"/>
      <c r="K167" s="12"/>
      <c r="L167" s="12"/>
      <c r="O167" s="13"/>
      <c r="Q167" s="37"/>
      <c r="R167" s="46"/>
      <c r="S167" s="37"/>
      <c r="T167" s="37"/>
      <c r="U167" s="37"/>
      <c r="V167" s="37"/>
      <c r="W167" s="38"/>
      <c r="X167" s="46"/>
      <c r="Y167" s="37"/>
      <c r="Z167" s="46"/>
      <c r="AA167" s="41">
        <f>Table13[[#This Row],[Time until ideal entry + 390 (6:30)]]/(1440)</f>
        <v>0.27083333333333331</v>
      </c>
      <c r="AB167" s="18"/>
      <c r="AC167" s="18" t="e">
        <f>IF(Table13[[#This Row],[HOD AFTER PM HI]]&gt;=Table13[[#This Row],[PM Hi]],((Table13[[#This Row],[HOD AFTER PM HI]]-Table13[[#This Row],[Prior day close]])/Table13[[#This Row],[Prior day close]]),Table13[[#This Row],[Prior Close to PM Hi %]])</f>
        <v>#DIV/0!</v>
      </c>
      <c r="AD167" s="42" t="e">
        <f>(Table13[[#This Row],[Price at hi of squeeze]]-Table13[[#This Row],[MKT Open Price]])/Table13[[#This Row],[MKT Open Price]]</f>
        <v>#DIV/0!</v>
      </c>
      <c r="AE167" s="18" t="e">
        <f>(Table13[[#This Row],[Price at hi of squeeze]]-Table13[[#This Row],[PM Hi]])/Table13[[#This Row],[PM Hi]]</f>
        <v>#DIV/0!</v>
      </c>
      <c r="AF167" s="18"/>
      <c r="AG167" s="20" t="e">
        <f>Table13[[#This Row],[PM VOL]]/1000000/Table13[[#This Row],[FLOAT(M)]]</f>
        <v>#DIV/0!</v>
      </c>
      <c r="AH167" s="23" t="e">
        <f>(Table13[[#This Row],[Volume]]/1000000)/Table13[[#This Row],[FLOAT(M)]]</f>
        <v>#DIV/0!</v>
      </c>
      <c r="AJ167" s="18" t="e">
        <f>(Table13[[#This Row],[PM Hi]]-Table13[[#This Row],[MKT Open Price]])/(Table13[[#This Row],[PM Hi]])</f>
        <v>#DIV/0!</v>
      </c>
      <c r="AK167" s="18" t="e">
        <f>IF(Table13[[#This Row],[PM LO]]&gt;Table13[[#This Row],[Prior day close]],(Table13[[#This Row],[PM Hi]]-Table13[[#This Row],[MKT Open Price]])/(Table13[[#This Row],[PM Hi]]-Table13[[#This Row],[Prior day close]]),(Table13[[#This Row],[PM Hi]]-Table13[[#This Row],[MKT Open Price]])/(Table13[[#This Row],[PM Hi]]-Table13[[#This Row],[PM LO]]))</f>
        <v>#DIV/0!</v>
      </c>
      <c r="AL167" s="48" t="e">
        <f>IF(Table13[[#This Row],[Prior day close]]&lt;Table13[[#This Row],[PM LO]],(J167-L167)/(J167-Table13[[#This Row],[Prior day close]]),(J167-L167)/(J167-Table13[[#This Row],[PM LO]]))</f>
        <v>#DIV/0!</v>
      </c>
      <c r="AM167" s="48">
        <f>Table13[[#This Row],[Spike % on open before drop]]+AN167</f>
        <v>0</v>
      </c>
      <c r="AN167" s="16"/>
      <c r="AO167" s="16"/>
      <c r="AP167" s="48" t="e">
        <f>IF(Table13[[#This Row],[Prior day close]]&lt;=Table13[[#This Row],[PM LO]],IF($K167&gt;=$G167,($K167-$L167)/($K167-Table13[[#This Row],[Prior day close]]),(IF($I167&lt;=$L167,($G167-$I167)/($G167-Table13[[#This Row],[Prior day close]]),(Table13[[#This Row],[PM Hi]]-Table13[[#This Row],[Lowest lo from open to squeeze]])/(Table13[[#This Row],[PM Hi]]-Table13[[#This Row],[Prior day close]])))),IF($K167&gt;=$G167,($K167-$L167)/($K167-Table13[[#This Row],[PM LO]]),(IF($I167&lt;=$L167,($G167-$I167)/($G167-Table13[[#This Row],[PM LO]]),(Table13[[#This Row],[PM Hi]]-Table13[[#This Row],[Lowest lo from open to squeeze]])/(Table13[[#This Row],[PM Hi]]-Table13[[#This Row],[PM LO]])))))</f>
        <v>#DIV/0!</v>
      </c>
      <c r="AQ167" s="18"/>
      <c r="AR167" s="17">
        <f>390+Table13[[#This Row],[Time until ideal entry point (mins) from open]]</f>
        <v>390</v>
      </c>
      <c r="AS167" s="17">
        <f>Table13[[#This Row],[Time until ideal entry + 390 (6:30)]]+Table13[[#This Row],[Duration of frontside (mins)]]</f>
        <v>390</v>
      </c>
    </row>
    <row r="168" spans="1:45" hidden="1" x14ac:dyDescent="0.25">
      <c r="A168" s="24" t="s">
        <v>97</v>
      </c>
      <c r="B168" s="47">
        <v>44004</v>
      </c>
      <c r="C168" s="47" t="s">
        <v>78</v>
      </c>
      <c r="D168" s="46" t="s">
        <v>361</v>
      </c>
      <c r="E168" s="12"/>
      <c r="F168" s="13"/>
      <c r="G168" s="12"/>
      <c r="H168" s="12"/>
      <c r="I168" s="12"/>
      <c r="J168" s="12"/>
      <c r="K168" s="12"/>
      <c r="L168" s="12"/>
      <c r="O168" s="13"/>
      <c r="Q168" s="37"/>
      <c r="R168" s="46"/>
      <c r="S168" s="37"/>
      <c r="T168" s="37"/>
      <c r="U168" s="37"/>
      <c r="V168" s="37"/>
      <c r="W168" s="38"/>
      <c r="X168" s="46"/>
      <c r="Y168" s="37"/>
      <c r="Z168" s="46"/>
      <c r="AA168" s="41">
        <f>Table13[[#This Row],[Time until ideal entry + 390 (6:30)]]/(1440)</f>
        <v>0.27083333333333331</v>
      </c>
      <c r="AB168" s="18"/>
      <c r="AC168" s="18" t="e">
        <f>IF(Table13[[#This Row],[HOD AFTER PM HI]]&gt;=Table13[[#This Row],[PM Hi]],((Table13[[#This Row],[HOD AFTER PM HI]]-Table13[[#This Row],[Prior day close]])/Table13[[#This Row],[Prior day close]]),Table13[[#This Row],[Prior Close to PM Hi %]])</f>
        <v>#DIV/0!</v>
      </c>
      <c r="AD168" s="42" t="e">
        <f>(Table13[[#This Row],[Price at hi of squeeze]]-Table13[[#This Row],[MKT Open Price]])/Table13[[#This Row],[MKT Open Price]]</f>
        <v>#DIV/0!</v>
      </c>
      <c r="AE168" s="18" t="e">
        <f>(Table13[[#This Row],[Price at hi of squeeze]]-Table13[[#This Row],[PM Hi]])/Table13[[#This Row],[PM Hi]]</f>
        <v>#DIV/0!</v>
      </c>
      <c r="AF168" s="18"/>
      <c r="AG168" s="20" t="e">
        <f>Table13[[#This Row],[PM VOL]]/1000000/Table13[[#This Row],[FLOAT(M)]]</f>
        <v>#DIV/0!</v>
      </c>
      <c r="AH168" s="23" t="e">
        <f>(Table13[[#This Row],[Volume]]/1000000)/Table13[[#This Row],[FLOAT(M)]]</f>
        <v>#DIV/0!</v>
      </c>
      <c r="AJ168" s="18" t="e">
        <f>(Table13[[#This Row],[PM Hi]]-Table13[[#This Row],[MKT Open Price]])/(Table13[[#This Row],[PM Hi]])</f>
        <v>#DIV/0!</v>
      </c>
      <c r="AK168" s="18" t="e">
        <f>IF(Table13[[#This Row],[PM LO]]&gt;Table13[[#This Row],[Prior day close]],(Table13[[#This Row],[PM Hi]]-Table13[[#This Row],[MKT Open Price]])/(Table13[[#This Row],[PM Hi]]-Table13[[#This Row],[Prior day close]]),(Table13[[#This Row],[PM Hi]]-Table13[[#This Row],[MKT Open Price]])/(Table13[[#This Row],[PM Hi]]-Table13[[#This Row],[PM LO]]))</f>
        <v>#DIV/0!</v>
      </c>
      <c r="AL168" s="48" t="e">
        <f>IF(Table13[[#This Row],[Prior day close]]&lt;Table13[[#This Row],[PM LO]],(J168-L168)/(J168-Table13[[#This Row],[Prior day close]]),(J168-L168)/(J168-Table13[[#This Row],[PM LO]]))</f>
        <v>#DIV/0!</v>
      </c>
      <c r="AM168" s="48">
        <f>Table13[[#This Row],[Spike % on open before drop]]+AN168</f>
        <v>0</v>
      </c>
      <c r="AN168" s="16"/>
      <c r="AO168" s="16"/>
      <c r="AP168" s="48" t="e">
        <f>IF(Table13[[#This Row],[Prior day close]]&lt;=Table13[[#This Row],[PM LO]],IF($K168&gt;=$G168,($K168-$L168)/($K168-Table13[[#This Row],[Prior day close]]),(IF($I168&lt;=$L168,($G168-$I168)/($G168-Table13[[#This Row],[Prior day close]]),(Table13[[#This Row],[PM Hi]]-Table13[[#This Row],[Lowest lo from open to squeeze]])/(Table13[[#This Row],[PM Hi]]-Table13[[#This Row],[Prior day close]])))),IF($K168&gt;=$G168,($K168-$L168)/($K168-Table13[[#This Row],[PM LO]]),(IF($I168&lt;=$L168,($G168-$I168)/($G168-Table13[[#This Row],[PM LO]]),(Table13[[#This Row],[PM Hi]]-Table13[[#This Row],[Lowest lo from open to squeeze]])/(Table13[[#This Row],[PM Hi]]-Table13[[#This Row],[PM LO]])))))</f>
        <v>#DIV/0!</v>
      </c>
      <c r="AQ168" s="18"/>
      <c r="AR168" s="17">
        <f>390+Table13[[#This Row],[Time until ideal entry point (mins) from open]]</f>
        <v>390</v>
      </c>
      <c r="AS168" s="17">
        <f>Table13[[#This Row],[Time until ideal entry + 390 (6:30)]]+Table13[[#This Row],[Duration of frontside (mins)]]</f>
        <v>390</v>
      </c>
    </row>
    <row r="169" spans="1:45" hidden="1" x14ac:dyDescent="0.25">
      <c r="A169" s="24" t="s">
        <v>247</v>
      </c>
      <c r="B169" s="47">
        <v>44006</v>
      </c>
      <c r="C169" s="47" t="s">
        <v>178</v>
      </c>
      <c r="D169" s="46" t="s">
        <v>362</v>
      </c>
      <c r="E169" s="12"/>
      <c r="F169" s="13"/>
      <c r="G169" s="12"/>
      <c r="H169" s="12"/>
      <c r="I169" s="12"/>
      <c r="J169" s="12"/>
      <c r="K169" s="12"/>
      <c r="L169" s="12"/>
      <c r="O169" s="13"/>
      <c r="Q169" s="37"/>
      <c r="R169" s="46"/>
      <c r="S169" s="37"/>
      <c r="T169" s="37"/>
      <c r="U169" s="37"/>
      <c r="V169" s="37"/>
      <c r="W169" s="38"/>
      <c r="X169" s="46"/>
      <c r="Y169" s="37"/>
      <c r="Z169" s="46"/>
      <c r="AA169" s="41">
        <f>Table13[[#This Row],[Time until ideal entry + 390 (6:30)]]/(1440)</f>
        <v>0.27083333333333331</v>
      </c>
      <c r="AB169" s="18"/>
      <c r="AC169" s="18" t="e">
        <f>IF(Table13[[#This Row],[HOD AFTER PM HI]]&gt;=Table13[[#This Row],[PM Hi]],((Table13[[#This Row],[HOD AFTER PM HI]]-Table13[[#This Row],[Prior day close]])/Table13[[#This Row],[Prior day close]]),Table13[[#This Row],[Prior Close to PM Hi %]])</f>
        <v>#DIV/0!</v>
      </c>
      <c r="AD169" s="42" t="e">
        <f>(Table13[[#This Row],[Price at hi of squeeze]]-Table13[[#This Row],[MKT Open Price]])/Table13[[#This Row],[MKT Open Price]]</f>
        <v>#DIV/0!</v>
      </c>
      <c r="AE169" s="18" t="e">
        <f>(Table13[[#This Row],[Price at hi of squeeze]]-Table13[[#This Row],[PM Hi]])/Table13[[#This Row],[PM Hi]]</f>
        <v>#DIV/0!</v>
      </c>
      <c r="AF169" s="18"/>
      <c r="AG169" s="20" t="e">
        <f>Table13[[#This Row],[PM VOL]]/1000000/Table13[[#This Row],[FLOAT(M)]]</f>
        <v>#DIV/0!</v>
      </c>
      <c r="AH169" s="23" t="e">
        <f>(Table13[[#This Row],[Volume]]/1000000)/Table13[[#This Row],[FLOAT(M)]]</f>
        <v>#DIV/0!</v>
      </c>
      <c r="AJ169" s="18" t="e">
        <f>(Table13[[#This Row],[PM Hi]]-Table13[[#This Row],[MKT Open Price]])/(Table13[[#This Row],[PM Hi]])</f>
        <v>#DIV/0!</v>
      </c>
      <c r="AK169" s="18" t="e">
        <f>IF(Table13[[#This Row],[PM LO]]&gt;Table13[[#This Row],[Prior day close]],(Table13[[#This Row],[PM Hi]]-Table13[[#This Row],[MKT Open Price]])/(Table13[[#This Row],[PM Hi]]-Table13[[#This Row],[Prior day close]]),(Table13[[#This Row],[PM Hi]]-Table13[[#This Row],[MKT Open Price]])/(Table13[[#This Row],[PM Hi]]-Table13[[#This Row],[PM LO]]))</f>
        <v>#DIV/0!</v>
      </c>
      <c r="AL169" s="48" t="e">
        <f>IF(Table13[[#This Row],[Prior day close]]&lt;Table13[[#This Row],[PM LO]],(J169-L169)/(J169-Table13[[#This Row],[Prior day close]]),(J169-L169)/(J169-Table13[[#This Row],[PM LO]]))</f>
        <v>#DIV/0!</v>
      </c>
      <c r="AM169" s="48">
        <f>Table13[[#This Row],[Spike % on open before drop]]+AN169</f>
        <v>0</v>
      </c>
      <c r="AN169" s="16"/>
      <c r="AO169" s="16"/>
      <c r="AP169" s="48" t="e">
        <f>IF(Table13[[#This Row],[Prior day close]]&lt;=Table13[[#This Row],[PM LO]],IF($K169&gt;=$G169,($K169-$L169)/($K169-Table13[[#This Row],[Prior day close]]),(IF($I169&lt;=$L169,($G169-$I169)/($G169-Table13[[#This Row],[Prior day close]]),(Table13[[#This Row],[PM Hi]]-Table13[[#This Row],[Lowest lo from open to squeeze]])/(Table13[[#This Row],[PM Hi]]-Table13[[#This Row],[Prior day close]])))),IF($K169&gt;=$G169,($K169-$L169)/($K169-Table13[[#This Row],[PM LO]]),(IF($I169&lt;=$L169,($G169-$I169)/($G169-Table13[[#This Row],[PM LO]]),(Table13[[#This Row],[PM Hi]]-Table13[[#This Row],[Lowest lo from open to squeeze]])/(Table13[[#This Row],[PM Hi]]-Table13[[#This Row],[PM LO]])))))</f>
        <v>#DIV/0!</v>
      </c>
      <c r="AQ169" s="18"/>
      <c r="AR169" s="17">
        <f>390+Table13[[#This Row],[Time until ideal entry point (mins) from open]]</f>
        <v>390</v>
      </c>
      <c r="AS169" s="17">
        <f>Table13[[#This Row],[Time until ideal entry + 390 (6:30)]]+Table13[[#This Row],[Duration of frontside (mins)]]</f>
        <v>390</v>
      </c>
    </row>
    <row r="170" spans="1:45" hidden="1" x14ac:dyDescent="0.25">
      <c r="A170" s="24" t="s">
        <v>226</v>
      </c>
      <c r="B170" s="47">
        <v>44008</v>
      </c>
      <c r="C170" s="47" t="s">
        <v>78</v>
      </c>
      <c r="D170" s="46" t="s">
        <v>363</v>
      </c>
      <c r="E170" s="12"/>
      <c r="F170" s="13"/>
      <c r="G170" s="12"/>
      <c r="H170" s="12"/>
      <c r="I170" s="12"/>
      <c r="J170" s="12"/>
      <c r="K170" s="12"/>
      <c r="L170" s="12"/>
      <c r="O170" s="13"/>
      <c r="Q170" s="37"/>
      <c r="R170" s="46"/>
      <c r="S170" s="37"/>
      <c r="T170" s="37"/>
      <c r="U170" s="37"/>
      <c r="V170" s="37"/>
      <c r="W170" s="38"/>
      <c r="X170" s="46"/>
      <c r="Y170" s="37"/>
      <c r="Z170" s="46"/>
      <c r="AA170" s="41">
        <f>Table13[[#This Row],[Time until ideal entry + 390 (6:30)]]/(1440)</f>
        <v>0.27083333333333331</v>
      </c>
      <c r="AB170" s="18"/>
      <c r="AC170" s="18" t="e">
        <f>IF(Table13[[#This Row],[HOD AFTER PM HI]]&gt;=Table13[[#This Row],[PM Hi]],((Table13[[#This Row],[HOD AFTER PM HI]]-Table13[[#This Row],[Prior day close]])/Table13[[#This Row],[Prior day close]]),Table13[[#This Row],[Prior Close to PM Hi %]])</f>
        <v>#DIV/0!</v>
      </c>
      <c r="AD170" s="42" t="e">
        <f>(Table13[[#This Row],[Price at hi of squeeze]]-Table13[[#This Row],[MKT Open Price]])/Table13[[#This Row],[MKT Open Price]]</f>
        <v>#DIV/0!</v>
      </c>
      <c r="AE170" s="18" t="e">
        <f>(Table13[[#This Row],[Price at hi of squeeze]]-Table13[[#This Row],[PM Hi]])/Table13[[#This Row],[PM Hi]]</f>
        <v>#DIV/0!</v>
      </c>
      <c r="AF170" s="18"/>
      <c r="AG170" s="20" t="e">
        <f>Table13[[#This Row],[PM VOL]]/1000000/Table13[[#This Row],[FLOAT(M)]]</f>
        <v>#DIV/0!</v>
      </c>
      <c r="AH170" s="23" t="e">
        <f>(Table13[[#This Row],[Volume]]/1000000)/Table13[[#This Row],[FLOAT(M)]]</f>
        <v>#DIV/0!</v>
      </c>
      <c r="AJ170" s="18" t="e">
        <f>(Table13[[#This Row],[PM Hi]]-Table13[[#This Row],[MKT Open Price]])/(Table13[[#This Row],[PM Hi]])</f>
        <v>#DIV/0!</v>
      </c>
      <c r="AK170" s="18" t="e">
        <f>IF(Table13[[#This Row],[PM LO]]&gt;Table13[[#This Row],[Prior day close]],(Table13[[#This Row],[PM Hi]]-Table13[[#This Row],[MKT Open Price]])/(Table13[[#This Row],[PM Hi]]-Table13[[#This Row],[Prior day close]]),(Table13[[#This Row],[PM Hi]]-Table13[[#This Row],[MKT Open Price]])/(Table13[[#This Row],[PM Hi]]-Table13[[#This Row],[PM LO]]))</f>
        <v>#DIV/0!</v>
      </c>
      <c r="AL170" s="48" t="e">
        <f>IF(Table13[[#This Row],[Prior day close]]&lt;Table13[[#This Row],[PM LO]],(J170-L170)/(J170-Table13[[#This Row],[Prior day close]]),(J170-L170)/(J170-Table13[[#This Row],[PM LO]]))</f>
        <v>#DIV/0!</v>
      </c>
      <c r="AM170" s="48">
        <f>Table13[[#This Row],[Spike % on open before drop]]+AN170</f>
        <v>0</v>
      </c>
      <c r="AN170" s="16"/>
      <c r="AO170" s="16"/>
      <c r="AP170" s="48" t="e">
        <f>IF(Table13[[#This Row],[Prior day close]]&lt;=Table13[[#This Row],[PM LO]],IF($K170&gt;=$G170,($K170-$L170)/($K170-Table13[[#This Row],[Prior day close]]),(IF($I170&lt;=$L170,($G170-$I170)/($G170-Table13[[#This Row],[Prior day close]]),(Table13[[#This Row],[PM Hi]]-Table13[[#This Row],[Lowest lo from open to squeeze]])/(Table13[[#This Row],[PM Hi]]-Table13[[#This Row],[Prior day close]])))),IF($K170&gt;=$G170,($K170-$L170)/($K170-Table13[[#This Row],[PM LO]]),(IF($I170&lt;=$L170,($G170-$I170)/($G170-Table13[[#This Row],[PM LO]]),(Table13[[#This Row],[PM Hi]]-Table13[[#This Row],[Lowest lo from open to squeeze]])/(Table13[[#This Row],[PM Hi]]-Table13[[#This Row],[PM LO]])))))</f>
        <v>#DIV/0!</v>
      </c>
      <c r="AQ170" s="18"/>
      <c r="AR170" s="17">
        <f>390+Table13[[#This Row],[Time until ideal entry point (mins) from open]]</f>
        <v>390</v>
      </c>
      <c r="AS170" s="17">
        <f>Table13[[#This Row],[Time until ideal entry + 390 (6:30)]]+Table13[[#This Row],[Duration of frontside (mins)]]</f>
        <v>390</v>
      </c>
    </row>
    <row r="171" spans="1:45" hidden="1" x14ac:dyDescent="0.25">
      <c r="A171" s="24" t="s">
        <v>248</v>
      </c>
      <c r="B171" s="47">
        <v>44014</v>
      </c>
      <c r="C171" s="47" t="s">
        <v>78</v>
      </c>
      <c r="D171" s="46"/>
      <c r="E171" s="12"/>
      <c r="F171" s="13"/>
      <c r="G171" s="12"/>
      <c r="H171" s="12"/>
      <c r="I171" s="12"/>
      <c r="J171" s="12"/>
      <c r="K171" s="12"/>
      <c r="L171" s="12"/>
      <c r="O171" s="13"/>
      <c r="Q171" s="37"/>
      <c r="R171" s="46"/>
      <c r="S171" s="37"/>
      <c r="T171" s="37"/>
      <c r="U171" s="37"/>
      <c r="V171" s="37"/>
      <c r="W171" s="38"/>
      <c r="X171" s="46"/>
      <c r="Y171" s="37"/>
      <c r="Z171" s="46"/>
      <c r="AA171" s="41">
        <f>Table13[[#This Row],[Time until ideal entry + 390 (6:30)]]/(1440)</f>
        <v>0.27083333333333331</v>
      </c>
      <c r="AB171" s="18"/>
      <c r="AC171" s="18" t="e">
        <f>IF(Table13[[#This Row],[HOD AFTER PM HI]]&gt;=Table13[[#This Row],[PM Hi]],((Table13[[#This Row],[HOD AFTER PM HI]]-Table13[[#This Row],[Prior day close]])/Table13[[#This Row],[Prior day close]]),Table13[[#This Row],[Prior Close to PM Hi %]])</f>
        <v>#DIV/0!</v>
      </c>
      <c r="AD171" s="42" t="e">
        <f>(Table13[[#This Row],[Price at hi of squeeze]]-Table13[[#This Row],[MKT Open Price]])/Table13[[#This Row],[MKT Open Price]]</f>
        <v>#DIV/0!</v>
      </c>
      <c r="AE171" s="18" t="e">
        <f>(Table13[[#This Row],[Price at hi of squeeze]]-Table13[[#This Row],[PM Hi]])/Table13[[#This Row],[PM Hi]]</f>
        <v>#DIV/0!</v>
      </c>
      <c r="AF171" s="18"/>
      <c r="AG171" s="20" t="e">
        <f>Table13[[#This Row],[PM VOL]]/1000000/Table13[[#This Row],[FLOAT(M)]]</f>
        <v>#DIV/0!</v>
      </c>
      <c r="AH171" s="23" t="e">
        <f>(Table13[[#This Row],[Volume]]/1000000)/Table13[[#This Row],[FLOAT(M)]]</f>
        <v>#DIV/0!</v>
      </c>
      <c r="AJ171" s="18" t="e">
        <f>(Table13[[#This Row],[PM Hi]]-Table13[[#This Row],[MKT Open Price]])/(Table13[[#This Row],[PM Hi]])</f>
        <v>#DIV/0!</v>
      </c>
      <c r="AK171" s="18" t="e">
        <f>IF(Table13[[#This Row],[PM LO]]&gt;Table13[[#This Row],[Prior day close]],(Table13[[#This Row],[PM Hi]]-Table13[[#This Row],[MKT Open Price]])/(Table13[[#This Row],[PM Hi]]-Table13[[#This Row],[Prior day close]]),(Table13[[#This Row],[PM Hi]]-Table13[[#This Row],[MKT Open Price]])/(Table13[[#This Row],[PM Hi]]-Table13[[#This Row],[PM LO]]))</f>
        <v>#DIV/0!</v>
      </c>
      <c r="AL171" s="48" t="e">
        <f>IF(Table13[[#This Row],[Prior day close]]&lt;Table13[[#This Row],[PM LO]],(J171-L171)/(J171-Table13[[#This Row],[Prior day close]]),(J171-L171)/(J171-Table13[[#This Row],[PM LO]]))</f>
        <v>#DIV/0!</v>
      </c>
      <c r="AM171" s="48">
        <f>Table13[[#This Row],[Spike % on open before drop]]+AN171</f>
        <v>0</v>
      </c>
      <c r="AN171" s="16"/>
      <c r="AO171" s="16"/>
      <c r="AP171" s="48" t="e">
        <f>IF(Table13[[#This Row],[Prior day close]]&lt;=Table13[[#This Row],[PM LO]],IF($K171&gt;=$G171,($K171-$L171)/($K171-Table13[[#This Row],[Prior day close]]),(IF($I171&lt;=$L171,($G171-$I171)/($G171-Table13[[#This Row],[Prior day close]]),(Table13[[#This Row],[PM Hi]]-Table13[[#This Row],[Lowest lo from open to squeeze]])/(Table13[[#This Row],[PM Hi]]-Table13[[#This Row],[Prior day close]])))),IF($K171&gt;=$G171,($K171-$L171)/($K171-Table13[[#This Row],[PM LO]]),(IF($I171&lt;=$L171,($G171-$I171)/($G171-Table13[[#This Row],[PM LO]]),(Table13[[#This Row],[PM Hi]]-Table13[[#This Row],[Lowest lo from open to squeeze]])/(Table13[[#This Row],[PM Hi]]-Table13[[#This Row],[PM LO]])))))</f>
        <v>#DIV/0!</v>
      </c>
      <c r="AQ171" s="18"/>
      <c r="AR171" s="17">
        <f>390+Table13[[#This Row],[Time until ideal entry point (mins) from open]]</f>
        <v>390</v>
      </c>
      <c r="AS171" s="17">
        <f>Table13[[#This Row],[Time until ideal entry + 390 (6:30)]]+Table13[[#This Row],[Duration of frontside (mins)]]</f>
        <v>390</v>
      </c>
    </row>
    <row r="172" spans="1:45" hidden="1" x14ac:dyDescent="0.25">
      <c r="A172" s="24" t="s">
        <v>106</v>
      </c>
      <c r="B172" s="47">
        <v>44018</v>
      </c>
      <c r="C172" s="47" t="s">
        <v>78</v>
      </c>
      <c r="D172" s="46"/>
      <c r="E172" s="12"/>
      <c r="F172" s="13"/>
      <c r="G172" s="12"/>
      <c r="H172" s="12"/>
      <c r="I172" s="12"/>
      <c r="J172" s="12"/>
      <c r="K172" s="12"/>
      <c r="L172" s="12"/>
      <c r="O172" s="13"/>
      <c r="Q172" s="37"/>
      <c r="R172" s="46"/>
      <c r="S172" s="37"/>
      <c r="T172" s="37"/>
      <c r="U172" s="37"/>
      <c r="V172" s="37"/>
      <c r="W172" s="38"/>
      <c r="X172" s="46"/>
      <c r="Y172" s="37"/>
      <c r="Z172" s="46"/>
      <c r="AA172" s="41">
        <f>Table13[[#This Row],[Time until ideal entry + 390 (6:30)]]/(1440)</f>
        <v>0.27083333333333331</v>
      </c>
      <c r="AB172" s="18"/>
      <c r="AC172" s="18" t="e">
        <f>IF(Table13[[#This Row],[HOD AFTER PM HI]]&gt;=Table13[[#This Row],[PM Hi]],((Table13[[#This Row],[HOD AFTER PM HI]]-Table13[[#This Row],[Prior day close]])/Table13[[#This Row],[Prior day close]]),Table13[[#This Row],[Prior Close to PM Hi %]])</f>
        <v>#DIV/0!</v>
      </c>
      <c r="AD172" s="42" t="e">
        <f>(Table13[[#This Row],[Price at hi of squeeze]]-Table13[[#This Row],[MKT Open Price]])/Table13[[#This Row],[MKT Open Price]]</f>
        <v>#DIV/0!</v>
      </c>
      <c r="AE172" s="18" t="e">
        <f>(Table13[[#This Row],[Price at hi of squeeze]]-Table13[[#This Row],[PM Hi]])/Table13[[#This Row],[PM Hi]]</f>
        <v>#DIV/0!</v>
      </c>
      <c r="AF172" s="18"/>
      <c r="AG172" s="20" t="e">
        <f>Table13[[#This Row],[PM VOL]]/1000000/Table13[[#This Row],[FLOAT(M)]]</f>
        <v>#DIV/0!</v>
      </c>
      <c r="AH172" s="23" t="e">
        <f>(Table13[[#This Row],[Volume]]/1000000)/Table13[[#This Row],[FLOAT(M)]]</f>
        <v>#DIV/0!</v>
      </c>
      <c r="AJ172" s="18" t="e">
        <f>(Table13[[#This Row],[PM Hi]]-Table13[[#This Row],[MKT Open Price]])/(Table13[[#This Row],[PM Hi]])</f>
        <v>#DIV/0!</v>
      </c>
      <c r="AK172" s="18" t="e">
        <f>IF(Table13[[#This Row],[PM LO]]&gt;Table13[[#This Row],[Prior day close]],(Table13[[#This Row],[PM Hi]]-Table13[[#This Row],[MKT Open Price]])/(Table13[[#This Row],[PM Hi]]-Table13[[#This Row],[Prior day close]]),(Table13[[#This Row],[PM Hi]]-Table13[[#This Row],[MKT Open Price]])/(Table13[[#This Row],[PM Hi]]-Table13[[#This Row],[PM LO]]))</f>
        <v>#DIV/0!</v>
      </c>
      <c r="AL172" s="48" t="e">
        <f>IF(Table13[[#This Row],[Prior day close]]&lt;Table13[[#This Row],[PM LO]],(J172-L172)/(J172-Table13[[#This Row],[Prior day close]]),(J172-L172)/(J172-Table13[[#This Row],[PM LO]]))</f>
        <v>#DIV/0!</v>
      </c>
      <c r="AM172" s="48">
        <f>Table13[[#This Row],[Spike % on open before drop]]+AN172</f>
        <v>0</v>
      </c>
      <c r="AN172" s="18"/>
      <c r="AO172" s="16"/>
      <c r="AP172" s="48" t="e">
        <f>IF(Table13[[#This Row],[Prior day close]]&lt;=Table13[[#This Row],[PM LO]],IF($K172&gt;=$G172,($K172-$L172)/($K172-Table13[[#This Row],[Prior day close]]),(IF($I172&lt;=$L172,($G172-$I172)/($G172-Table13[[#This Row],[Prior day close]]),(Table13[[#This Row],[PM Hi]]-Table13[[#This Row],[Lowest lo from open to squeeze]])/(Table13[[#This Row],[PM Hi]]-Table13[[#This Row],[Prior day close]])))),IF($K172&gt;=$G172,($K172-$L172)/($K172-Table13[[#This Row],[PM LO]]),(IF($I172&lt;=$L172,($G172-$I172)/($G172-Table13[[#This Row],[PM LO]]),(Table13[[#This Row],[PM Hi]]-Table13[[#This Row],[Lowest lo from open to squeeze]])/(Table13[[#This Row],[PM Hi]]-Table13[[#This Row],[PM LO]])))))</f>
        <v>#DIV/0!</v>
      </c>
      <c r="AQ172" s="18"/>
      <c r="AR172" s="17">
        <f>390+Table13[[#This Row],[Time until ideal entry point (mins) from open]]</f>
        <v>390</v>
      </c>
      <c r="AS172" s="17">
        <f>Table13[[#This Row],[Time until ideal entry + 390 (6:30)]]+Table13[[#This Row],[Duration of frontside (mins)]]</f>
        <v>390</v>
      </c>
    </row>
    <row r="173" spans="1:45" hidden="1" x14ac:dyDescent="0.25">
      <c r="A173" s="24" t="s">
        <v>249</v>
      </c>
      <c r="B173" s="47">
        <v>44022</v>
      </c>
      <c r="C173" s="47" t="s">
        <v>178</v>
      </c>
      <c r="D173" s="46"/>
      <c r="E173" s="12"/>
      <c r="F173" s="13"/>
      <c r="G173" s="12"/>
      <c r="H173" s="12"/>
      <c r="I173" s="12"/>
      <c r="J173" s="12"/>
      <c r="K173" s="12"/>
      <c r="L173" s="12"/>
      <c r="O173" s="13"/>
      <c r="Q173" s="37"/>
      <c r="R173" s="46"/>
      <c r="S173" s="37"/>
      <c r="T173" s="37"/>
      <c r="U173" s="37"/>
      <c r="V173" s="37"/>
      <c r="W173" s="38"/>
      <c r="X173" s="46"/>
      <c r="Y173" s="37"/>
      <c r="Z173" s="46"/>
      <c r="AA173" s="41">
        <f>Table13[[#This Row],[Time until ideal entry + 390 (6:30)]]/(1440)</f>
        <v>0.27083333333333331</v>
      </c>
      <c r="AB173" s="18"/>
      <c r="AC173" s="18" t="e">
        <f>IF(Table13[[#This Row],[HOD AFTER PM HI]]&gt;=Table13[[#This Row],[PM Hi]],((Table13[[#This Row],[HOD AFTER PM HI]]-Table13[[#This Row],[Prior day close]])/Table13[[#This Row],[Prior day close]]),Table13[[#This Row],[Prior Close to PM Hi %]])</f>
        <v>#DIV/0!</v>
      </c>
      <c r="AD173" s="42" t="e">
        <f>(Table13[[#This Row],[Price at hi of squeeze]]-Table13[[#This Row],[MKT Open Price]])/Table13[[#This Row],[MKT Open Price]]</f>
        <v>#DIV/0!</v>
      </c>
      <c r="AE173" s="18" t="e">
        <f>(Table13[[#This Row],[Price at hi of squeeze]]-Table13[[#This Row],[PM Hi]])/Table13[[#This Row],[PM Hi]]</f>
        <v>#DIV/0!</v>
      </c>
      <c r="AF173" s="18"/>
      <c r="AG173" s="20" t="e">
        <f>Table13[[#This Row],[PM VOL]]/1000000/Table13[[#This Row],[FLOAT(M)]]</f>
        <v>#DIV/0!</v>
      </c>
      <c r="AH173" s="23" t="e">
        <f>(Table13[[#This Row],[Volume]]/1000000)/Table13[[#This Row],[FLOAT(M)]]</f>
        <v>#DIV/0!</v>
      </c>
      <c r="AJ173" s="18" t="e">
        <f>(Table13[[#This Row],[PM Hi]]-Table13[[#This Row],[MKT Open Price]])/(Table13[[#This Row],[PM Hi]])</f>
        <v>#DIV/0!</v>
      </c>
      <c r="AK173" s="18" t="e">
        <f>IF(Table13[[#This Row],[PM LO]]&gt;Table13[[#This Row],[Prior day close]],(Table13[[#This Row],[PM Hi]]-Table13[[#This Row],[MKT Open Price]])/(Table13[[#This Row],[PM Hi]]-Table13[[#This Row],[Prior day close]]),(Table13[[#This Row],[PM Hi]]-Table13[[#This Row],[MKT Open Price]])/(Table13[[#This Row],[PM Hi]]-Table13[[#This Row],[PM LO]]))</f>
        <v>#DIV/0!</v>
      </c>
      <c r="AL173" s="48" t="e">
        <f>IF(Table13[[#This Row],[Prior day close]]&lt;Table13[[#This Row],[PM LO]],(J173-L173)/(J173-Table13[[#This Row],[Prior day close]]),(J173-L173)/(J173-Table13[[#This Row],[PM LO]]))</f>
        <v>#DIV/0!</v>
      </c>
      <c r="AM173" s="48">
        <f>Table13[[#This Row],[Spike % on open before drop]]+AN173</f>
        <v>0</v>
      </c>
      <c r="AN173" s="18"/>
      <c r="AO173" s="16"/>
      <c r="AP173" s="48" t="e">
        <f>IF(Table13[[#This Row],[Prior day close]]&lt;=Table13[[#This Row],[PM LO]],IF($K173&gt;=$G173,($K173-$L173)/($K173-Table13[[#This Row],[Prior day close]]),(IF($I173&lt;=$L173,($G173-$I173)/($G173-Table13[[#This Row],[Prior day close]]),(Table13[[#This Row],[PM Hi]]-Table13[[#This Row],[Lowest lo from open to squeeze]])/(Table13[[#This Row],[PM Hi]]-Table13[[#This Row],[Prior day close]])))),IF($K173&gt;=$G173,($K173-$L173)/($K173-Table13[[#This Row],[PM LO]]),(IF($I173&lt;=$L173,($G173-$I173)/($G173-Table13[[#This Row],[PM LO]]),(Table13[[#This Row],[PM Hi]]-Table13[[#This Row],[Lowest lo from open to squeeze]])/(Table13[[#This Row],[PM Hi]]-Table13[[#This Row],[PM LO]])))))</f>
        <v>#DIV/0!</v>
      </c>
      <c r="AQ173" s="18"/>
      <c r="AR173" s="17">
        <f>390+Table13[[#This Row],[Time until ideal entry point (mins) from open]]</f>
        <v>390</v>
      </c>
      <c r="AS173" s="17">
        <f>Table13[[#This Row],[Time until ideal entry + 390 (6:30)]]+Table13[[#This Row],[Duration of frontside (mins)]]</f>
        <v>390</v>
      </c>
    </row>
    <row r="174" spans="1:45" hidden="1" x14ac:dyDescent="0.25">
      <c r="A174" s="24" t="s">
        <v>250</v>
      </c>
      <c r="B174" s="47">
        <v>44033</v>
      </c>
      <c r="C174" s="47" t="s">
        <v>178</v>
      </c>
      <c r="D174" s="46"/>
      <c r="E174" s="12"/>
      <c r="F174" s="13"/>
      <c r="G174" s="12"/>
      <c r="H174" s="12"/>
      <c r="I174" s="12"/>
      <c r="J174" s="12"/>
      <c r="K174" s="12"/>
      <c r="L174" s="12"/>
      <c r="O174" s="13"/>
      <c r="Q174" s="37"/>
      <c r="R174" s="46"/>
      <c r="S174" s="37"/>
      <c r="T174" s="37"/>
      <c r="U174" s="37"/>
      <c r="V174" s="37"/>
      <c r="W174" s="38"/>
      <c r="X174" s="46"/>
      <c r="Y174" s="37"/>
      <c r="Z174" s="46"/>
      <c r="AA174" s="41">
        <f>Table13[[#This Row],[Time until ideal entry + 390 (6:30)]]/(1440)</f>
        <v>0.27083333333333331</v>
      </c>
      <c r="AB174" s="18"/>
      <c r="AC174" s="18" t="e">
        <f>IF(Table13[[#This Row],[HOD AFTER PM HI]]&gt;=Table13[[#This Row],[PM Hi]],((Table13[[#This Row],[HOD AFTER PM HI]]-Table13[[#This Row],[Prior day close]])/Table13[[#This Row],[Prior day close]]),Table13[[#This Row],[Prior Close to PM Hi %]])</f>
        <v>#DIV/0!</v>
      </c>
      <c r="AD174" s="42" t="e">
        <f>(Table13[[#This Row],[Price at hi of squeeze]]-Table13[[#This Row],[MKT Open Price]])/Table13[[#This Row],[MKT Open Price]]</f>
        <v>#DIV/0!</v>
      </c>
      <c r="AE174" s="18" t="e">
        <f>(Table13[[#This Row],[Price at hi of squeeze]]-Table13[[#This Row],[PM Hi]])/Table13[[#This Row],[PM Hi]]</f>
        <v>#DIV/0!</v>
      </c>
      <c r="AF174" s="18"/>
      <c r="AG174" s="20" t="e">
        <f>Table13[[#This Row],[PM VOL]]/1000000/Table13[[#This Row],[FLOAT(M)]]</f>
        <v>#DIV/0!</v>
      </c>
      <c r="AH174" s="23" t="e">
        <f>(Table13[[#This Row],[Volume]]/1000000)/Table13[[#This Row],[FLOAT(M)]]</f>
        <v>#DIV/0!</v>
      </c>
      <c r="AJ174" s="18" t="e">
        <f>(Table13[[#This Row],[PM Hi]]-Table13[[#This Row],[MKT Open Price]])/(Table13[[#This Row],[PM Hi]])</f>
        <v>#DIV/0!</v>
      </c>
      <c r="AK174" s="18" t="e">
        <f>IF(Table13[[#This Row],[PM LO]]&gt;Table13[[#This Row],[Prior day close]],(Table13[[#This Row],[PM Hi]]-Table13[[#This Row],[MKT Open Price]])/(Table13[[#This Row],[PM Hi]]-Table13[[#This Row],[Prior day close]]),(Table13[[#This Row],[PM Hi]]-Table13[[#This Row],[MKT Open Price]])/(Table13[[#This Row],[PM Hi]]-Table13[[#This Row],[PM LO]]))</f>
        <v>#DIV/0!</v>
      </c>
      <c r="AL174" s="48" t="e">
        <f>IF(Table13[[#This Row],[Prior day close]]&lt;Table13[[#This Row],[PM LO]],(J174-L174)/(J174-Table13[[#This Row],[Prior day close]]),(J174-L174)/(J174-Table13[[#This Row],[PM LO]]))</f>
        <v>#DIV/0!</v>
      </c>
      <c r="AM174" s="48">
        <f>Table13[[#This Row],[Spike % on open before drop]]+AN174</f>
        <v>0</v>
      </c>
      <c r="AN174" s="18"/>
      <c r="AO174" s="16"/>
      <c r="AP174" s="48" t="e">
        <f>IF(Table13[[#This Row],[Prior day close]]&lt;=Table13[[#This Row],[PM LO]],IF($K174&gt;=$G174,($K174-$L174)/($K174-Table13[[#This Row],[Prior day close]]),(IF($I174&lt;=$L174,($G174-$I174)/($G174-Table13[[#This Row],[Prior day close]]),(Table13[[#This Row],[PM Hi]]-Table13[[#This Row],[Lowest lo from open to squeeze]])/(Table13[[#This Row],[PM Hi]]-Table13[[#This Row],[Prior day close]])))),IF($K174&gt;=$G174,($K174-$L174)/($K174-Table13[[#This Row],[PM LO]]),(IF($I174&lt;=$L174,($G174-$I174)/($G174-Table13[[#This Row],[PM LO]]),(Table13[[#This Row],[PM Hi]]-Table13[[#This Row],[Lowest lo from open to squeeze]])/(Table13[[#This Row],[PM Hi]]-Table13[[#This Row],[PM LO]])))))</f>
        <v>#DIV/0!</v>
      </c>
      <c r="AQ174" s="18"/>
      <c r="AR174" s="17">
        <f>390+Table13[[#This Row],[Time until ideal entry point (mins) from open]]</f>
        <v>390</v>
      </c>
      <c r="AS174" s="17">
        <f>Table13[[#This Row],[Time until ideal entry + 390 (6:30)]]+Table13[[#This Row],[Duration of frontside (mins)]]</f>
        <v>390</v>
      </c>
    </row>
    <row r="175" spans="1:45" hidden="1" x14ac:dyDescent="0.25">
      <c r="A175" s="24" t="s">
        <v>251</v>
      </c>
      <c r="B175" s="47">
        <v>44033</v>
      </c>
      <c r="C175" s="47" t="s">
        <v>178</v>
      </c>
      <c r="D175" s="46"/>
      <c r="E175" s="12"/>
      <c r="F175" s="13"/>
      <c r="G175" s="12"/>
      <c r="H175" s="12"/>
      <c r="I175" s="12"/>
      <c r="J175" s="12"/>
      <c r="K175" s="12"/>
      <c r="L175" s="12"/>
      <c r="O175" s="13"/>
      <c r="Q175" s="37"/>
      <c r="R175" s="46"/>
      <c r="S175" s="37"/>
      <c r="T175" s="37"/>
      <c r="U175" s="37"/>
      <c r="V175" s="37"/>
      <c r="W175" s="38"/>
      <c r="X175" s="46"/>
      <c r="Y175" s="37"/>
      <c r="Z175" s="46"/>
      <c r="AA175" s="41">
        <f>Table13[[#This Row],[Time until ideal entry + 390 (6:30)]]/(1440)</f>
        <v>0.27083333333333331</v>
      </c>
      <c r="AB175" s="18"/>
      <c r="AC175" s="18" t="e">
        <f>IF(Table13[[#This Row],[HOD AFTER PM HI]]&gt;=Table13[[#This Row],[PM Hi]],((Table13[[#This Row],[HOD AFTER PM HI]]-Table13[[#This Row],[Prior day close]])/Table13[[#This Row],[Prior day close]]),Table13[[#This Row],[Prior Close to PM Hi %]])</f>
        <v>#DIV/0!</v>
      </c>
      <c r="AD175" s="42" t="e">
        <f>(Table13[[#This Row],[Price at hi of squeeze]]-Table13[[#This Row],[MKT Open Price]])/Table13[[#This Row],[MKT Open Price]]</f>
        <v>#DIV/0!</v>
      </c>
      <c r="AE175" s="18" t="e">
        <f>(Table13[[#This Row],[Price at hi of squeeze]]-Table13[[#This Row],[PM Hi]])/Table13[[#This Row],[PM Hi]]</f>
        <v>#DIV/0!</v>
      </c>
      <c r="AF175" s="18"/>
      <c r="AG175" s="20" t="e">
        <f>Table13[[#This Row],[PM VOL]]/1000000/Table13[[#This Row],[FLOAT(M)]]</f>
        <v>#DIV/0!</v>
      </c>
      <c r="AH175" s="23" t="e">
        <f>(Table13[[#This Row],[Volume]]/1000000)/Table13[[#This Row],[FLOAT(M)]]</f>
        <v>#DIV/0!</v>
      </c>
      <c r="AJ175" s="18" t="e">
        <f>(Table13[[#This Row],[PM Hi]]-Table13[[#This Row],[MKT Open Price]])/(Table13[[#This Row],[PM Hi]])</f>
        <v>#DIV/0!</v>
      </c>
      <c r="AK175" s="18" t="e">
        <f>IF(Table13[[#This Row],[PM LO]]&gt;Table13[[#This Row],[Prior day close]],(Table13[[#This Row],[PM Hi]]-Table13[[#This Row],[MKT Open Price]])/(Table13[[#This Row],[PM Hi]]-Table13[[#This Row],[Prior day close]]),(Table13[[#This Row],[PM Hi]]-Table13[[#This Row],[MKT Open Price]])/(Table13[[#This Row],[PM Hi]]-Table13[[#This Row],[PM LO]]))</f>
        <v>#DIV/0!</v>
      </c>
      <c r="AL175" s="48" t="e">
        <f>IF(Table13[[#This Row],[Prior day close]]&lt;Table13[[#This Row],[PM LO]],(J175-L175)/(J175-Table13[[#This Row],[Prior day close]]),(J175-L175)/(J175-Table13[[#This Row],[PM LO]]))</f>
        <v>#DIV/0!</v>
      </c>
      <c r="AM175" s="48">
        <f>Table13[[#This Row],[Spike % on open before drop]]+AN175</f>
        <v>0</v>
      </c>
      <c r="AN175" s="18"/>
      <c r="AO175" s="16"/>
      <c r="AP175" s="48" t="e">
        <f>IF(Table13[[#This Row],[Prior day close]]&lt;=Table13[[#This Row],[PM LO]],IF($K175&gt;=$G175,($K175-$L175)/($K175-Table13[[#This Row],[Prior day close]]),(IF($I175&lt;=$L175,($G175-$I175)/($G175-Table13[[#This Row],[Prior day close]]),(Table13[[#This Row],[PM Hi]]-Table13[[#This Row],[Lowest lo from open to squeeze]])/(Table13[[#This Row],[PM Hi]]-Table13[[#This Row],[Prior day close]])))),IF($K175&gt;=$G175,($K175-$L175)/($K175-Table13[[#This Row],[PM LO]]),(IF($I175&lt;=$L175,($G175-$I175)/($G175-Table13[[#This Row],[PM LO]]),(Table13[[#This Row],[PM Hi]]-Table13[[#This Row],[Lowest lo from open to squeeze]])/(Table13[[#This Row],[PM Hi]]-Table13[[#This Row],[PM LO]])))))</f>
        <v>#DIV/0!</v>
      </c>
      <c r="AQ175" s="18"/>
      <c r="AR175" s="17">
        <f>390+Table13[[#This Row],[Time until ideal entry point (mins) from open]]</f>
        <v>390</v>
      </c>
      <c r="AS175" s="17">
        <f>Table13[[#This Row],[Time until ideal entry + 390 (6:30)]]+Table13[[#This Row],[Duration of frontside (mins)]]</f>
        <v>390</v>
      </c>
    </row>
    <row r="176" spans="1:45" hidden="1" x14ac:dyDescent="0.25">
      <c r="A176" s="24" t="s">
        <v>91</v>
      </c>
      <c r="B176" s="47">
        <v>44033</v>
      </c>
      <c r="C176" s="47" t="s">
        <v>178</v>
      </c>
      <c r="D176" s="46"/>
      <c r="E176" s="12"/>
      <c r="F176" s="13"/>
      <c r="G176" s="12"/>
      <c r="H176" s="12"/>
      <c r="I176" s="12"/>
      <c r="J176" s="12"/>
      <c r="K176" s="12"/>
      <c r="L176" s="12"/>
      <c r="O176" s="13"/>
      <c r="Q176" s="37"/>
      <c r="R176" s="46"/>
      <c r="S176" s="37"/>
      <c r="T176" s="37"/>
      <c r="U176" s="37"/>
      <c r="V176" s="37"/>
      <c r="W176" s="38"/>
      <c r="X176" s="46"/>
      <c r="Y176" s="37"/>
      <c r="Z176" s="46"/>
      <c r="AA176" s="41">
        <f>Table13[[#This Row],[Time until ideal entry + 390 (6:30)]]/(1440)</f>
        <v>0.27083333333333331</v>
      </c>
      <c r="AB176" s="18"/>
      <c r="AC176" s="18" t="e">
        <f>IF(Table13[[#This Row],[HOD AFTER PM HI]]&gt;=Table13[[#This Row],[PM Hi]],((Table13[[#This Row],[HOD AFTER PM HI]]-Table13[[#This Row],[Prior day close]])/Table13[[#This Row],[Prior day close]]),Table13[[#This Row],[Prior Close to PM Hi %]])</f>
        <v>#DIV/0!</v>
      </c>
      <c r="AD176" s="42" t="e">
        <f>(Table13[[#This Row],[Price at hi of squeeze]]-Table13[[#This Row],[MKT Open Price]])/Table13[[#This Row],[MKT Open Price]]</f>
        <v>#DIV/0!</v>
      </c>
      <c r="AE176" s="18" t="e">
        <f>(Table13[[#This Row],[Price at hi of squeeze]]-Table13[[#This Row],[PM Hi]])/Table13[[#This Row],[PM Hi]]</f>
        <v>#DIV/0!</v>
      </c>
      <c r="AF176" s="18"/>
      <c r="AG176" s="20" t="e">
        <f>Table13[[#This Row],[PM VOL]]/1000000/Table13[[#This Row],[FLOAT(M)]]</f>
        <v>#DIV/0!</v>
      </c>
      <c r="AH176" s="23" t="e">
        <f>(Table13[[#This Row],[Volume]]/1000000)/Table13[[#This Row],[FLOAT(M)]]</f>
        <v>#DIV/0!</v>
      </c>
      <c r="AJ176" s="18" t="e">
        <f>(Table13[[#This Row],[PM Hi]]-Table13[[#This Row],[MKT Open Price]])/(Table13[[#This Row],[PM Hi]])</f>
        <v>#DIV/0!</v>
      </c>
      <c r="AK176" s="18" t="e">
        <f>IF(Table13[[#This Row],[PM LO]]&gt;Table13[[#This Row],[Prior day close]],(Table13[[#This Row],[PM Hi]]-Table13[[#This Row],[MKT Open Price]])/(Table13[[#This Row],[PM Hi]]-Table13[[#This Row],[Prior day close]]),(Table13[[#This Row],[PM Hi]]-Table13[[#This Row],[MKT Open Price]])/(Table13[[#This Row],[PM Hi]]-Table13[[#This Row],[PM LO]]))</f>
        <v>#DIV/0!</v>
      </c>
      <c r="AL176" s="48" t="e">
        <f>IF(Table13[[#This Row],[Prior day close]]&lt;Table13[[#This Row],[PM LO]],(J176-L176)/(J176-Table13[[#This Row],[Prior day close]]),(J176-L176)/(J176-Table13[[#This Row],[PM LO]]))</f>
        <v>#DIV/0!</v>
      </c>
      <c r="AM176" s="48">
        <f>Table13[[#This Row],[Spike % on open before drop]]+AN176</f>
        <v>0</v>
      </c>
      <c r="AN176" s="18"/>
      <c r="AO176" s="16"/>
      <c r="AP176" s="48" t="e">
        <f>IF(Table13[[#This Row],[Prior day close]]&lt;=Table13[[#This Row],[PM LO]],IF($K176&gt;=$G176,($K176-$L176)/($K176-Table13[[#This Row],[Prior day close]]),(IF($I176&lt;=$L176,($G176-$I176)/($G176-Table13[[#This Row],[Prior day close]]),(Table13[[#This Row],[PM Hi]]-Table13[[#This Row],[Lowest lo from open to squeeze]])/(Table13[[#This Row],[PM Hi]]-Table13[[#This Row],[Prior day close]])))),IF($K176&gt;=$G176,($K176-$L176)/($K176-Table13[[#This Row],[PM LO]]),(IF($I176&lt;=$L176,($G176-$I176)/($G176-Table13[[#This Row],[PM LO]]),(Table13[[#This Row],[PM Hi]]-Table13[[#This Row],[Lowest lo from open to squeeze]])/(Table13[[#This Row],[PM Hi]]-Table13[[#This Row],[PM LO]])))))</f>
        <v>#DIV/0!</v>
      </c>
      <c r="AQ176" s="18"/>
      <c r="AR176" s="17">
        <f>390+Table13[[#This Row],[Time until ideal entry point (mins) from open]]</f>
        <v>390</v>
      </c>
      <c r="AS176" s="17">
        <f>Table13[[#This Row],[Time until ideal entry + 390 (6:30)]]+Table13[[#This Row],[Duration of frontside (mins)]]</f>
        <v>390</v>
      </c>
    </row>
    <row r="177" spans="1:45" hidden="1" x14ac:dyDescent="0.25">
      <c r="A177" s="24" t="s">
        <v>252</v>
      </c>
      <c r="B177" s="47">
        <v>44039</v>
      </c>
      <c r="C177" s="47" t="s">
        <v>178</v>
      </c>
      <c r="D177" s="46"/>
      <c r="E177" s="12"/>
      <c r="F177" s="13"/>
      <c r="G177" s="12"/>
      <c r="H177" s="12"/>
      <c r="I177" s="12"/>
      <c r="J177" s="12"/>
      <c r="K177" s="12"/>
      <c r="L177" s="12"/>
      <c r="O177" s="13"/>
      <c r="Q177" s="37"/>
      <c r="R177" s="46"/>
      <c r="S177" s="37"/>
      <c r="T177" s="37"/>
      <c r="U177" s="37"/>
      <c r="V177" s="37"/>
      <c r="W177" s="38"/>
      <c r="X177" s="46"/>
      <c r="Y177" s="37"/>
      <c r="Z177" s="46"/>
      <c r="AA177" s="41">
        <f>Table13[[#This Row],[Time until ideal entry + 390 (6:30)]]/(1440)</f>
        <v>0.27083333333333331</v>
      </c>
      <c r="AB177" s="18"/>
      <c r="AC177" s="18" t="e">
        <f>IF(Table13[[#This Row],[HOD AFTER PM HI]]&gt;=Table13[[#This Row],[PM Hi]],((Table13[[#This Row],[HOD AFTER PM HI]]-Table13[[#This Row],[Prior day close]])/Table13[[#This Row],[Prior day close]]),Table13[[#This Row],[Prior Close to PM Hi %]])</f>
        <v>#DIV/0!</v>
      </c>
      <c r="AD177" s="42" t="e">
        <f>(Table13[[#This Row],[Price at hi of squeeze]]-Table13[[#This Row],[MKT Open Price]])/Table13[[#This Row],[MKT Open Price]]</f>
        <v>#DIV/0!</v>
      </c>
      <c r="AE177" s="18" t="e">
        <f>(Table13[[#This Row],[Price at hi of squeeze]]-Table13[[#This Row],[PM Hi]])/Table13[[#This Row],[PM Hi]]</f>
        <v>#DIV/0!</v>
      </c>
      <c r="AF177" s="18"/>
      <c r="AG177" s="20" t="e">
        <f>Table13[[#This Row],[PM VOL]]/1000000/Table13[[#This Row],[FLOAT(M)]]</f>
        <v>#DIV/0!</v>
      </c>
      <c r="AH177" s="23" t="e">
        <f>(Table13[[#This Row],[Volume]]/1000000)/Table13[[#This Row],[FLOAT(M)]]</f>
        <v>#DIV/0!</v>
      </c>
      <c r="AJ177" s="18" t="e">
        <f>(Table13[[#This Row],[PM Hi]]-Table13[[#This Row],[MKT Open Price]])/(Table13[[#This Row],[PM Hi]])</f>
        <v>#DIV/0!</v>
      </c>
      <c r="AK177" s="18" t="e">
        <f>IF(Table13[[#This Row],[PM LO]]&gt;Table13[[#This Row],[Prior day close]],(Table13[[#This Row],[PM Hi]]-Table13[[#This Row],[MKT Open Price]])/(Table13[[#This Row],[PM Hi]]-Table13[[#This Row],[Prior day close]]),(Table13[[#This Row],[PM Hi]]-Table13[[#This Row],[MKT Open Price]])/(Table13[[#This Row],[PM Hi]]-Table13[[#This Row],[PM LO]]))</f>
        <v>#DIV/0!</v>
      </c>
      <c r="AL177" s="48" t="e">
        <f>IF(Table13[[#This Row],[Prior day close]]&lt;Table13[[#This Row],[PM LO]],(J177-L177)/(J177-Table13[[#This Row],[Prior day close]]),(J177-L177)/(J177-Table13[[#This Row],[PM LO]]))</f>
        <v>#DIV/0!</v>
      </c>
      <c r="AM177" s="48">
        <f>Table13[[#This Row],[Spike % on open before drop]]+AN177</f>
        <v>0</v>
      </c>
      <c r="AN177" s="18"/>
      <c r="AO177" s="16"/>
      <c r="AP177" s="48" t="e">
        <f>IF(Table13[[#This Row],[Prior day close]]&lt;=Table13[[#This Row],[PM LO]],IF($K177&gt;=$G177,($K177-$L177)/($K177-Table13[[#This Row],[Prior day close]]),(IF($I177&lt;=$L177,($G177-$I177)/($G177-Table13[[#This Row],[Prior day close]]),(Table13[[#This Row],[PM Hi]]-Table13[[#This Row],[Lowest lo from open to squeeze]])/(Table13[[#This Row],[PM Hi]]-Table13[[#This Row],[Prior day close]])))),IF($K177&gt;=$G177,($K177-$L177)/($K177-Table13[[#This Row],[PM LO]]),(IF($I177&lt;=$L177,($G177-$I177)/($G177-Table13[[#This Row],[PM LO]]),(Table13[[#This Row],[PM Hi]]-Table13[[#This Row],[Lowest lo from open to squeeze]])/(Table13[[#This Row],[PM Hi]]-Table13[[#This Row],[PM LO]])))))</f>
        <v>#DIV/0!</v>
      </c>
      <c r="AQ177" s="18"/>
      <c r="AR177" s="17">
        <f>390+Table13[[#This Row],[Time until ideal entry point (mins) from open]]</f>
        <v>390</v>
      </c>
      <c r="AS177" s="17">
        <f>Table13[[#This Row],[Time until ideal entry + 390 (6:30)]]+Table13[[#This Row],[Duration of frontside (mins)]]</f>
        <v>390</v>
      </c>
    </row>
    <row r="178" spans="1:45" hidden="1" x14ac:dyDescent="0.25">
      <c r="A178" s="24" t="s">
        <v>253</v>
      </c>
      <c r="B178" s="47">
        <v>44041</v>
      </c>
      <c r="C178" s="47" t="s">
        <v>178</v>
      </c>
      <c r="D178" s="46" t="s">
        <v>254</v>
      </c>
      <c r="E178" s="12"/>
      <c r="F178" s="13"/>
      <c r="G178" s="12"/>
      <c r="H178" s="12"/>
      <c r="I178" s="12"/>
      <c r="J178" s="12"/>
      <c r="K178" s="12"/>
      <c r="L178" s="12"/>
      <c r="O178" s="13"/>
      <c r="Q178" s="37"/>
      <c r="R178" s="46"/>
      <c r="S178" s="37"/>
      <c r="T178" s="37"/>
      <c r="U178" s="37"/>
      <c r="V178" s="37"/>
      <c r="W178" s="38"/>
      <c r="X178" s="46"/>
      <c r="Y178" s="37"/>
      <c r="Z178" s="46"/>
      <c r="AA178" s="41">
        <f>Table13[[#This Row],[Time until ideal entry + 390 (6:30)]]/(1440)</f>
        <v>0.27083333333333331</v>
      </c>
      <c r="AB178" s="18"/>
      <c r="AC178" s="18" t="e">
        <f>IF(Table13[[#This Row],[HOD AFTER PM HI]]&gt;=Table13[[#This Row],[PM Hi]],((Table13[[#This Row],[HOD AFTER PM HI]]-Table13[[#This Row],[Prior day close]])/Table13[[#This Row],[Prior day close]]),Table13[[#This Row],[Prior Close to PM Hi %]])</f>
        <v>#DIV/0!</v>
      </c>
      <c r="AD178" s="42" t="e">
        <f>(Table13[[#This Row],[Price at hi of squeeze]]-Table13[[#This Row],[MKT Open Price]])/Table13[[#This Row],[MKT Open Price]]</f>
        <v>#DIV/0!</v>
      </c>
      <c r="AE178" s="18" t="e">
        <f>(Table13[[#This Row],[Price at hi of squeeze]]-Table13[[#This Row],[PM Hi]])/Table13[[#This Row],[PM Hi]]</f>
        <v>#DIV/0!</v>
      </c>
      <c r="AF178" s="18"/>
      <c r="AG178" s="20" t="e">
        <f>Table13[[#This Row],[PM VOL]]/1000000/Table13[[#This Row],[FLOAT(M)]]</f>
        <v>#DIV/0!</v>
      </c>
      <c r="AH178" s="23" t="e">
        <f>(Table13[[#This Row],[Volume]]/1000000)/Table13[[#This Row],[FLOAT(M)]]</f>
        <v>#DIV/0!</v>
      </c>
      <c r="AJ178" s="18" t="e">
        <f>(Table13[[#This Row],[PM Hi]]-Table13[[#This Row],[MKT Open Price]])/(Table13[[#This Row],[PM Hi]])</f>
        <v>#DIV/0!</v>
      </c>
      <c r="AK178" s="18" t="e">
        <f>IF(Table13[[#This Row],[PM LO]]&gt;Table13[[#This Row],[Prior day close]],(Table13[[#This Row],[PM Hi]]-Table13[[#This Row],[MKT Open Price]])/(Table13[[#This Row],[PM Hi]]-Table13[[#This Row],[Prior day close]]),(Table13[[#This Row],[PM Hi]]-Table13[[#This Row],[MKT Open Price]])/(Table13[[#This Row],[PM Hi]]-Table13[[#This Row],[PM LO]]))</f>
        <v>#DIV/0!</v>
      </c>
      <c r="AL178" s="48" t="e">
        <f>IF(Table13[[#This Row],[Prior day close]]&lt;Table13[[#This Row],[PM LO]],(J178-L178)/(J178-Table13[[#This Row],[Prior day close]]),(J178-L178)/(J178-Table13[[#This Row],[PM LO]]))</f>
        <v>#DIV/0!</v>
      </c>
      <c r="AM178" s="48">
        <f>Table13[[#This Row],[Spike % on open before drop]]+AN178</f>
        <v>0</v>
      </c>
      <c r="AN178" s="18"/>
      <c r="AO178" s="16"/>
      <c r="AP178" s="48" t="e">
        <f>IF(Table13[[#This Row],[Prior day close]]&lt;=Table13[[#This Row],[PM LO]],IF($K178&gt;=$G178,($K178-$L178)/($K178-Table13[[#This Row],[Prior day close]]),(IF($I178&lt;=$L178,($G178-$I178)/($G178-Table13[[#This Row],[Prior day close]]),(Table13[[#This Row],[PM Hi]]-Table13[[#This Row],[Lowest lo from open to squeeze]])/(Table13[[#This Row],[PM Hi]]-Table13[[#This Row],[Prior day close]])))),IF($K178&gt;=$G178,($K178-$L178)/($K178-Table13[[#This Row],[PM LO]]),(IF($I178&lt;=$L178,($G178-$I178)/($G178-Table13[[#This Row],[PM LO]]),(Table13[[#This Row],[PM Hi]]-Table13[[#This Row],[Lowest lo from open to squeeze]])/(Table13[[#This Row],[PM Hi]]-Table13[[#This Row],[PM LO]])))))</f>
        <v>#DIV/0!</v>
      </c>
      <c r="AQ178" s="18"/>
      <c r="AR178" s="17">
        <f>390+Table13[[#This Row],[Time until ideal entry point (mins) from open]]</f>
        <v>390</v>
      </c>
      <c r="AS178" s="17">
        <f>Table13[[#This Row],[Time until ideal entry + 390 (6:30)]]+Table13[[#This Row],[Duration of frontside (mins)]]</f>
        <v>390</v>
      </c>
    </row>
    <row r="179" spans="1:45" hidden="1" x14ac:dyDescent="0.25">
      <c r="A179" s="24" t="s">
        <v>255</v>
      </c>
      <c r="B179" s="47">
        <v>44042</v>
      </c>
      <c r="C179" s="47" t="s">
        <v>178</v>
      </c>
      <c r="D179" s="46"/>
      <c r="E179" s="12"/>
      <c r="F179" s="13"/>
      <c r="G179" s="12"/>
      <c r="H179" s="12"/>
      <c r="I179" s="12"/>
      <c r="J179" s="12"/>
      <c r="K179" s="12"/>
      <c r="L179" s="12"/>
      <c r="O179" s="13"/>
      <c r="Q179" s="37"/>
      <c r="R179" s="46"/>
      <c r="S179" s="37"/>
      <c r="T179" s="37"/>
      <c r="U179" s="37"/>
      <c r="V179" s="37"/>
      <c r="W179" s="38"/>
      <c r="X179" s="46"/>
      <c r="Y179" s="37"/>
      <c r="Z179" s="46"/>
      <c r="AA179" s="41">
        <f>Table13[[#This Row],[Time until ideal entry + 390 (6:30)]]/(1440)</f>
        <v>0.27083333333333331</v>
      </c>
      <c r="AB179" s="18"/>
      <c r="AC179" s="18" t="e">
        <f>IF(Table13[[#This Row],[HOD AFTER PM HI]]&gt;=Table13[[#This Row],[PM Hi]],((Table13[[#This Row],[HOD AFTER PM HI]]-Table13[[#This Row],[Prior day close]])/Table13[[#This Row],[Prior day close]]),Table13[[#This Row],[Prior Close to PM Hi %]])</f>
        <v>#DIV/0!</v>
      </c>
      <c r="AD179" s="42" t="e">
        <f>(Table13[[#This Row],[Price at hi of squeeze]]-Table13[[#This Row],[MKT Open Price]])/Table13[[#This Row],[MKT Open Price]]</f>
        <v>#DIV/0!</v>
      </c>
      <c r="AE179" s="18" t="e">
        <f>(Table13[[#This Row],[Price at hi of squeeze]]-Table13[[#This Row],[PM Hi]])/Table13[[#This Row],[PM Hi]]</f>
        <v>#DIV/0!</v>
      </c>
      <c r="AF179" s="18"/>
      <c r="AG179" s="20" t="e">
        <f>Table13[[#This Row],[PM VOL]]/1000000/Table13[[#This Row],[FLOAT(M)]]</f>
        <v>#DIV/0!</v>
      </c>
      <c r="AH179" s="23" t="e">
        <f>(Table13[[#This Row],[Volume]]/1000000)/Table13[[#This Row],[FLOAT(M)]]</f>
        <v>#DIV/0!</v>
      </c>
      <c r="AJ179" s="18" t="e">
        <f>(Table13[[#This Row],[PM Hi]]-Table13[[#This Row],[MKT Open Price]])/(Table13[[#This Row],[PM Hi]])</f>
        <v>#DIV/0!</v>
      </c>
      <c r="AK179" s="18" t="e">
        <f>IF(Table13[[#This Row],[PM LO]]&gt;Table13[[#This Row],[Prior day close]],(Table13[[#This Row],[PM Hi]]-Table13[[#This Row],[MKT Open Price]])/(Table13[[#This Row],[PM Hi]]-Table13[[#This Row],[Prior day close]]),(Table13[[#This Row],[PM Hi]]-Table13[[#This Row],[MKT Open Price]])/(Table13[[#This Row],[PM Hi]]-Table13[[#This Row],[PM LO]]))</f>
        <v>#DIV/0!</v>
      </c>
      <c r="AL179" s="48" t="e">
        <f>IF(Table13[[#This Row],[Prior day close]]&lt;Table13[[#This Row],[PM LO]],(J179-L179)/(J179-Table13[[#This Row],[Prior day close]]),(J179-L179)/(J179-Table13[[#This Row],[PM LO]]))</f>
        <v>#DIV/0!</v>
      </c>
      <c r="AM179" s="48">
        <f>Table13[[#This Row],[Spike % on open before drop]]+AN179</f>
        <v>0</v>
      </c>
      <c r="AN179" s="18"/>
      <c r="AO179" s="16"/>
      <c r="AP179" s="48" t="e">
        <f>IF(Table13[[#This Row],[Prior day close]]&lt;=Table13[[#This Row],[PM LO]],IF($K179&gt;=$G179,($K179-$L179)/($K179-Table13[[#This Row],[Prior day close]]),(IF($I179&lt;=$L179,($G179-$I179)/($G179-Table13[[#This Row],[Prior day close]]),(Table13[[#This Row],[PM Hi]]-Table13[[#This Row],[Lowest lo from open to squeeze]])/(Table13[[#This Row],[PM Hi]]-Table13[[#This Row],[Prior day close]])))),IF($K179&gt;=$G179,($K179-$L179)/($K179-Table13[[#This Row],[PM LO]]),(IF($I179&lt;=$L179,($G179-$I179)/($G179-Table13[[#This Row],[PM LO]]),(Table13[[#This Row],[PM Hi]]-Table13[[#This Row],[Lowest lo from open to squeeze]])/(Table13[[#This Row],[PM Hi]]-Table13[[#This Row],[PM LO]])))))</f>
        <v>#DIV/0!</v>
      </c>
      <c r="AQ179" s="18"/>
      <c r="AR179" s="17">
        <f>390+Table13[[#This Row],[Time until ideal entry point (mins) from open]]</f>
        <v>390</v>
      </c>
      <c r="AS179" s="17">
        <f>Table13[[#This Row],[Time until ideal entry + 390 (6:30)]]+Table13[[#This Row],[Duration of frontside (mins)]]</f>
        <v>390</v>
      </c>
    </row>
    <row r="180" spans="1:45" hidden="1" x14ac:dyDescent="0.25">
      <c r="A180" s="24" t="s">
        <v>222</v>
      </c>
      <c r="B180" s="47">
        <v>44043</v>
      </c>
      <c r="C180" s="47" t="s">
        <v>178</v>
      </c>
      <c r="D180" s="46"/>
      <c r="E180" s="12"/>
      <c r="F180" s="13"/>
      <c r="G180" s="12"/>
      <c r="H180" s="12"/>
      <c r="I180" s="12"/>
      <c r="J180" s="12"/>
      <c r="K180" s="12"/>
      <c r="L180" s="12"/>
      <c r="O180" s="13"/>
      <c r="Q180" s="37"/>
      <c r="R180" s="46"/>
      <c r="S180" s="37"/>
      <c r="T180" s="37"/>
      <c r="U180" s="37"/>
      <c r="V180" s="37"/>
      <c r="W180" s="38"/>
      <c r="X180" s="46"/>
      <c r="Y180" s="37"/>
      <c r="Z180" s="46"/>
      <c r="AA180" s="41">
        <f>Table13[[#This Row],[Time until ideal entry + 390 (6:30)]]/(1440)</f>
        <v>0.27083333333333331</v>
      </c>
      <c r="AB180" s="18"/>
      <c r="AC180" s="18" t="e">
        <f>IF(Table13[[#This Row],[HOD AFTER PM HI]]&gt;=Table13[[#This Row],[PM Hi]],((Table13[[#This Row],[HOD AFTER PM HI]]-Table13[[#This Row],[Prior day close]])/Table13[[#This Row],[Prior day close]]),Table13[[#This Row],[Prior Close to PM Hi %]])</f>
        <v>#DIV/0!</v>
      </c>
      <c r="AD180" s="42" t="e">
        <f>(Table13[[#This Row],[Price at hi of squeeze]]-Table13[[#This Row],[MKT Open Price]])/Table13[[#This Row],[MKT Open Price]]</f>
        <v>#DIV/0!</v>
      </c>
      <c r="AE180" s="18" t="e">
        <f>(Table13[[#This Row],[Price at hi of squeeze]]-Table13[[#This Row],[PM Hi]])/Table13[[#This Row],[PM Hi]]</f>
        <v>#DIV/0!</v>
      </c>
      <c r="AF180" s="18"/>
      <c r="AG180" s="20" t="e">
        <f>Table13[[#This Row],[PM VOL]]/1000000/Table13[[#This Row],[FLOAT(M)]]</f>
        <v>#DIV/0!</v>
      </c>
      <c r="AH180" s="23" t="e">
        <f>(Table13[[#This Row],[Volume]]/1000000)/Table13[[#This Row],[FLOAT(M)]]</f>
        <v>#DIV/0!</v>
      </c>
      <c r="AJ180" s="18" t="e">
        <f>(Table13[[#This Row],[PM Hi]]-Table13[[#This Row],[MKT Open Price]])/(Table13[[#This Row],[PM Hi]])</f>
        <v>#DIV/0!</v>
      </c>
      <c r="AK180" s="18" t="e">
        <f>IF(Table13[[#This Row],[PM LO]]&gt;Table13[[#This Row],[Prior day close]],(Table13[[#This Row],[PM Hi]]-Table13[[#This Row],[MKT Open Price]])/(Table13[[#This Row],[PM Hi]]-Table13[[#This Row],[Prior day close]]),(Table13[[#This Row],[PM Hi]]-Table13[[#This Row],[MKT Open Price]])/(Table13[[#This Row],[PM Hi]]-Table13[[#This Row],[PM LO]]))</f>
        <v>#DIV/0!</v>
      </c>
      <c r="AL180" s="48" t="e">
        <f>IF(Table13[[#This Row],[Prior day close]]&lt;Table13[[#This Row],[PM LO]],(J180-L180)/(J180-Table13[[#This Row],[Prior day close]]),(J180-L180)/(J180-Table13[[#This Row],[PM LO]]))</f>
        <v>#DIV/0!</v>
      </c>
      <c r="AM180" s="48">
        <f>Table13[[#This Row],[Spike % on open before drop]]+AN180</f>
        <v>0</v>
      </c>
      <c r="AN180" s="18"/>
      <c r="AO180" s="16"/>
      <c r="AP180" s="48" t="e">
        <f>IF(Table13[[#This Row],[Prior day close]]&lt;=Table13[[#This Row],[PM LO]],IF($K180&gt;=$G180,($K180-$L180)/($K180-Table13[[#This Row],[Prior day close]]),(IF($I180&lt;=$L180,($G180-$I180)/($G180-Table13[[#This Row],[Prior day close]]),(Table13[[#This Row],[PM Hi]]-Table13[[#This Row],[Lowest lo from open to squeeze]])/(Table13[[#This Row],[PM Hi]]-Table13[[#This Row],[Prior day close]])))),IF($K180&gt;=$G180,($K180-$L180)/($K180-Table13[[#This Row],[PM LO]]),(IF($I180&lt;=$L180,($G180-$I180)/($G180-Table13[[#This Row],[PM LO]]),(Table13[[#This Row],[PM Hi]]-Table13[[#This Row],[Lowest lo from open to squeeze]])/(Table13[[#This Row],[PM Hi]]-Table13[[#This Row],[PM LO]])))))</f>
        <v>#DIV/0!</v>
      </c>
      <c r="AQ180" s="18"/>
      <c r="AR180" s="17">
        <f>390+Table13[[#This Row],[Time until ideal entry point (mins) from open]]</f>
        <v>390</v>
      </c>
      <c r="AS180" s="17">
        <f>Table13[[#This Row],[Time until ideal entry + 390 (6:30)]]+Table13[[#This Row],[Duration of frontside (mins)]]</f>
        <v>390</v>
      </c>
    </row>
    <row r="181" spans="1:45" hidden="1" x14ac:dyDescent="0.25">
      <c r="A181" s="24" t="s">
        <v>256</v>
      </c>
      <c r="B181" s="47">
        <v>44047</v>
      </c>
      <c r="C181" s="47" t="s">
        <v>178</v>
      </c>
      <c r="D181" s="46"/>
      <c r="E181" s="12"/>
      <c r="F181" s="13"/>
      <c r="G181" s="12"/>
      <c r="H181" s="12"/>
      <c r="I181" s="12"/>
      <c r="J181" s="12"/>
      <c r="K181" s="12"/>
      <c r="L181" s="12"/>
      <c r="O181" s="13"/>
      <c r="Q181" s="37"/>
      <c r="R181" s="46"/>
      <c r="S181" s="37"/>
      <c r="T181" s="37"/>
      <c r="U181" s="37"/>
      <c r="V181" s="37"/>
      <c r="W181" s="38"/>
      <c r="X181" s="46"/>
      <c r="Y181" s="37"/>
      <c r="Z181" s="46"/>
      <c r="AA181" s="41">
        <f>Table13[[#This Row],[Time until ideal entry + 390 (6:30)]]/(1440)</f>
        <v>0.27083333333333331</v>
      </c>
      <c r="AB181" s="18"/>
      <c r="AC181" s="18" t="e">
        <f>IF(Table13[[#This Row],[HOD AFTER PM HI]]&gt;=Table13[[#This Row],[PM Hi]],((Table13[[#This Row],[HOD AFTER PM HI]]-Table13[[#This Row],[Prior day close]])/Table13[[#This Row],[Prior day close]]),Table13[[#This Row],[Prior Close to PM Hi %]])</f>
        <v>#DIV/0!</v>
      </c>
      <c r="AD181" s="42" t="e">
        <f>(Table13[[#This Row],[Price at hi of squeeze]]-Table13[[#This Row],[MKT Open Price]])/Table13[[#This Row],[MKT Open Price]]</f>
        <v>#DIV/0!</v>
      </c>
      <c r="AE181" s="18" t="e">
        <f>(Table13[[#This Row],[Price at hi of squeeze]]-Table13[[#This Row],[PM Hi]])/Table13[[#This Row],[PM Hi]]</f>
        <v>#DIV/0!</v>
      </c>
      <c r="AF181" s="18"/>
      <c r="AG181" s="20" t="e">
        <f>Table13[[#This Row],[PM VOL]]/1000000/Table13[[#This Row],[FLOAT(M)]]</f>
        <v>#DIV/0!</v>
      </c>
      <c r="AH181" s="23" t="e">
        <f>(Table13[[#This Row],[Volume]]/1000000)/Table13[[#This Row],[FLOAT(M)]]</f>
        <v>#DIV/0!</v>
      </c>
      <c r="AJ181" s="18" t="e">
        <f>(Table13[[#This Row],[PM Hi]]-Table13[[#This Row],[MKT Open Price]])/(Table13[[#This Row],[PM Hi]])</f>
        <v>#DIV/0!</v>
      </c>
      <c r="AK181" s="18" t="e">
        <f>IF(Table13[[#This Row],[PM LO]]&gt;Table13[[#This Row],[Prior day close]],(Table13[[#This Row],[PM Hi]]-Table13[[#This Row],[MKT Open Price]])/(Table13[[#This Row],[PM Hi]]-Table13[[#This Row],[Prior day close]]),(Table13[[#This Row],[PM Hi]]-Table13[[#This Row],[MKT Open Price]])/(Table13[[#This Row],[PM Hi]]-Table13[[#This Row],[PM LO]]))</f>
        <v>#DIV/0!</v>
      </c>
      <c r="AL181" s="48" t="e">
        <f>IF(Table13[[#This Row],[Prior day close]]&lt;Table13[[#This Row],[PM LO]],(J181-L181)/(J181-Table13[[#This Row],[Prior day close]]),(J181-L181)/(J181-Table13[[#This Row],[PM LO]]))</f>
        <v>#DIV/0!</v>
      </c>
      <c r="AM181" s="48">
        <f>Table13[[#This Row],[Spike % on open before drop]]+AN181</f>
        <v>0</v>
      </c>
      <c r="AN181" s="18"/>
      <c r="AO181" s="16"/>
      <c r="AP181" s="48" t="e">
        <f>IF(Table13[[#This Row],[Prior day close]]&lt;=Table13[[#This Row],[PM LO]],IF($K181&gt;=$G181,($K181-$L181)/($K181-Table13[[#This Row],[Prior day close]]),(IF($I181&lt;=$L181,($G181-$I181)/($G181-Table13[[#This Row],[Prior day close]]),(Table13[[#This Row],[PM Hi]]-Table13[[#This Row],[Lowest lo from open to squeeze]])/(Table13[[#This Row],[PM Hi]]-Table13[[#This Row],[Prior day close]])))),IF($K181&gt;=$G181,($K181-$L181)/($K181-Table13[[#This Row],[PM LO]]),(IF($I181&lt;=$L181,($G181-$I181)/($G181-Table13[[#This Row],[PM LO]]),(Table13[[#This Row],[PM Hi]]-Table13[[#This Row],[Lowest lo from open to squeeze]])/(Table13[[#This Row],[PM Hi]]-Table13[[#This Row],[PM LO]])))))</f>
        <v>#DIV/0!</v>
      </c>
      <c r="AQ181" s="18"/>
      <c r="AR181" s="17">
        <f>390+Table13[[#This Row],[Time until ideal entry point (mins) from open]]</f>
        <v>390</v>
      </c>
      <c r="AS181" s="17">
        <f>Table13[[#This Row],[Time until ideal entry + 390 (6:30)]]+Table13[[#This Row],[Duration of frontside (mins)]]</f>
        <v>390</v>
      </c>
    </row>
    <row r="182" spans="1:45" hidden="1" x14ac:dyDescent="0.25">
      <c r="A182" s="24" t="s">
        <v>99</v>
      </c>
      <c r="B182" s="47">
        <v>44047</v>
      </c>
      <c r="C182" s="47" t="s">
        <v>178</v>
      </c>
      <c r="D182" s="46"/>
      <c r="E182" s="12"/>
      <c r="F182" s="13"/>
      <c r="G182" s="12"/>
      <c r="H182" s="12"/>
      <c r="I182" s="12"/>
      <c r="J182" s="12"/>
      <c r="K182" s="12"/>
      <c r="L182" s="12"/>
      <c r="O182" s="13"/>
      <c r="Q182" s="37"/>
      <c r="R182" s="46"/>
      <c r="S182" s="37"/>
      <c r="T182" s="37"/>
      <c r="U182" s="37"/>
      <c r="V182" s="37"/>
      <c r="W182" s="38"/>
      <c r="X182" s="46"/>
      <c r="Y182" s="37"/>
      <c r="Z182" s="46"/>
      <c r="AA182" s="41">
        <f>Table13[[#This Row],[Time until ideal entry + 390 (6:30)]]/(1440)</f>
        <v>0.27083333333333331</v>
      </c>
      <c r="AB182" s="18"/>
      <c r="AC182" s="18" t="e">
        <f>IF(Table13[[#This Row],[HOD AFTER PM HI]]&gt;=Table13[[#This Row],[PM Hi]],((Table13[[#This Row],[HOD AFTER PM HI]]-Table13[[#This Row],[Prior day close]])/Table13[[#This Row],[Prior day close]]),Table13[[#This Row],[Prior Close to PM Hi %]])</f>
        <v>#DIV/0!</v>
      </c>
      <c r="AD182" s="42" t="e">
        <f>(Table13[[#This Row],[Price at hi of squeeze]]-Table13[[#This Row],[MKT Open Price]])/Table13[[#This Row],[MKT Open Price]]</f>
        <v>#DIV/0!</v>
      </c>
      <c r="AE182" s="18" t="e">
        <f>(Table13[[#This Row],[Price at hi of squeeze]]-Table13[[#This Row],[PM Hi]])/Table13[[#This Row],[PM Hi]]</f>
        <v>#DIV/0!</v>
      </c>
      <c r="AF182" s="18"/>
      <c r="AG182" s="20" t="e">
        <f>Table13[[#This Row],[PM VOL]]/1000000/Table13[[#This Row],[FLOAT(M)]]</f>
        <v>#DIV/0!</v>
      </c>
      <c r="AH182" s="23" t="e">
        <f>(Table13[[#This Row],[Volume]]/1000000)/Table13[[#This Row],[FLOAT(M)]]</f>
        <v>#DIV/0!</v>
      </c>
      <c r="AJ182" s="18" t="e">
        <f>(Table13[[#This Row],[PM Hi]]-Table13[[#This Row],[MKT Open Price]])/(Table13[[#This Row],[PM Hi]])</f>
        <v>#DIV/0!</v>
      </c>
      <c r="AK182" s="18" t="e">
        <f>IF(Table13[[#This Row],[PM LO]]&gt;Table13[[#This Row],[Prior day close]],(Table13[[#This Row],[PM Hi]]-Table13[[#This Row],[MKT Open Price]])/(Table13[[#This Row],[PM Hi]]-Table13[[#This Row],[Prior day close]]),(Table13[[#This Row],[PM Hi]]-Table13[[#This Row],[MKT Open Price]])/(Table13[[#This Row],[PM Hi]]-Table13[[#This Row],[PM LO]]))</f>
        <v>#DIV/0!</v>
      </c>
      <c r="AL182" s="48" t="e">
        <f>IF(Table13[[#This Row],[Prior day close]]&lt;Table13[[#This Row],[PM LO]],(J182-L182)/(J182-Table13[[#This Row],[Prior day close]]),(J182-L182)/(J182-Table13[[#This Row],[PM LO]]))</f>
        <v>#DIV/0!</v>
      </c>
      <c r="AM182" s="48">
        <f>Table13[[#This Row],[Spike % on open before drop]]+AN182</f>
        <v>0</v>
      </c>
      <c r="AN182" s="18"/>
      <c r="AO182" s="16"/>
      <c r="AP182" s="48" t="e">
        <f>IF(Table13[[#This Row],[Prior day close]]&lt;=Table13[[#This Row],[PM LO]],IF($K182&gt;=$G182,($K182-$L182)/($K182-Table13[[#This Row],[Prior day close]]),(IF($I182&lt;=$L182,($G182-$I182)/($G182-Table13[[#This Row],[Prior day close]]),(Table13[[#This Row],[PM Hi]]-Table13[[#This Row],[Lowest lo from open to squeeze]])/(Table13[[#This Row],[PM Hi]]-Table13[[#This Row],[Prior day close]])))),IF($K182&gt;=$G182,($K182-$L182)/($K182-Table13[[#This Row],[PM LO]]),(IF($I182&lt;=$L182,($G182-$I182)/($G182-Table13[[#This Row],[PM LO]]),(Table13[[#This Row],[PM Hi]]-Table13[[#This Row],[Lowest lo from open to squeeze]])/(Table13[[#This Row],[PM Hi]]-Table13[[#This Row],[PM LO]])))))</f>
        <v>#DIV/0!</v>
      </c>
      <c r="AQ182" s="18"/>
      <c r="AR182" s="17">
        <f>390+Table13[[#This Row],[Time until ideal entry point (mins) from open]]</f>
        <v>390</v>
      </c>
      <c r="AS182" s="17">
        <f>Table13[[#This Row],[Time until ideal entry + 390 (6:30)]]+Table13[[#This Row],[Duration of frontside (mins)]]</f>
        <v>390</v>
      </c>
    </row>
    <row r="183" spans="1:45" hidden="1" x14ac:dyDescent="0.25">
      <c r="A183" s="24" t="s">
        <v>257</v>
      </c>
      <c r="B183" s="47">
        <v>44049</v>
      </c>
      <c r="C183" s="47" t="s">
        <v>78</v>
      </c>
      <c r="D183" s="46"/>
      <c r="E183" s="12"/>
      <c r="F183" s="13"/>
      <c r="G183" s="12"/>
      <c r="H183" s="12"/>
      <c r="I183" s="12"/>
      <c r="J183" s="12"/>
      <c r="K183" s="12"/>
      <c r="L183" s="12"/>
      <c r="O183" s="13"/>
      <c r="Q183" s="37"/>
      <c r="R183" s="46"/>
      <c r="S183" s="37"/>
      <c r="T183" s="37"/>
      <c r="U183" s="37"/>
      <c r="V183" s="37"/>
      <c r="W183" s="38"/>
      <c r="X183" s="46"/>
      <c r="Y183" s="37"/>
      <c r="Z183" s="46"/>
      <c r="AA183" s="41">
        <f>Table13[[#This Row],[Time until ideal entry + 390 (6:30)]]/(1440)</f>
        <v>0.27083333333333331</v>
      </c>
      <c r="AB183" s="18"/>
      <c r="AC183" s="18" t="e">
        <f>IF(Table13[[#This Row],[HOD AFTER PM HI]]&gt;=Table13[[#This Row],[PM Hi]],((Table13[[#This Row],[HOD AFTER PM HI]]-Table13[[#This Row],[Prior day close]])/Table13[[#This Row],[Prior day close]]),Table13[[#This Row],[Prior Close to PM Hi %]])</f>
        <v>#DIV/0!</v>
      </c>
      <c r="AD183" s="42" t="e">
        <f>(Table13[[#This Row],[Price at hi of squeeze]]-Table13[[#This Row],[MKT Open Price]])/Table13[[#This Row],[MKT Open Price]]</f>
        <v>#DIV/0!</v>
      </c>
      <c r="AE183" s="18" t="e">
        <f>(Table13[[#This Row],[Price at hi of squeeze]]-Table13[[#This Row],[PM Hi]])/Table13[[#This Row],[PM Hi]]</f>
        <v>#DIV/0!</v>
      </c>
      <c r="AF183" s="18"/>
      <c r="AG183" s="20" t="e">
        <f>Table13[[#This Row],[PM VOL]]/1000000/Table13[[#This Row],[FLOAT(M)]]</f>
        <v>#DIV/0!</v>
      </c>
      <c r="AH183" s="23" t="e">
        <f>(Table13[[#This Row],[Volume]]/1000000)/Table13[[#This Row],[FLOAT(M)]]</f>
        <v>#DIV/0!</v>
      </c>
      <c r="AJ183" s="18" t="e">
        <f>(Table13[[#This Row],[PM Hi]]-Table13[[#This Row],[MKT Open Price]])/(Table13[[#This Row],[PM Hi]])</f>
        <v>#DIV/0!</v>
      </c>
      <c r="AK183" s="18" t="e">
        <f>IF(Table13[[#This Row],[PM LO]]&gt;Table13[[#This Row],[Prior day close]],(Table13[[#This Row],[PM Hi]]-Table13[[#This Row],[MKT Open Price]])/(Table13[[#This Row],[PM Hi]]-Table13[[#This Row],[Prior day close]]),(Table13[[#This Row],[PM Hi]]-Table13[[#This Row],[MKT Open Price]])/(Table13[[#This Row],[PM Hi]]-Table13[[#This Row],[PM LO]]))</f>
        <v>#DIV/0!</v>
      </c>
      <c r="AL183" s="48" t="e">
        <f>IF(Table13[[#This Row],[Prior day close]]&lt;Table13[[#This Row],[PM LO]],(J183-L183)/(J183-Table13[[#This Row],[Prior day close]]),(J183-L183)/(J183-Table13[[#This Row],[PM LO]]))</f>
        <v>#DIV/0!</v>
      </c>
      <c r="AM183" s="48">
        <f>Table13[[#This Row],[Spike % on open before drop]]+AN183</f>
        <v>0</v>
      </c>
      <c r="AN183" s="18"/>
      <c r="AO183" s="16"/>
      <c r="AP183" s="48" t="e">
        <f>IF(Table13[[#This Row],[Prior day close]]&lt;=Table13[[#This Row],[PM LO]],IF($K183&gt;=$G183,($K183-$L183)/($K183-Table13[[#This Row],[Prior day close]]),(IF($I183&lt;=$L183,($G183-$I183)/($G183-Table13[[#This Row],[Prior day close]]),(Table13[[#This Row],[PM Hi]]-Table13[[#This Row],[Lowest lo from open to squeeze]])/(Table13[[#This Row],[PM Hi]]-Table13[[#This Row],[Prior day close]])))),IF($K183&gt;=$G183,($K183-$L183)/($K183-Table13[[#This Row],[PM LO]]),(IF($I183&lt;=$L183,($G183-$I183)/($G183-Table13[[#This Row],[PM LO]]),(Table13[[#This Row],[PM Hi]]-Table13[[#This Row],[Lowest lo from open to squeeze]])/(Table13[[#This Row],[PM Hi]]-Table13[[#This Row],[PM LO]])))))</f>
        <v>#DIV/0!</v>
      </c>
      <c r="AQ183" s="18"/>
      <c r="AR183" s="17">
        <f>390+Table13[[#This Row],[Time until ideal entry point (mins) from open]]</f>
        <v>390</v>
      </c>
      <c r="AS183" s="17">
        <f>Table13[[#This Row],[Time until ideal entry + 390 (6:30)]]+Table13[[#This Row],[Duration of frontside (mins)]]</f>
        <v>390</v>
      </c>
    </row>
    <row r="184" spans="1:45" hidden="1" x14ac:dyDescent="0.25">
      <c r="A184" s="24" t="s">
        <v>258</v>
      </c>
      <c r="B184" s="47">
        <v>44050</v>
      </c>
      <c r="C184" s="47" t="s">
        <v>78</v>
      </c>
      <c r="D184" s="46"/>
      <c r="E184" s="12"/>
      <c r="F184" s="13"/>
      <c r="G184" s="12"/>
      <c r="H184" s="12"/>
      <c r="I184" s="12"/>
      <c r="J184" s="12"/>
      <c r="K184" s="12"/>
      <c r="L184" s="12"/>
      <c r="O184" s="13"/>
      <c r="Q184" s="37"/>
      <c r="R184" s="46"/>
      <c r="S184" s="37"/>
      <c r="T184" s="37"/>
      <c r="U184" s="37"/>
      <c r="V184" s="37"/>
      <c r="W184" s="38"/>
      <c r="X184" s="46"/>
      <c r="Y184" s="37"/>
      <c r="Z184" s="46"/>
      <c r="AA184" s="41">
        <f>Table13[[#This Row],[Time until ideal entry + 390 (6:30)]]/(1440)</f>
        <v>0.27083333333333331</v>
      </c>
      <c r="AB184" s="18"/>
      <c r="AC184" s="18" t="e">
        <f>IF(Table13[[#This Row],[HOD AFTER PM HI]]&gt;=Table13[[#This Row],[PM Hi]],((Table13[[#This Row],[HOD AFTER PM HI]]-Table13[[#This Row],[Prior day close]])/Table13[[#This Row],[Prior day close]]),Table13[[#This Row],[Prior Close to PM Hi %]])</f>
        <v>#DIV/0!</v>
      </c>
      <c r="AD184" s="42" t="e">
        <f>(Table13[[#This Row],[Price at hi of squeeze]]-Table13[[#This Row],[MKT Open Price]])/Table13[[#This Row],[MKT Open Price]]</f>
        <v>#DIV/0!</v>
      </c>
      <c r="AE184" s="18" t="e">
        <f>(Table13[[#This Row],[Price at hi of squeeze]]-Table13[[#This Row],[PM Hi]])/Table13[[#This Row],[PM Hi]]</f>
        <v>#DIV/0!</v>
      </c>
      <c r="AF184" s="18"/>
      <c r="AG184" s="20" t="e">
        <f>Table13[[#This Row],[PM VOL]]/1000000/Table13[[#This Row],[FLOAT(M)]]</f>
        <v>#DIV/0!</v>
      </c>
      <c r="AH184" s="23" t="e">
        <f>(Table13[[#This Row],[Volume]]/1000000)/Table13[[#This Row],[FLOAT(M)]]</f>
        <v>#DIV/0!</v>
      </c>
      <c r="AJ184" s="18" t="e">
        <f>(Table13[[#This Row],[PM Hi]]-Table13[[#This Row],[MKT Open Price]])/(Table13[[#This Row],[PM Hi]])</f>
        <v>#DIV/0!</v>
      </c>
      <c r="AK184" s="18" t="e">
        <f>IF(Table13[[#This Row],[PM LO]]&gt;Table13[[#This Row],[Prior day close]],(Table13[[#This Row],[PM Hi]]-Table13[[#This Row],[MKT Open Price]])/(Table13[[#This Row],[PM Hi]]-Table13[[#This Row],[Prior day close]]),(Table13[[#This Row],[PM Hi]]-Table13[[#This Row],[MKT Open Price]])/(Table13[[#This Row],[PM Hi]]-Table13[[#This Row],[PM LO]]))</f>
        <v>#DIV/0!</v>
      </c>
      <c r="AL184" s="48" t="e">
        <f>IF(Table13[[#This Row],[Prior day close]]&lt;Table13[[#This Row],[PM LO]],(J184-L184)/(J184-Table13[[#This Row],[Prior day close]]),(J184-L184)/(J184-Table13[[#This Row],[PM LO]]))</f>
        <v>#DIV/0!</v>
      </c>
      <c r="AM184" s="48">
        <f>Table13[[#This Row],[Spike % on open before drop]]+AN184</f>
        <v>0</v>
      </c>
      <c r="AN184" s="18"/>
      <c r="AO184" s="16"/>
      <c r="AP184" s="48" t="e">
        <f>IF(Table13[[#This Row],[Prior day close]]&lt;=Table13[[#This Row],[PM LO]],IF($K184&gt;=$G184,($K184-$L184)/($K184-Table13[[#This Row],[Prior day close]]),(IF($I184&lt;=$L184,($G184-$I184)/($G184-Table13[[#This Row],[Prior day close]]),(Table13[[#This Row],[PM Hi]]-Table13[[#This Row],[Lowest lo from open to squeeze]])/(Table13[[#This Row],[PM Hi]]-Table13[[#This Row],[Prior day close]])))),IF($K184&gt;=$G184,($K184-$L184)/($K184-Table13[[#This Row],[PM LO]]),(IF($I184&lt;=$L184,($G184-$I184)/($G184-Table13[[#This Row],[PM LO]]),(Table13[[#This Row],[PM Hi]]-Table13[[#This Row],[Lowest lo from open to squeeze]])/(Table13[[#This Row],[PM Hi]]-Table13[[#This Row],[PM LO]])))))</f>
        <v>#DIV/0!</v>
      </c>
      <c r="AQ184" s="18"/>
      <c r="AR184" s="17">
        <f>390+Table13[[#This Row],[Time until ideal entry point (mins) from open]]</f>
        <v>390</v>
      </c>
      <c r="AS184" s="17">
        <f>Table13[[#This Row],[Time until ideal entry + 390 (6:30)]]+Table13[[#This Row],[Duration of frontside (mins)]]</f>
        <v>390</v>
      </c>
    </row>
    <row r="185" spans="1:45" hidden="1" x14ac:dyDescent="0.25">
      <c r="A185" s="24" t="s">
        <v>259</v>
      </c>
      <c r="B185" s="47">
        <v>44055</v>
      </c>
      <c r="C185" s="47" t="s">
        <v>78</v>
      </c>
      <c r="D185" s="46"/>
      <c r="E185" s="12"/>
      <c r="F185" s="13"/>
      <c r="G185" s="12"/>
      <c r="H185" s="12"/>
      <c r="I185" s="12"/>
      <c r="J185" s="12"/>
      <c r="K185" s="12"/>
      <c r="L185" s="12"/>
      <c r="O185" s="13"/>
      <c r="Q185" s="37"/>
      <c r="R185" s="46"/>
      <c r="S185" s="37"/>
      <c r="T185" s="37"/>
      <c r="U185" s="37"/>
      <c r="V185" s="37"/>
      <c r="W185" s="38"/>
      <c r="X185" s="46"/>
      <c r="Y185" s="37"/>
      <c r="Z185" s="46"/>
      <c r="AA185" s="41">
        <f>Table13[[#This Row],[Time until ideal entry + 390 (6:30)]]/(1440)</f>
        <v>0.27083333333333331</v>
      </c>
      <c r="AB185" s="18"/>
      <c r="AC185" s="18" t="e">
        <f>IF(Table13[[#This Row],[HOD AFTER PM HI]]&gt;=Table13[[#This Row],[PM Hi]],((Table13[[#This Row],[HOD AFTER PM HI]]-Table13[[#This Row],[Prior day close]])/Table13[[#This Row],[Prior day close]]),Table13[[#This Row],[Prior Close to PM Hi %]])</f>
        <v>#DIV/0!</v>
      </c>
      <c r="AD185" s="42" t="e">
        <f>(Table13[[#This Row],[Price at hi of squeeze]]-Table13[[#This Row],[MKT Open Price]])/Table13[[#This Row],[MKT Open Price]]</f>
        <v>#DIV/0!</v>
      </c>
      <c r="AE185" s="18" t="e">
        <f>(Table13[[#This Row],[Price at hi of squeeze]]-Table13[[#This Row],[PM Hi]])/Table13[[#This Row],[PM Hi]]</f>
        <v>#DIV/0!</v>
      </c>
      <c r="AF185" s="18"/>
      <c r="AG185" s="20" t="e">
        <f>Table13[[#This Row],[PM VOL]]/1000000/Table13[[#This Row],[FLOAT(M)]]</f>
        <v>#DIV/0!</v>
      </c>
      <c r="AH185" s="23" t="e">
        <f>(Table13[[#This Row],[Volume]]/1000000)/Table13[[#This Row],[FLOAT(M)]]</f>
        <v>#DIV/0!</v>
      </c>
      <c r="AJ185" s="18" t="e">
        <f>(Table13[[#This Row],[PM Hi]]-Table13[[#This Row],[MKT Open Price]])/(Table13[[#This Row],[PM Hi]])</f>
        <v>#DIV/0!</v>
      </c>
      <c r="AK185" s="18" t="e">
        <f>IF(Table13[[#This Row],[PM LO]]&gt;Table13[[#This Row],[Prior day close]],(Table13[[#This Row],[PM Hi]]-Table13[[#This Row],[MKT Open Price]])/(Table13[[#This Row],[PM Hi]]-Table13[[#This Row],[Prior day close]]),(Table13[[#This Row],[PM Hi]]-Table13[[#This Row],[MKT Open Price]])/(Table13[[#This Row],[PM Hi]]-Table13[[#This Row],[PM LO]]))</f>
        <v>#DIV/0!</v>
      </c>
      <c r="AL185" s="48" t="e">
        <f>IF(Table13[[#This Row],[Prior day close]]&lt;Table13[[#This Row],[PM LO]],(J185-L185)/(J185-Table13[[#This Row],[Prior day close]]),(J185-L185)/(J185-Table13[[#This Row],[PM LO]]))</f>
        <v>#DIV/0!</v>
      </c>
      <c r="AM185" s="48">
        <f>Table13[[#This Row],[Spike % on open before drop]]+AN185</f>
        <v>0</v>
      </c>
      <c r="AN185" s="18"/>
      <c r="AO185" s="16"/>
      <c r="AP185" s="48" t="e">
        <f>IF(Table13[[#This Row],[Prior day close]]&lt;=Table13[[#This Row],[PM LO]],IF($K185&gt;=$G185,($K185-$L185)/($K185-Table13[[#This Row],[Prior day close]]),(IF($I185&lt;=$L185,($G185-$I185)/($G185-Table13[[#This Row],[Prior day close]]),(Table13[[#This Row],[PM Hi]]-Table13[[#This Row],[Lowest lo from open to squeeze]])/(Table13[[#This Row],[PM Hi]]-Table13[[#This Row],[Prior day close]])))),IF($K185&gt;=$G185,($K185-$L185)/($K185-Table13[[#This Row],[PM LO]]),(IF($I185&lt;=$L185,($G185-$I185)/($G185-Table13[[#This Row],[PM LO]]),(Table13[[#This Row],[PM Hi]]-Table13[[#This Row],[Lowest lo from open to squeeze]])/(Table13[[#This Row],[PM Hi]]-Table13[[#This Row],[PM LO]])))))</f>
        <v>#DIV/0!</v>
      </c>
      <c r="AQ185" s="18"/>
      <c r="AR185" s="17">
        <f>390+Table13[[#This Row],[Time until ideal entry point (mins) from open]]</f>
        <v>390</v>
      </c>
      <c r="AS185" s="17">
        <f>Table13[[#This Row],[Time until ideal entry + 390 (6:30)]]+Table13[[#This Row],[Duration of frontside (mins)]]</f>
        <v>390</v>
      </c>
    </row>
    <row r="186" spans="1:45" hidden="1" x14ac:dyDescent="0.25">
      <c r="A186" s="24" t="s">
        <v>260</v>
      </c>
      <c r="B186" s="47">
        <v>44060</v>
      </c>
      <c r="C186" s="47" t="s">
        <v>178</v>
      </c>
      <c r="D186" s="46"/>
      <c r="E186" s="12"/>
      <c r="F186" s="13"/>
      <c r="G186" s="12"/>
      <c r="H186" s="12"/>
      <c r="I186" s="12"/>
      <c r="J186" s="12"/>
      <c r="K186" s="12"/>
      <c r="L186" s="12"/>
      <c r="O186" s="13"/>
      <c r="Q186" s="37"/>
      <c r="R186" s="46"/>
      <c r="S186" s="37"/>
      <c r="T186" s="37"/>
      <c r="U186" s="37"/>
      <c r="V186" s="37"/>
      <c r="W186" s="38"/>
      <c r="X186" s="46"/>
      <c r="Y186" s="37"/>
      <c r="Z186" s="46"/>
      <c r="AA186" s="41">
        <f>Table13[[#This Row],[Time until ideal entry + 390 (6:30)]]/(1440)</f>
        <v>0.27083333333333331</v>
      </c>
      <c r="AB186" s="18"/>
      <c r="AC186" s="18" t="e">
        <f>IF(Table13[[#This Row],[HOD AFTER PM HI]]&gt;=Table13[[#This Row],[PM Hi]],((Table13[[#This Row],[HOD AFTER PM HI]]-Table13[[#This Row],[Prior day close]])/Table13[[#This Row],[Prior day close]]),Table13[[#This Row],[Prior Close to PM Hi %]])</f>
        <v>#DIV/0!</v>
      </c>
      <c r="AD186" s="42" t="e">
        <f>(Table13[[#This Row],[Price at hi of squeeze]]-Table13[[#This Row],[MKT Open Price]])/Table13[[#This Row],[MKT Open Price]]</f>
        <v>#DIV/0!</v>
      </c>
      <c r="AE186" s="18" t="e">
        <f>(Table13[[#This Row],[Price at hi of squeeze]]-Table13[[#This Row],[PM Hi]])/Table13[[#This Row],[PM Hi]]</f>
        <v>#DIV/0!</v>
      </c>
      <c r="AF186" s="18"/>
      <c r="AG186" s="20" t="e">
        <f>Table13[[#This Row],[PM VOL]]/1000000/Table13[[#This Row],[FLOAT(M)]]</f>
        <v>#DIV/0!</v>
      </c>
      <c r="AH186" s="23" t="e">
        <f>(Table13[[#This Row],[Volume]]/1000000)/Table13[[#This Row],[FLOAT(M)]]</f>
        <v>#DIV/0!</v>
      </c>
      <c r="AJ186" s="18" t="e">
        <f>(Table13[[#This Row],[PM Hi]]-Table13[[#This Row],[MKT Open Price]])/(Table13[[#This Row],[PM Hi]])</f>
        <v>#DIV/0!</v>
      </c>
      <c r="AK186" s="18" t="e">
        <f>IF(Table13[[#This Row],[PM LO]]&gt;Table13[[#This Row],[Prior day close]],(Table13[[#This Row],[PM Hi]]-Table13[[#This Row],[MKT Open Price]])/(Table13[[#This Row],[PM Hi]]-Table13[[#This Row],[Prior day close]]),(Table13[[#This Row],[PM Hi]]-Table13[[#This Row],[MKT Open Price]])/(Table13[[#This Row],[PM Hi]]-Table13[[#This Row],[PM LO]]))</f>
        <v>#DIV/0!</v>
      </c>
      <c r="AL186" s="48" t="e">
        <f>IF(Table13[[#This Row],[Prior day close]]&lt;Table13[[#This Row],[PM LO]],(J186-L186)/(J186-Table13[[#This Row],[Prior day close]]),(J186-L186)/(J186-Table13[[#This Row],[PM LO]]))</f>
        <v>#DIV/0!</v>
      </c>
      <c r="AM186" s="48">
        <f>Table13[[#This Row],[Spike % on open before drop]]+AN186</f>
        <v>0</v>
      </c>
      <c r="AN186" s="18"/>
      <c r="AO186" s="16"/>
      <c r="AP186" s="48" t="e">
        <f>IF(Table13[[#This Row],[Prior day close]]&lt;=Table13[[#This Row],[PM LO]],IF($K186&gt;=$G186,($K186-$L186)/($K186-Table13[[#This Row],[Prior day close]]),(IF($I186&lt;=$L186,($G186-$I186)/($G186-Table13[[#This Row],[Prior day close]]),(Table13[[#This Row],[PM Hi]]-Table13[[#This Row],[Lowest lo from open to squeeze]])/(Table13[[#This Row],[PM Hi]]-Table13[[#This Row],[Prior day close]])))),IF($K186&gt;=$G186,($K186-$L186)/($K186-Table13[[#This Row],[PM LO]]),(IF($I186&lt;=$L186,($G186-$I186)/($G186-Table13[[#This Row],[PM LO]]),(Table13[[#This Row],[PM Hi]]-Table13[[#This Row],[Lowest lo from open to squeeze]])/(Table13[[#This Row],[PM Hi]]-Table13[[#This Row],[PM LO]])))))</f>
        <v>#DIV/0!</v>
      </c>
      <c r="AQ186" s="18"/>
      <c r="AR186" s="17">
        <f>390+Table13[[#This Row],[Time until ideal entry point (mins) from open]]</f>
        <v>390</v>
      </c>
      <c r="AS186" s="17">
        <f>Table13[[#This Row],[Time until ideal entry + 390 (6:30)]]+Table13[[#This Row],[Duration of frontside (mins)]]</f>
        <v>390</v>
      </c>
    </row>
    <row r="187" spans="1:45" hidden="1" x14ac:dyDescent="0.25">
      <c r="A187" s="24" t="s">
        <v>261</v>
      </c>
      <c r="B187" s="47">
        <v>44062</v>
      </c>
      <c r="C187" s="47" t="s">
        <v>78</v>
      </c>
      <c r="D187" s="46"/>
      <c r="E187" s="12"/>
      <c r="F187" s="13"/>
      <c r="G187" s="12"/>
      <c r="H187" s="12"/>
      <c r="I187" s="12"/>
      <c r="J187" s="12"/>
      <c r="K187" s="12"/>
      <c r="L187" s="12"/>
      <c r="O187" s="13"/>
      <c r="Q187" s="37"/>
      <c r="R187" s="46"/>
      <c r="S187" s="37"/>
      <c r="T187" s="37"/>
      <c r="U187" s="37"/>
      <c r="V187" s="37"/>
      <c r="W187" s="38"/>
      <c r="X187" s="46"/>
      <c r="Y187" s="37"/>
      <c r="Z187" s="46"/>
      <c r="AA187" s="41">
        <f>Table13[[#This Row],[Time until ideal entry + 390 (6:30)]]/(1440)</f>
        <v>0.27083333333333331</v>
      </c>
      <c r="AB187" s="18"/>
      <c r="AC187" s="18" t="e">
        <f>IF(Table13[[#This Row],[HOD AFTER PM HI]]&gt;=Table13[[#This Row],[PM Hi]],((Table13[[#This Row],[HOD AFTER PM HI]]-Table13[[#This Row],[Prior day close]])/Table13[[#This Row],[Prior day close]]),Table13[[#This Row],[Prior Close to PM Hi %]])</f>
        <v>#DIV/0!</v>
      </c>
      <c r="AD187" s="42" t="e">
        <f>(Table13[[#This Row],[Price at hi of squeeze]]-Table13[[#This Row],[MKT Open Price]])/Table13[[#This Row],[MKT Open Price]]</f>
        <v>#DIV/0!</v>
      </c>
      <c r="AE187" s="18" t="e">
        <f>(Table13[[#This Row],[Price at hi of squeeze]]-Table13[[#This Row],[PM Hi]])/Table13[[#This Row],[PM Hi]]</f>
        <v>#DIV/0!</v>
      </c>
      <c r="AF187" s="18"/>
      <c r="AG187" s="20" t="e">
        <f>Table13[[#This Row],[PM VOL]]/1000000/Table13[[#This Row],[FLOAT(M)]]</f>
        <v>#DIV/0!</v>
      </c>
      <c r="AH187" s="23" t="e">
        <f>(Table13[[#This Row],[Volume]]/1000000)/Table13[[#This Row],[FLOAT(M)]]</f>
        <v>#DIV/0!</v>
      </c>
      <c r="AJ187" s="18" t="e">
        <f>(Table13[[#This Row],[PM Hi]]-Table13[[#This Row],[MKT Open Price]])/(Table13[[#This Row],[PM Hi]])</f>
        <v>#DIV/0!</v>
      </c>
      <c r="AK187" s="18" t="e">
        <f>IF(Table13[[#This Row],[PM LO]]&gt;Table13[[#This Row],[Prior day close]],(Table13[[#This Row],[PM Hi]]-Table13[[#This Row],[MKT Open Price]])/(Table13[[#This Row],[PM Hi]]-Table13[[#This Row],[Prior day close]]),(Table13[[#This Row],[PM Hi]]-Table13[[#This Row],[MKT Open Price]])/(Table13[[#This Row],[PM Hi]]-Table13[[#This Row],[PM LO]]))</f>
        <v>#DIV/0!</v>
      </c>
      <c r="AL187" s="48" t="e">
        <f>IF(Table13[[#This Row],[Prior day close]]&lt;Table13[[#This Row],[PM LO]],(J187-L187)/(J187-Table13[[#This Row],[Prior day close]]),(J187-L187)/(J187-Table13[[#This Row],[PM LO]]))</f>
        <v>#DIV/0!</v>
      </c>
      <c r="AM187" s="48">
        <f>Table13[[#This Row],[Spike % on open before drop]]+AN187</f>
        <v>0</v>
      </c>
      <c r="AN187" s="18"/>
      <c r="AO187" s="16"/>
      <c r="AP187" s="48" t="e">
        <f>IF(Table13[[#This Row],[Prior day close]]&lt;=Table13[[#This Row],[PM LO]],IF($K187&gt;=$G187,($K187-$L187)/($K187-Table13[[#This Row],[Prior day close]]),(IF($I187&lt;=$L187,($G187-$I187)/($G187-Table13[[#This Row],[Prior day close]]),(Table13[[#This Row],[PM Hi]]-Table13[[#This Row],[Lowest lo from open to squeeze]])/(Table13[[#This Row],[PM Hi]]-Table13[[#This Row],[Prior day close]])))),IF($K187&gt;=$G187,($K187-$L187)/($K187-Table13[[#This Row],[PM LO]]),(IF($I187&lt;=$L187,($G187-$I187)/($G187-Table13[[#This Row],[PM LO]]),(Table13[[#This Row],[PM Hi]]-Table13[[#This Row],[Lowest lo from open to squeeze]])/(Table13[[#This Row],[PM Hi]]-Table13[[#This Row],[PM LO]])))))</f>
        <v>#DIV/0!</v>
      </c>
      <c r="AQ187" s="18"/>
      <c r="AR187" s="17">
        <f>390+Table13[[#This Row],[Time until ideal entry point (mins) from open]]</f>
        <v>390</v>
      </c>
      <c r="AS187" s="17">
        <f>Table13[[#This Row],[Time until ideal entry + 390 (6:30)]]+Table13[[#This Row],[Duration of frontside (mins)]]</f>
        <v>390</v>
      </c>
    </row>
    <row r="188" spans="1:45" hidden="1" x14ac:dyDescent="0.25">
      <c r="A188" s="24" t="s">
        <v>262</v>
      </c>
      <c r="B188" s="47">
        <v>44063</v>
      </c>
      <c r="C188" s="47" t="s">
        <v>78</v>
      </c>
      <c r="D188" s="46"/>
      <c r="E188" s="12"/>
      <c r="F188" s="13"/>
      <c r="G188" s="12"/>
      <c r="H188" s="12"/>
      <c r="I188" s="12"/>
      <c r="J188" s="12"/>
      <c r="K188" s="12"/>
      <c r="L188" s="12"/>
      <c r="O188" s="13"/>
      <c r="Q188" s="37"/>
      <c r="R188" s="46"/>
      <c r="S188" s="37"/>
      <c r="T188" s="37"/>
      <c r="U188" s="37"/>
      <c r="V188" s="37"/>
      <c r="W188" s="38"/>
      <c r="X188" s="46"/>
      <c r="Y188" s="37"/>
      <c r="Z188" s="46"/>
      <c r="AA188" s="41">
        <f>Table13[[#This Row],[Time until ideal entry + 390 (6:30)]]/(1440)</f>
        <v>0.27083333333333331</v>
      </c>
      <c r="AB188" s="18"/>
      <c r="AC188" s="18" t="e">
        <f>IF(Table13[[#This Row],[HOD AFTER PM HI]]&gt;=Table13[[#This Row],[PM Hi]],((Table13[[#This Row],[HOD AFTER PM HI]]-Table13[[#This Row],[Prior day close]])/Table13[[#This Row],[Prior day close]]),Table13[[#This Row],[Prior Close to PM Hi %]])</f>
        <v>#DIV/0!</v>
      </c>
      <c r="AD188" s="42" t="e">
        <f>(Table13[[#This Row],[Price at hi of squeeze]]-Table13[[#This Row],[MKT Open Price]])/Table13[[#This Row],[MKT Open Price]]</f>
        <v>#DIV/0!</v>
      </c>
      <c r="AE188" s="18" t="e">
        <f>(Table13[[#This Row],[Price at hi of squeeze]]-Table13[[#This Row],[PM Hi]])/Table13[[#This Row],[PM Hi]]</f>
        <v>#DIV/0!</v>
      </c>
      <c r="AF188" s="18"/>
      <c r="AG188" s="20" t="e">
        <f>Table13[[#This Row],[PM VOL]]/1000000/Table13[[#This Row],[FLOAT(M)]]</f>
        <v>#DIV/0!</v>
      </c>
      <c r="AH188" s="23" t="e">
        <f>(Table13[[#This Row],[Volume]]/1000000)/Table13[[#This Row],[FLOAT(M)]]</f>
        <v>#DIV/0!</v>
      </c>
      <c r="AJ188" s="18" t="e">
        <f>(Table13[[#This Row],[PM Hi]]-Table13[[#This Row],[MKT Open Price]])/(Table13[[#This Row],[PM Hi]])</f>
        <v>#DIV/0!</v>
      </c>
      <c r="AK188" s="18" t="e">
        <f>IF(Table13[[#This Row],[PM LO]]&gt;Table13[[#This Row],[Prior day close]],(Table13[[#This Row],[PM Hi]]-Table13[[#This Row],[MKT Open Price]])/(Table13[[#This Row],[PM Hi]]-Table13[[#This Row],[Prior day close]]),(Table13[[#This Row],[PM Hi]]-Table13[[#This Row],[MKT Open Price]])/(Table13[[#This Row],[PM Hi]]-Table13[[#This Row],[PM LO]]))</f>
        <v>#DIV/0!</v>
      </c>
      <c r="AL188" s="48" t="e">
        <f>IF(Table13[[#This Row],[Prior day close]]&lt;Table13[[#This Row],[PM LO]],(J188-L188)/(J188-Table13[[#This Row],[Prior day close]]),(J188-L188)/(J188-Table13[[#This Row],[PM LO]]))</f>
        <v>#DIV/0!</v>
      </c>
      <c r="AM188" s="48">
        <f>Table13[[#This Row],[Spike % on open before drop]]+AN188</f>
        <v>0</v>
      </c>
      <c r="AN188" s="18"/>
      <c r="AO188" s="16"/>
      <c r="AP188" s="48" t="e">
        <f>IF(Table13[[#This Row],[Prior day close]]&lt;=Table13[[#This Row],[PM LO]],IF($K188&gt;=$G188,($K188-$L188)/($K188-Table13[[#This Row],[Prior day close]]),(IF($I188&lt;=$L188,($G188-$I188)/($G188-Table13[[#This Row],[Prior day close]]),(Table13[[#This Row],[PM Hi]]-Table13[[#This Row],[Lowest lo from open to squeeze]])/(Table13[[#This Row],[PM Hi]]-Table13[[#This Row],[Prior day close]])))),IF($K188&gt;=$G188,($K188-$L188)/($K188-Table13[[#This Row],[PM LO]]),(IF($I188&lt;=$L188,($G188-$I188)/($G188-Table13[[#This Row],[PM LO]]),(Table13[[#This Row],[PM Hi]]-Table13[[#This Row],[Lowest lo from open to squeeze]])/(Table13[[#This Row],[PM Hi]]-Table13[[#This Row],[PM LO]])))))</f>
        <v>#DIV/0!</v>
      </c>
      <c r="AQ188" s="18"/>
      <c r="AR188" s="17">
        <f>390+Table13[[#This Row],[Time until ideal entry point (mins) from open]]</f>
        <v>390</v>
      </c>
      <c r="AS188" s="17">
        <f>Table13[[#This Row],[Time until ideal entry + 390 (6:30)]]+Table13[[#This Row],[Duration of frontside (mins)]]</f>
        <v>390</v>
      </c>
    </row>
    <row r="189" spans="1:45" hidden="1" x14ac:dyDescent="0.25">
      <c r="A189" s="24" t="s">
        <v>263</v>
      </c>
      <c r="B189" s="47">
        <v>44069</v>
      </c>
      <c r="C189" s="47" t="s">
        <v>178</v>
      </c>
      <c r="D189" s="46"/>
      <c r="E189" s="12"/>
      <c r="F189" s="13"/>
      <c r="G189" s="12"/>
      <c r="H189" s="12"/>
      <c r="I189" s="12"/>
      <c r="J189" s="12"/>
      <c r="K189" s="12"/>
      <c r="L189" s="12"/>
      <c r="O189" s="13"/>
      <c r="Q189" s="37"/>
      <c r="R189" s="46"/>
      <c r="S189" s="37"/>
      <c r="T189" s="37"/>
      <c r="U189" s="37"/>
      <c r="V189" s="37"/>
      <c r="W189" s="38"/>
      <c r="X189" s="46"/>
      <c r="Y189" s="37"/>
      <c r="Z189" s="46"/>
      <c r="AA189" s="41">
        <f>Table13[[#This Row],[Time until ideal entry + 390 (6:30)]]/(1440)</f>
        <v>0.27083333333333331</v>
      </c>
      <c r="AB189" s="18"/>
      <c r="AC189" s="18" t="e">
        <f>IF(Table13[[#This Row],[HOD AFTER PM HI]]&gt;=Table13[[#This Row],[PM Hi]],((Table13[[#This Row],[HOD AFTER PM HI]]-Table13[[#This Row],[Prior day close]])/Table13[[#This Row],[Prior day close]]),Table13[[#This Row],[Prior Close to PM Hi %]])</f>
        <v>#DIV/0!</v>
      </c>
      <c r="AD189" s="42" t="e">
        <f>(Table13[[#This Row],[Price at hi of squeeze]]-Table13[[#This Row],[MKT Open Price]])/Table13[[#This Row],[MKT Open Price]]</f>
        <v>#DIV/0!</v>
      </c>
      <c r="AE189" s="18" t="e">
        <f>(Table13[[#This Row],[Price at hi of squeeze]]-Table13[[#This Row],[PM Hi]])/Table13[[#This Row],[PM Hi]]</f>
        <v>#DIV/0!</v>
      </c>
      <c r="AF189" s="18"/>
      <c r="AG189" s="20" t="e">
        <f>Table13[[#This Row],[PM VOL]]/1000000/Table13[[#This Row],[FLOAT(M)]]</f>
        <v>#DIV/0!</v>
      </c>
      <c r="AH189" s="23" t="e">
        <f>(Table13[[#This Row],[Volume]]/1000000)/Table13[[#This Row],[FLOAT(M)]]</f>
        <v>#DIV/0!</v>
      </c>
      <c r="AJ189" s="18" t="e">
        <f>(Table13[[#This Row],[PM Hi]]-Table13[[#This Row],[MKT Open Price]])/(Table13[[#This Row],[PM Hi]])</f>
        <v>#DIV/0!</v>
      </c>
      <c r="AK189" s="18" t="e">
        <f>IF(Table13[[#This Row],[PM LO]]&gt;Table13[[#This Row],[Prior day close]],(Table13[[#This Row],[PM Hi]]-Table13[[#This Row],[MKT Open Price]])/(Table13[[#This Row],[PM Hi]]-Table13[[#This Row],[Prior day close]]),(Table13[[#This Row],[PM Hi]]-Table13[[#This Row],[MKT Open Price]])/(Table13[[#This Row],[PM Hi]]-Table13[[#This Row],[PM LO]]))</f>
        <v>#DIV/0!</v>
      </c>
      <c r="AL189" s="48" t="e">
        <f>IF(Table13[[#This Row],[Prior day close]]&lt;Table13[[#This Row],[PM LO]],(J189-L189)/(J189-Table13[[#This Row],[Prior day close]]),(J189-L189)/(J189-Table13[[#This Row],[PM LO]]))</f>
        <v>#DIV/0!</v>
      </c>
      <c r="AM189" s="48">
        <f>Table13[[#This Row],[Spike % on open before drop]]+AN189</f>
        <v>0</v>
      </c>
      <c r="AN189" s="18"/>
      <c r="AO189" s="16"/>
      <c r="AP189" s="48" t="e">
        <f>IF(Table13[[#This Row],[Prior day close]]&lt;=Table13[[#This Row],[PM LO]],IF($K189&gt;=$G189,($K189-$L189)/($K189-Table13[[#This Row],[Prior day close]]),(IF($I189&lt;=$L189,($G189-$I189)/($G189-Table13[[#This Row],[Prior day close]]),(Table13[[#This Row],[PM Hi]]-Table13[[#This Row],[Lowest lo from open to squeeze]])/(Table13[[#This Row],[PM Hi]]-Table13[[#This Row],[Prior day close]])))),IF($K189&gt;=$G189,($K189-$L189)/($K189-Table13[[#This Row],[PM LO]]),(IF($I189&lt;=$L189,($G189-$I189)/($G189-Table13[[#This Row],[PM LO]]),(Table13[[#This Row],[PM Hi]]-Table13[[#This Row],[Lowest lo from open to squeeze]])/(Table13[[#This Row],[PM Hi]]-Table13[[#This Row],[PM LO]])))))</f>
        <v>#DIV/0!</v>
      </c>
      <c r="AQ189" s="18"/>
      <c r="AR189" s="17">
        <f>390+Table13[[#This Row],[Time until ideal entry point (mins) from open]]</f>
        <v>390</v>
      </c>
      <c r="AS189" s="17">
        <f>Table13[[#This Row],[Time until ideal entry + 390 (6:30)]]+Table13[[#This Row],[Duration of frontside (mins)]]</f>
        <v>390</v>
      </c>
    </row>
    <row r="190" spans="1:45" hidden="1" x14ac:dyDescent="0.25">
      <c r="A190" s="24" t="s">
        <v>264</v>
      </c>
      <c r="B190" s="47">
        <v>44070</v>
      </c>
      <c r="C190" s="47" t="s">
        <v>178</v>
      </c>
      <c r="D190" s="46" t="s">
        <v>265</v>
      </c>
      <c r="E190" s="12"/>
      <c r="F190" s="13"/>
      <c r="G190" s="12"/>
      <c r="H190" s="12"/>
      <c r="I190" s="12"/>
      <c r="J190" s="12"/>
      <c r="K190" s="12"/>
      <c r="L190" s="12"/>
      <c r="O190" s="13"/>
      <c r="Q190" s="37"/>
      <c r="R190" s="46"/>
      <c r="S190" s="37"/>
      <c r="T190" s="37"/>
      <c r="U190" s="37"/>
      <c r="V190" s="37"/>
      <c r="W190" s="38"/>
      <c r="X190" s="46"/>
      <c r="Y190" s="37"/>
      <c r="Z190" s="46"/>
      <c r="AA190" s="41">
        <f>Table13[[#This Row],[Time until ideal entry + 390 (6:30)]]/(1440)</f>
        <v>0.27083333333333331</v>
      </c>
      <c r="AB190" s="18"/>
      <c r="AC190" s="18" t="e">
        <f>IF(Table13[[#This Row],[HOD AFTER PM HI]]&gt;=Table13[[#This Row],[PM Hi]],((Table13[[#This Row],[HOD AFTER PM HI]]-Table13[[#This Row],[Prior day close]])/Table13[[#This Row],[Prior day close]]),Table13[[#This Row],[Prior Close to PM Hi %]])</f>
        <v>#DIV/0!</v>
      </c>
      <c r="AD190" s="42" t="e">
        <f>(Table13[[#This Row],[Price at hi of squeeze]]-Table13[[#This Row],[MKT Open Price]])/Table13[[#This Row],[MKT Open Price]]</f>
        <v>#DIV/0!</v>
      </c>
      <c r="AE190" s="18" t="e">
        <f>(Table13[[#This Row],[Price at hi of squeeze]]-Table13[[#This Row],[PM Hi]])/Table13[[#This Row],[PM Hi]]</f>
        <v>#DIV/0!</v>
      </c>
      <c r="AF190" s="18"/>
      <c r="AG190" s="20" t="e">
        <f>Table13[[#This Row],[PM VOL]]/1000000/Table13[[#This Row],[FLOAT(M)]]</f>
        <v>#DIV/0!</v>
      </c>
      <c r="AH190" s="23" t="e">
        <f>(Table13[[#This Row],[Volume]]/1000000)/Table13[[#This Row],[FLOAT(M)]]</f>
        <v>#DIV/0!</v>
      </c>
      <c r="AJ190" s="18" t="e">
        <f>(Table13[[#This Row],[PM Hi]]-Table13[[#This Row],[MKT Open Price]])/(Table13[[#This Row],[PM Hi]])</f>
        <v>#DIV/0!</v>
      </c>
      <c r="AK190" s="18" t="e">
        <f>IF(Table13[[#This Row],[PM LO]]&gt;Table13[[#This Row],[Prior day close]],(Table13[[#This Row],[PM Hi]]-Table13[[#This Row],[MKT Open Price]])/(Table13[[#This Row],[PM Hi]]-Table13[[#This Row],[Prior day close]]),(Table13[[#This Row],[PM Hi]]-Table13[[#This Row],[MKT Open Price]])/(Table13[[#This Row],[PM Hi]]-Table13[[#This Row],[PM LO]]))</f>
        <v>#DIV/0!</v>
      </c>
      <c r="AL190" s="48" t="e">
        <f>IF(Table13[[#This Row],[Prior day close]]&lt;Table13[[#This Row],[PM LO]],(J190-L190)/(J190-Table13[[#This Row],[Prior day close]]),(J190-L190)/(J190-Table13[[#This Row],[PM LO]]))</f>
        <v>#DIV/0!</v>
      </c>
      <c r="AM190" s="48">
        <f>Table13[[#This Row],[Spike % on open before drop]]+AN190</f>
        <v>0</v>
      </c>
      <c r="AN190" s="18"/>
      <c r="AO190" s="16"/>
      <c r="AP190" s="48" t="e">
        <f>IF(Table13[[#This Row],[Prior day close]]&lt;=Table13[[#This Row],[PM LO]],IF($K190&gt;=$G190,($K190-$L190)/($K190-Table13[[#This Row],[Prior day close]]),(IF($I190&lt;=$L190,($G190-$I190)/($G190-Table13[[#This Row],[Prior day close]]),(Table13[[#This Row],[PM Hi]]-Table13[[#This Row],[Lowest lo from open to squeeze]])/(Table13[[#This Row],[PM Hi]]-Table13[[#This Row],[Prior day close]])))),IF($K190&gt;=$G190,($K190-$L190)/($K190-Table13[[#This Row],[PM LO]]),(IF($I190&lt;=$L190,($G190-$I190)/($G190-Table13[[#This Row],[PM LO]]),(Table13[[#This Row],[PM Hi]]-Table13[[#This Row],[Lowest lo from open to squeeze]])/(Table13[[#This Row],[PM Hi]]-Table13[[#This Row],[PM LO]])))))</f>
        <v>#DIV/0!</v>
      </c>
      <c r="AQ190" s="18"/>
      <c r="AR190" s="17">
        <f>390+Table13[[#This Row],[Time until ideal entry point (mins) from open]]</f>
        <v>390</v>
      </c>
      <c r="AS190" s="17">
        <f>Table13[[#This Row],[Time until ideal entry + 390 (6:30)]]+Table13[[#This Row],[Duration of frontside (mins)]]</f>
        <v>390</v>
      </c>
    </row>
    <row r="191" spans="1:45" hidden="1" x14ac:dyDescent="0.25">
      <c r="A191" s="24" t="s">
        <v>266</v>
      </c>
      <c r="B191" s="47">
        <v>44071</v>
      </c>
      <c r="C191" s="47" t="s">
        <v>178</v>
      </c>
      <c r="D191" s="46"/>
      <c r="E191" s="12"/>
      <c r="F191" s="13"/>
      <c r="G191" s="12"/>
      <c r="H191" s="12"/>
      <c r="I191" s="12"/>
      <c r="J191" s="12"/>
      <c r="K191" s="12"/>
      <c r="L191" s="12"/>
      <c r="O191" s="13"/>
      <c r="Q191" s="37"/>
      <c r="R191" s="46"/>
      <c r="S191" s="37"/>
      <c r="T191" s="37"/>
      <c r="U191" s="37"/>
      <c r="V191" s="37"/>
      <c r="W191" s="38"/>
      <c r="X191" s="46"/>
      <c r="Y191" s="37"/>
      <c r="Z191" s="46"/>
      <c r="AA191" s="41">
        <f>Table13[[#This Row],[Time until ideal entry + 390 (6:30)]]/(1440)</f>
        <v>0.27083333333333331</v>
      </c>
      <c r="AB191" s="18"/>
      <c r="AC191" s="18" t="e">
        <f>IF(Table13[[#This Row],[HOD AFTER PM HI]]&gt;=Table13[[#This Row],[PM Hi]],((Table13[[#This Row],[HOD AFTER PM HI]]-Table13[[#This Row],[Prior day close]])/Table13[[#This Row],[Prior day close]]),Table13[[#This Row],[Prior Close to PM Hi %]])</f>
        <v>#DIV/0!</v>
      </c>
      <c r="AD191" s="42" t="e">
        <f>(Table13[[#This Row],[Price at hi of squeeze]]-Table13[[#This Row],[MKT Open Price]])/Table13[[#This Row],[MKT Open Price]]</f>
        <v>#DIV/0!</v>
      </c>
      <c r="AE191" s="18" t="e">
        <f>(Table13[[#This Row],[Price at hi of squeeze]]-Table13[[#This Row],[PM Hi]])/Table13[[#This Row],[PM Hi]]</f>
        <v>#DIV/0!</v>
      </c>
      <c r="AF191" s="18"/>
      <c r="AG191" s="20" t="e">
        <f>Table13[[#This Row],[PM VOL]]/1000000/Table13[[#This Row],[FLOAT(M)]]</f>
        <v>#DIV/0!</v>
      </c>
      <c r="AH191" s="23" t="e">
        <f>(Table13[[#This Row],[Volume]]/1000000)/Table13[[#This Row],[FLOAT(M)]]</f>
        <v>#DIV/0!</v>
      </c>
      <c r="AJ191" s="18" t="e">
        <f>(Table13[[#This Row],[PM Hi]]-Table13[[#This Row],[MKT Open Price]])/(Table13[[#This Row],[PM Hi]])</f>
        <v>#DIV/0!</v>
      </c>
      <c r="AK191" s="18" t="e">
        <f>IF(Table13[[#This Row],[PM LO]]&gt;Table13[[#This Row],[Prior day close]],(Table13[[#This Row],[PM Hi]]-Table13[[#This Row],[MKT Open Price]])/(Table13[[#This Row],[PM Hi]]-Table13[[#This Row],[Prior day close]]),(Table13[[#This Row],[PM Hi]]-Table13[[#This Row],[MKT Open Price]])/(Table13[[#This Row],[PM Hi]]-Table13[[#This Row],[PM LO]]))</f>
        <v>#DIV/0!</v>
      </c>
      <c r="AL191" s="48" t="e">
        <f>IF(Table13[[#This Row],[Prior day close]]&lt;Table13[[#This Row],[PM LO]],(J191-L191)/(J191-Table13[[#This Row],[Prior day close]]),(J191-L191)/(J191-Table13[[#This Row],[PM LO]]))</f>
        <v>#DIV/0!</v>
      </c>
      <c r="AM191" s="48">
        <f>Table13[[#This Row],[Spike % on open before drop]]+AN191</f>
        <v>0</v>
      </c>
      <c r="AN191" s="18"/>
      <c r="AO191" s="16"/>
      <c r="AP191" s="48" t="e">
        <f>IF(Table13[[#This Row],[Prior day close]]&lt;=Table13[[#This Row],[PM LO]],IF($K191&gt;=$G191,($K191-$L191)/($K191-Table13[[#This Row],[Prior day close]]),(IF($I191&lt;=$L191,($G191-$I191)/($G191-Table13[[#This Row],[Prior day close]]),(Table13[[#This Row],[PM Hi]]-Table13[[#This Row],[Lowest lo from open to squeeze]])/(Table13[[#This Row],[PM Hi]]-Table13[[#This Row],[Prior day close]])))),IF($K191&gt;=$G191,($K191-$L191)/($K191-Table13[[#This Row],[PM LO]]),(IF($I191&lt;=$L191,($G191-$I191)/($G191-Table13[[#This Row],[PM LO]]),(Table13[[#This Row],[PM Hi]]-Table13[[#This Row],[Lowest lo from open to squeeze]])/(Table13[[#This Row],[PM Hi]]-Table13[[#This Row],[PM LO]])))))</f>
        <v>#DIV/0!</v>
      </c>
      <c r="AQ191" s="18"/>
      <c r="AR191" s="17">
        <f>390+Table13[[#This Row],[Time until ideal entry point (mins) from open]]</f>
        <v>390</v>
      </c>
      <c r="AS191" s="17">
        <f>Table13[[#This Row],[Time until ideal entry + 390 (6:30)]]+Table13[[#This Row],[Duration of frontside (mins)]]</f>
        <v>390</v>
      </c>
    </row>
    <row r="192" spans="1:45" hidden="1" x14ac:dyDescent="0.25">
      <c r="A192" s="24" t="s">
        <v>267</v>
      </c>
      <c r="B192" s="47">
        <v>44077</v>
      </c>
      <c r="C192" s="47" t="s">
        <v>78</v>
      </c>
      <c r="D192" s="46"/>
      <c r="E192" s="12"/>
      <c r="F192" s="13"/>
      <c r="G192" s="12"/>
      <c r="H192" s="12"/>
      <c r="I192" s="12"/>
      <c r="J192" s="12"/>
      <c r="K192" s="12"/>
      <c r="L192" s="12"/>
      <c r="O192" s="13"/>
      <c r="Q192" s="37"/>
      <c r="R192" s="46"/>
      <c r="S192" s="37"/>
      <c r="T192" s="37"/>
      <c r="U192" s="37"/>
      <c r="V192" s="37"/>
      <c r="W192" s="38"/>
      <c r="X192" s="46"/>
      <c r="Y192" s="37"/>
      <c r="Z192" s="46"/>
      <c r="AA192" s="41">
        <f>Table13[[#This Row],[Time until ideal entry + 390 (6:30)]]/(1440)</f>
        <v>0.27083333333333331</v>
      </c>
      <c r="AB192" s="18"/>
      <c r="AC192" s="18" t="e">
        <f>IF(Table13[[#This Row],[HOD AFTER PM HI]]&gt;=Table13[[#This Row],[PM Hi]],((Table13[[#This Row],[HOD AFTER PM HI]]-Table13[[#This Row],[Prior day close]])/Table13[[#This Row],[Prior day close]]),Table13[[#This Row],[Prior Close to PM Hi %]])</f>
        <v>#DIV/0!</v>
      </c>
      <c r="AD192" s="42" t="e">
        <f>(Table13[[#This Row],[Price at hi of squeeze]]-Table13[[#This Row],[MKT Open Price]])/Table13[[#This Row],[MKT Open Price]]</f>
        <v>#DIV/0!</v>
      </c>
      <c r="AE192" s="18" t="e">
        <f>(Table13[[#This Row],[Price at hi of squeeze]]-Table13[[#This Row],[PM Hi]])/Table13[[#This Row],[PM Hi]]</f>
        <v>#DIV/0!</v>
      </c>
      <c r="AF192" s="18"/>
      <c r="AG192" s="20" t="e">
        <f>Table13[[#This Row],[PM VOL]]/1000000/Table13[[#This Row],[FLOAT(M)]]</f>
        <v>#DIV/0!</v>
      </c>
      <c r="AH192" s="23" t="e">
        <f>(Table13[[#This Row],[Volume]]/1000000)/Table13[[#This Row],[FLOAT(M)]]</f>
        <v>#DIV/0!</v>
      </c>
      <c r="AJ192" s="18" t="e">
        <f>(Table13[[#This Row],[PM Hi]]-Table13[[#This Row],[MKT Open Price]])/(Table13[[#This Row],[PM Hi]])</f>
        <v>#DIV/0!</v>
      </c>
      <c r="AK192" s="18" t="e">
        <f>IF(Table13[[#This Row],[PM LO]]&gt;Table13[[#This Row],[Prior day close]],(Table13[[#This Row],[PM Hi]]-Table13[[#This Row],[MKT Open Price]])/(Table13[[#This Row],[PM Hi]]-Table13[[#This Row],[Prior day close]]),(Table13[[#This Row],[PM Hi]]-Table13[[#This Row],[MKT Open Price]])/(Table13[[#This Row],[PM Hi]]-Table13[[#This Row],[PM LO]]))</f>
        <v>#DIV/0!</v>
      </c>
      <c r="AL192" s="48" t="e">
        <f>IF(Table13[[#This Row],[Prior day close]]&lt;Table13[[#This Row],[PM LO]],(J192-L192)/(J192-Table13[[#This Row],[Prior day close]]),(J192-L192)/(J192-Table13[[#This Row],[PM LO]]))</f>
        <v>#DIV/0!</v>
      </c>
      <c r="AM192" s="48">
        <f>Table13[[#This Row],[Spike % on open before drop]]+AN192</f>
        <v>0</v>
      </c>
      <c r="AN192" s="18"/>
      <c r="AO192" s="16"/>
      <c r="AP192" s="48" t="e">
        <f>IF(Table13[[#This Row],[Prior day close]]&lt;=Table13[[#This Row],[PM LO]],IF($K192&gt;=$G192,($K192-$L192)/($K192-Table13[[#This Row],[Prior day close]]),(IF($I192&lt;=$L192,($G192-$I192)/($G192-Table13[[#This Row],[Prior day close]]),(Table13[[#This Row],[PM Hi]]-Table13[[#This Row],[Lowest lo from open to squeeze]])/(Table13[[#This Row],[PM Hi]]-Table13[[#This Row],[Prior day close]])))),IF($K192&gt;=$G192,($K192-$L192)/($K192-Table13[[#This Row],[PM LO]]),(IF($I192&lt;=$L192,($G192-$I192)/($G192-Table13[[#This Row],[PM LO]]),(Table13[[#This Row],[PM Hi]]-Table13[[#This Row],[Lowest lo from open to squeeze]])/(Table13[[#This Row],[PM Hi]]-Table13[[#This Row],[PM LO]])))))</f>
        <v>#DIV/0!</v>
      </c>
      <c r="AQ192" s="18"/>
      <c r="AR192" s="17">
        <f>390+Table13[[#This Row],[Time until ideal entry point (mins) from open]]</f>
        <v>390</v>
      </c>
      <c r="AS192" s="17">
        <f>Table13[[#This Row],[Time until ideal entry + 390 (6:30)]]+Table13[[#This Row],[Duration of frontside (mins)]]</f>
        <v>390</v>
      </c>
    </row>
    <row r="193" spans="1:45" hidden="1" x14ac:dyDescent="0.25">
      <c r="A193" s="24" t="s">
        <v>69</v>
      </c>
      <c r="B193" s="47">
        <v>44078</v>
      </c>
      <c r="C193" s="47" t="s">
        <v>178</v>
      </c>
      <c r="D193" s="46"/>
      <c r="E193" s="12"/>
      <c r="F193" s="13"/>
      <c r="G193" s="12"/>
      <c r="H193" s="12"/>
      <c r="I193" s="12"/>
      <c r="J193" s="12"/>
      <c r="K193" s="12"/>
      <c r="L193" s="12"/>
      <c r="O193" s="13"/>
      <c r="Q193" s="37"/>
      <c r="R193" s="46"/>
      <c r="S193" s="37"/>
      <c r="T193" s="37"/>
      <c r="U193" s="37"/>
      <c r="V193" s="37"/>
      <c r="W193" s="38"/>
      <c r="X193" s="46"/>
      <c r="Y193" s="37"/>
      <c r="Z193" s="46"/>
      <c r="AA193" s="41">
        <f>Table13[[#This Row],[Time until ideal entry + 390 (6:30)]]/(1440)</f>
        <v>0.27083333333333331</v>
      </c>
      <c r="AB193" s="18"/>
      <c r="AC193" s="18" t="e">
        <f>IF(Table13[[#This Row],[HOD AFTER PM HI]]&gt;=Table13[[#This Row],[PM Hi]],((Table13[[#This Row],[HOD AFTER PM HI]]-Table13[[#This Row],[Prior day close]])/Table13[[#This Row],[Prior day close]]),Table13[[#This Row],[Prior Close to PM Hi %]])</f>
        <v>#DIV/0!</v>
      </c>
      <c r="AD193" s="42" t="e">
        <f>(Table13[[#This Row],[Price at hi of squeeze]]-Table13[[#This Row],[MKT Open Price]])/Table13[[#This Row],[MKT Open Price]]</f>
        <v>#DIV/0!</v>
      </c>
      <c r="AE193" s="18" t="e">
        <f>(Table13[[#This Row],[Price at hi of squeeze]]-Table13[[#This Row],[PM Hi]])/Table13[[#This Row],[PM Hi]]</f>
        <v>#DIV/0!</v>
      </c>
      <c r="AF193" s="18"/>
      <c r="AG193" s="20" t="e">
        <f>Table13[[#This Row],[PM VOL]]/1000000/Table13[[#This Row],[FLOAT(M)]]</f>
        <v>#DIV/0!</v>
      </c>
      <c r="AH193" s="23" t="e">
        <f>(Table13[[#This Row],[Volume]]/1000000)/Table13[[#This Row],[FLOAT(M)]]</f>
        <v>#DIV/0!</v>
      </c>
      <c r="AJ193" s="18" t="e">
        <f>(Table13[[#This Row],[PM Hi]]-Table13[[#This Row],[MKT Open Price]])/(Table13[[#This Row],[PM Hi]])</f>
        <v>#DIV/0!</v>
      </c>
      <c r="AK193" s="18" t="e">
        <f>IF(Table13[[#This Row],[PM LO]]&gt;Table13[[#This Row],[Prior day close]],(Table13[[#This Row],[PM Hi]]-Table13[[#This Row],[MKT Open Price]])/(Table13[[#This Row],[PM Hi]]-Table13[[#This Row],[Prior day close]]),(Table13[[#This Row],[PM Hi]]-Table13[[#This Row],[MKT Open Price]])/(Table13[[#This Row],[PM Hi]]-Table13[[#This Row],[PM LO]]))</f>
        <v>#DIV/0!</v>
      </c>
      <c r="AL193" s="48" t="e">
        <f>IF(Table13[[#This Row],[Prior day close]]&lt;Table13[[#This Row],[PM LO]],(J193-L193)/(J193-Table13[[#This Row],[Prior day close]]),(J193-L193)/(J193-Table13[[#This Row],[PM LO]]))</f>
        <v>#DIV/0!</v>
      </c>
      <c r="AM193" s="48">
        <f>Table13[[#This Row],[Spike % on open before drop]]+AN193</f>
        <v>0</v>
      </c>
      <c r="AN193" s="18"/>
      <c r="AO193" s="16"/>
      <c r="AP193" s="48" t="e">
        <f>IF(Table13[[#This Row],[Prior day close]]&lt;=Table13[[#This Row],[PM LO]],IF($K193&gt;=$G193,($K193-$L193)/($K193-Table13[[#This Row],[Prior day close]]),(IF($I193&lt;=$L193,($G193-$I193)/($G193-Table13[[#This Row],[Prior day close]]),(Table13[[#This Row],[PM Hi]]-Table13[[#This Row],[Lowest lo from open to squeeze]])/(Table13[[#This Row],[PM Hi]]-Table13[[#This Row],[Prior day close]])))),IF($K193&gt;=$G193,($K193-$L193)/($K193-Table13[[#This Row],[PM LO]]),(IF($I193&lt;=$L193,($G193-$I193)/($G193-Table13[[#This Row],[PM LO]]),(Table13[[#This Row],[PM Hi]]-Table13[[#This Row],[Lowest lo from open to squeeze]])/(Table13[[#This Row],[PM Hi]]-Table13[[#This Row],[PM LO]])))))</f>
        <v>#DIV/0!</v>
      </c>
      <c r="AQ193" s="18"/>
      <c r="AR193" s="17">
        <f>390+Table13[[#This Row],[Time until ideal entry point (mins) from open]]</f>
        <v>390</v>
      </c>
      <c r="AS193" s="17">
        <f>Table13[[#This Row],[Time until ideal entry + 390 (6:30)]]+Table13[[#This Row],[Duration of frontside (mins)]]</f>
        <v>390</v>
      </c>
    </row>
    <row r="194" spans="1:45" hidden="1" x14ac:dyDescent="0.25">
      <c r="A194" s="24" t="s">
        <v>75</v>
      </c>
      <c r="B194" s="47">
        <v>44084</v>
      </c>
      <c r="C194" s="47" t="s">
        <v>78</v>
      </c>
      <c r="D194" s="46"/>
      <c r="E194" s="12"/>
      <c r="F194" s="13"/>
      <c r="G194" s="12"/>
      <c r="H194" s="12"/>
      <c r="I194" s="12"/>
      <c r="J194" s="12"/>
      <c r="K194" s="12"/>
      <c r="L194" s="12"/>
      <c r="O194" s="13"/>
      <c r="Q194" s="37"/>
      <c r="R194" s="46"/>
      <c r="S194" s="37"/>
      <c r="T194" s="37"/>
      <c r="U194" s="37"/>
      <c r="V194" s="37"/>
      <c r="W194" s="38"/>
      <c r="X194" s="46"/>
      <c r="Y194" s="37"/>
      <c r="Z194" s="46"/>
      <c r="AA194" s="41">
        <f>Table13[[#This Row],[Time until ideal entry + 390 (6:30)]]/(1440)</f>
        <v>0.27083333333333331</v>
      </c>
      <c r="AB194" s="18"/>
      <c r="AC194" s="18" t="e">
        <f>IF(Table13[[#This Row],[HOD AFTER PM HI]]&gt;=Table13[[#This Row],[PM Hi]],((Table13[[#This Row],[HOD AFTER PM HI]]-Table13[[#This Row],[Prior day close]])/Table13[[#This Row],[Prior day close]]),Table13[[#This Row],[Prior Close to PM Hi %]])</f>
        <v>#DIV/0!</v>
      </c>
      <c r="AD194" s="42" t="e">
        <f>(Table13[[#This Row],[Price at hi of squeeze]]-Table13[[#This Row],[MKT Open Price]])/Table13[[#This Row],[MKT Open Price]]</f>
        <v>#DIV/0!</v>
      </c>
      <c r="AE194" s="18" t="e">
        <f>(Table13[[#This Row],[Price at hi of squeeze]]-Table13[[#This Row],[PM Hi]])/Table13[[#This Row],[PM Hi]]</f>
        <v>#DIV/0!</v>
      </c>
      <c r="AF194" s="18"/>
      <c r="AG194" s="20" t="e">
        <f>Table13[[#This Row],[PM VOL]]/1000000/Table13[[#This Row],[FLOAT(M)]]</f>
        <v>#DIV/0!</v>
      </c>
      <c r="AH194" s="23" t="e">
        <f>(Table13[[#This Row],[Volume]]/1000000)/Table13[[#This Row],[FLOAT(M)]]</f>
        <v>#DIV/0!</v>
      </c>
      <c r="AJ194" s="18" t="e">
        <f>(Table13[[#This Row],[PM Hi]]-Table13[[#This Row],[MKT Open Price]])/(Table13[[#This Row],[PM Hi]])</f>
        <v>#DIV/0!</v>
      </c>
      <c r="AK194" s="18" t="e">
        <f>IF(Table13[[#This Row],[PM LO]]&gt;Table13[[#This Row],[Prior day close]],(Table13[[#This Row],[PM Hi]]-Table13[[#This Row],[MKT Open Price]])/(Table13[[#This Row],[PM Hi]]-Table13[[#This Row],[Prior day close]]),(Table13[[#This Row],[PM Hi]]-Table13[[#This Row],[MKT Open Price]])/(Table13[[#This Row],[PM Hi]]-Table13[[#This Row],[PM LO]]))</f>
        <v>#DIV/0!</v>
      </c>
      <c r="AL194" s="48" t="e">
        <f>IF(Table13[[#This Row],[Prior day close]]&lt;Table13[[#This Row],[PM LO]],(J194-L194)/(J194-Table13[[#This Row],[Prior day close]]),(J194-L194)/(J194-Table13[[#This Row],[PM LO]]))</f>
        <v>#DIV/0!</v>
      </c>
      <c r="AM194" s="48">
        <f>Table13[[#This Row],[Spike % on open before drop]]+AN194</f>
        <v>0</v>
      </c>
      <c r="AN194" s="18"/>
      <c r="AO194" s="16"/>
      <c r="AP194" s="48" t="e">
        <f>IF(Table13[[#This Row],[Prior day close]]&lt;=Table13[[#This Row],[PM LO]],IF($K194&gt;=$G194,($K194-$L194)/($K194-Table13[[#This Row],[Prior day close]]),(IF($I194&lt;=$L194,($G194-$I194)/($G194-Table13[[#This Row],[Prior day close]]),(Table13[[#This Row],[PM Hi]]-Table13[[#This Row],[Lowest lo from open to squeeze]])/(Table13[[#This Row],[PM Hi]]-Table13[[#This Row],[Prior day close]])))),IF($K194&gt;=$G194,($K194-$L194)/($K194-Table13[[#This Row],[PM LO]]),(IF($I194&lt;=$L194,($G194-$I194)/($G194-Table13[[#This Row],[PM LO]]),(Table13[[#This Row],[PM Hi]]-Table13[[#This Row],[Lowest lo from open to squeeze]])/(Table13[[#This Row],[PM Hi]]-Table13[[#This Row],[PM LO]])))))</f>
        <v>#DIV/0!</v>
      </c>
      <c r="AQ194" s="18"/>
      <c r="AR194" s="17">
        <f>390+Table13[[#This Row],[Time until ideal entry point (mins) from open]]</f>
        <v>390</v>
      </c>
      <c r="AS194" s="17">
        <f>Table13[[#This Row],[Time until ideal entry + 390 (6:30)]]+Table13[[#This Row],[Duration of frontside (mins)]]</f>
        <v>390</v>
      </c>
    </row>
    <row r="195" spans="1:45" hidden="1" x14ac:dyDescent="0.25">
      <c r="A195" s="24" t="s">
        <v>268</v>
      </c>
      <c r="B195" s="47">
        <v>44085</v>
      </c>
      <c r="C195" s="47" t="s">
        <v>78</v>
      </c>
      <c r="D195" s="46"/>
      <c r="E195" s="12"/>
      <c r="F195" s="13"/>
      <c r="G195" s="12"/>
      <c r="H195" s="12"/>
      <c r="I195" s="12"/>
      <c r="J195" s="12"/>
      <c r="K195" s="12"/>
      <c r="L195" s="12"/>
      <c r="O195" s="13"/>
      <c r="Q195" s="37"/>
      <c r="R195" s="46"/>
      <c r="S195" s="37"/>
      <c r="T195" s="37"/>
      <c r="U195" s="37"/>
      <c r="V195" s="37"/>
      <c r="W195" s="38"/>
      <c r="X195" s="46"/>
      <c r="Y195" s="37"/>
      <c r="Z195" s="46"/>
      <c r="AA195" s="41">
        <f>Table13[[#This Row],[Time until ideal entry + 390 (6:30)]]/(1440)</f>
        <v>0.27083333333333331</v>
      </c>
      <c r="AB195" s="18"/>
      <c r="AC195" s="18" t="e">
        <f>IF(Table13[[#This Row],[HOD AFTER PM HI]]&gt;=Table13[[#This Row],[PM Hi]],((Table13[[#This Row],[HOD AFTER PM HI]]-Table13[[#This Row],[Prior day close]])/Table13[[#This Row],[Prior day close]]),Table13[[#This Row],[Prior Close to PM Hi %]])</f>
        <v>#DIV/0!</v>
      </c>
      <c r="AD195" s="42" t="e">
        <f>(Table13[[#This Row],[Price at hi of squeeze]]-Table13[[#This Row],[MKT Open Price]])/Table13[[#This Row],[MKT Open Price]]</f>
        <v>#DIV/0!</v>
      </c>
      <c r="AE195" s="18" t="e">
        <f>(Table13[[#This Row],[Price at hi of squeeze]]-Table13[[#This Row],[PM Hi]])/Table13[[#This Row],[PM Hi]]</f>
        <v>#DIV/0!</v>
      </c>
      <c r="AF195" s="18"/>
      <c r="AG195" s="20" t="e">
        <f>Table13[[#This Row],[PM VOL]]/1000000/Table13[[#This Row],[FLOAT(M)]]</f>
        <v>#DIV/0!</v>
      </c>
      <c r="AH195" s="23" t="e">
        <f>(Table13[[#This Row],[Volume]]/1000000)/Table13[[#This Row],[FLOAT(M)]]</f>
        <v>#DIV/0!</v>
      </c>
      <c r="AJ195" s="18" t="e">
        <f>(Table13[[#This Row],[PM Hi]]-Table13[[#This Row],[MKT Open Price]])/(Table13[[#This Row],[PM Hi]])</f>
        <v>#DIV/0!</v>
      </c>
      <c r="AK195" s="18" t="e">
        <f>IF(Table13[[#This Row],[PM LO]]&gt;Table13[[#This Row],[Prior day close]],(Table13[[#This Row],[PM Hi]]-Table13[[#This Row],[MKT Open Price]])/(Table13[[#This Row],[PM Hi]]-Table13[[#This Row],[Prior day close]]),(Table13[[#This Row],[PM Hi]]-Table13[[#This Row],[MKT Open Price]])/(Table13[[#This Row],[PM Hi]]-Table13[[#This Row],[PM LO]]))</f>
        <v>#DIV/0!</v>
      </c>
      <c r="AL195" s="48" t="e">
        <f>IF(Table13[[#This Row],[Prior day close]]&lt;Table13[[#This Row],[PM LO]],(J195-L195)/(J195-Table13[[#This Row],[Prior day close]]),(J195-L195)/(J195-Table13[[#This Row],[PM LO]]))</f>
        <v>#DIV/0!</v>
      </c>
      <c r="AM195" s="48">
        <f>Table13[[#This Row],[Spike % on open before drop]]+AN195</f>
        <v>0</v>
      </c>
      <c r="AN195" s="18"/>
      <c r="AO195" s="16"/>
      <c r="AP195" s="48" t="e">
        <f>IF(Table13[[#This Row],[Prior day close]]&lt;=Table13[[#This Row],[PM LO]],IF($K195&gt;=$G195,($K195-$L195)/($K195-Table13[[#This Row],[Prior day close]]),(IF($I195&lt;=$L195,($G195-$I195)/($G195-Table13[[#This Row],[Prior day close]]),(Table13[[#This Row],[PM Hi]]-Table13[[#This Row],[Lowest lo from open to squeeze]])/(Table13[[#This Row],[PM Hi]]-Table13[[#This Row],[Prior day close]])))),IF($K195&gt;=$G195,($K195-$L195)/($K195-Table13[[#This Row],[PM LO]]),(IF($I195&lt;=$L195,($G195-$I195)/($G195-Table13[[#This Row],[PM LO]]),(Table13[[#This Row],[PM Hi]]-Table13[[#This Row],[Lowest lo from open to squeeze]])/(Table13[[#This Row],[PM Hi]]-Table13[[#This Row],[PM LO]])))))</f>
        <v>#DIV/0!</v>
      </c>
      <c r="AQ195" s="18"/>
      <c r="AR195" s="17">
        <f>390+Table13[[#This Row],[Time until ideal entry point (mins) from open]]</f>
        <v>390</v>
      </c>
      <c r="AS195" s="17">
        <f>Table13[[#This Row],[Time until ideal entry + 390 (6:30)]]+Table13[[#This Row],[Duration of frontside (mins)]]</f>
        <v>390</v>
      </c>
    </row>
    <row r="196" spans="1:45" hidden="1" x14ac:dyDescent="0.25">
      <c r="A196" s="24" t="s">
        <v>269</v>
      </c>
      <c r="B196" s="47">
        <v>44092</v>
      </c>
      <c r="C196" s="47" t="s">
        <v>78</v>
      </c>
      <c r="D196" s="46"/>
      <c r="E196" s="12"/>
      <c r="F196" s="13"/>
      <c r="G196" s="12"/>
      <c r="H196" s="12"/>
      <c r="I196" s="12"/>
      <c r="J196" s="12"/>
      <c r="K196" s="12"/>
      <c r="L196" s="12"/>
      <c r="O196" s="13"/>
      <c r="Q196" s="37"/>
      <c r="R196" s="46"/>
      <c r="S196" s="37"/>
      <c r="T196" s="37"/>
      <c r="U196" s="37"/>
      <c r="V196" s="37"/>
      <c r="W196" s="38"/>
      <c r="X196" s="46"/>
      <c r="Y196" s="37"/>
      <c r="Z196" s="46"/>
      <c r="AA196" s="41">
        <f>Table13[[#This Row],[Time until ideal entry + 390 (6:30)]]/(1440)</f>
        <v>0.27083333333333331</v>
      </c>
      <c r="AB196" s="18"/>
      <c r="AC196" s="18" t="e">
        <f>IF(Table13[[#This Row],[HOD AFTER PM HI]]&gt;=Table13[[#This Row],[PM Hi]],((Table13[[#This Row],[HOD AFTER PM HI]]-Table13[[#This Row],[Prior day close]])/Table13[[#This Row],[Prior day close]]),Table13[[#This Row],[Prior Close to PM Hi %]])</f>
        <v>#DIV/0!</v>
      </c>
      <c r="AD196" s="42" t="e">
        <f>(Table13[[#This Row],[Price at hi of squeeze]]-Table13[[#This Row],[MKT Open Price]])/Table13[[#This Row],[MKT Open Price]]</f>
        <v>#DIV/0!</v>
      </c>
      <c r="AE196" s="18" t="e">
        <f>(Table13[[#This Row],[Price at hi of squeeze]]-Table13[[#This Row],[PM Hi]])/Table13[[#This Row],[PM Hi]]</f>
        <v>#DIV/0!</v>
      </c>
      <c r="AF196" s="18"/>
      <c r="AG196" s="20" t="e">
        <f>Table13[[#This Row],[PM VOL]]/1000000/Table13[[#This Row],[FLOAT(M)]]</f>
        <v>#DIV/0!</v>
      </c>
      <c r="AH196" s="23" t="e">
        <f>(Table13[[#This Row],[Volume]]/1000000)/Table13[[#This Row],[FLOAT(M)]]</f>
        <v>#DIV/0!</v>
      </c>
      <c r="AJ196" s="18" t="e">
        <f>(Table13[[#This Row],[PM Hi]]-Table13[[#This Row],[MKT Open Price]])/(Table13[[#This Row],[PM Hi]])</f>
        <v>#DIV/0!</v>
      </c>
      <c r="AK196" s="18" t="e">
        <f>IF(Table13[[#This Row],[PM LO]]&gt;Table13[[#This Row],[Prior day close]],(Table13[[#This Row],[PM Hi]]-Table13[[#This Row],[MKT Open Price]])/(Table13[[#This Row],[PM Hi]]-Table13[[#This Row],[Prior day close]]),(Table13[[#This Row],[PM Hi]]-Table13[[#This Row],[MKT Open Price]])/(Table13[[#This Row],[PM Hi]]-Table13[[#This Row],[PM LO]]))</f>
        <v>#DIV/0!</v>
      </c>
      <c r="AL196" s="48" t="e">
        <f>IF(Table13[[#This Row],[Prior day close]]&lt;Table13[[#This Row],[PM LO]],(J196-L196)/(J196-Table13[[#This Row],[Prior day close]]),(J196-L196)/(J196-Table13[[#This Row],[PM LO]]))</f>
        <v>#DIV/0!</v>
      </c>
      <c r="AM196" s="48">
        <f>Table13[[#This Row],[Spike % on open before drop]]+AN196</f>
        <v>0</v>
      </c>
      <c r="AN196" s="18"/>
      <c r="AO196" s="16"/>
      <c r="AP196" s="48" t="e">
        <f>IF(Table13[[#This Row],[Prior day close]]&lt;=Table13[[#This Row],[PM LO]],IF($K196&gt;=$G196,($K196-$L196)/($K196-Table13[[#This Row],[Prior day close]]),(IF($I196&lt;=$L196,($G196-$I196)/($G196-Table13[[#This Row],[Prior day close]]),(Table13[[#This Row],[PM Hi]]-Table13[[#This Row],[Lowest lo from open to squeeze]])/(Table13[[#This Row],[PM Hi]]-Table13[[#This Row],[Prior day close]])))),IF($K196&gt;=$G196,($K196-$L196)/($K196-Table13[[#This Row],[PM LO]]),(IF($I196&lt;=$L196,($G196-$I196)/($G196-Table13[[#This Row],[PM LO]]),(Table13[[#This Row],[PM Hi]]-Table13[[#This Row],[Lowest lo from open to squeeze]])/(Table13[[#This Row],[PM Hi]]-Table13[[#This Row],[PM LO]])))))</f>
        <v>#DIV/0!</v>
      </c>
      <c r="AQ196" s="18"/>
      <c r="AR196" s="17">
        <f>390+Table13[[#This Row],[Time until ideal entry point (mins) from open]]</f>
        <v>390</v>
      </c>
      <c r="AS196" s="17">
        <f>Table13[[#This Row],[Time until ideal entry + 390 (6:30)]]+Table13[[#This Row],[Duration of frontside (mins)]]</f>
        <v>390</v>
      </c>
    </row>
    <row r="197" spans="1:45" hidden="1" x14ac:dyDescent="0.25">
      <c r="A197" s="24" t="s">
        <v>243</v>
      </c>
      <c r="B197" s="47">
        <v>44095</v>
      </c>
      <c r="C197" s="47" t="s">
        <v>78</v>
      </c>
      <c r="D197" s="46"/>
      <c r="E197" s="12"/>
      <c r="F197" s="13"/>
      <c r="G197" s="12"/>
      <c r="H197" s="12"/>
      <c r="I197" s="12"/>
      <c r="J197" s="12"/>
      <c r="K197" s="12"/>
      <c r="L197" s="12"/>
      <c r="O197" s="13"/>
      <c r="Q197" s="37"/>
      <c r="R197" s="46"/>
      <c r="S197" s="37"/>
      <c r="T197" s="37"/>
      <c r="U197" s="37"/>
      <c r="V197" s="37"/>
      <c r="W197" s="38"/>
      <c r="X197" s="46"/>
      <c r="Y197" s="37"/>
      <c r="Z197" s="46"/>
      <c r="AA197" s="41">
        <f>Table13[[#This Row],[Time until ideal entry + 390 (6:30)]]/(1440)</f>
        <v>0.27083333333333331</v>
      </c>
      <c r="AB197" s="18"/>
      <c r="AC197" s="18" t="e">
        <f>IF(Table13[[#This Row],[HOD AFTER PM HI]]&gt;=Table13[[#This Row],[PM Hi]],((Table13[[#This Row],[HOD AFTER PM HI]]-Table13[[#This Row],[Prior day close]])/Table13[[#This Row],[Prior day close]]),Table13[[#This Row],[Prior Close to PM Hi %]])</f>
        <v>#DIV/0!</v>
      </c>
      <c r="AD197" s="42" t="e">
        <f>(Table13[[#This Row],[Price at hi of squeeze]]-Table13[[#This Row],[MKT Open Price]])/Table13[[#This Row],[MKT Open Price]]</f>
        <v>#DIV/0!</v>
      </c>
      <c r="AE197" s="18" t="e">
        <f>(Table13[[#This Row],[Price at hi of squeeze]]-Table13[[#This Row],[PM Hi]])/Table13[[#This Row],[PM Hi]]</f>
        <v>#DIV/0!</v>
      </c>
      <c r="AF197" s="18"/>
      <c r="AG197" s="20" t="e">
        <f>Table13[[#This Row],[PM VOL]]/1000000/Table13[[#This Row],[FLOAT(M)]]</f>
        <v>#DIV/0!</v>
      </c>
      <c r="AH197" s="23" t="e">
        <f>(Table13[[#This Row],[Volume]]/1000000)/Table13[[#This Row],[FLOAT(M)]]</f>
        <v>#DIV/0!</v>
      </c>
      <c r="AJ197" s="18" t="e">
        <f>(Table13[[#This Row],[PM Hi]]-Table13[[#This Row],[MKT Open Price]])/(Table13[[#This Row],[PM Hi]])</f>
        <v>#DIV/0!</v>
      </c>
      <c r="AK197" s="18" t="e">
        <f>IF(Table13[[#This Row],[PM LO]]&gt;Table13[[#This Row],[Prior day close]],(Table13[[#This Row],[PM Hi]]-Table13[[#This Row],[MKT Open Price]])/(Table13[[#This Row],[PM Hi]]-Table13[[#This Row],[Prior day close]]),(Table13[[#This Row],[PM Hi]]-Table13[[#This Row],[MKT Open Price]])/(Table13[[#This Row],[PM Hi]]-Table13[[#This Row],[PM LO]]))</f>
        <v>#DIV/0!</v>
      </c>
      <c r="AL197" s="48" t="e">
        <f>IF(Table13[[#This Row],[Prior day close]]&lt;Table13[[#This Row],[PM LO]],(J197-L197)/(J197-Table13[[#This Row],[Prior day close]]),(J197-L197)/(J197-Table13[[#This Row],[PM LO]]))</f>
        <v>#DIV/0!</v>
      </c>
      <c r="AM197" s="48">
        <f>Table13[[#This Row],[Spike % on open before drop]]+AN197</f>
        <v>0</v>
      </c>
      <c r="AN197" s="18"/>
      <c r="AO197" s="16"/>
      <c r="AP197" s="48" t="e">
        <f>IF(Table13[[#This Row],[Prior day close]]&lt;=Table13[[#This Row],[PM LO]],IF($K197&gt;=$G197,($K197-$L197)/($K197-Table13[[#This Row],[Prior day close]]),(IF($I197&lt;=$L197,($G197-$I197)/($G197-Table13[[#This Row],[Prior day close]]),(Table13[[#This Row],[PM Hi]]-Table13[[#This Row],[Lowest lo from open to squeeze]])/(Table13[[#This Row],[PM Hi]]-Table13[[#This Row],[Prior day close]])))),IF($K197&gt;=$G197,($K197-$L197)/($K197-Table13[[#This Row],[PM LO]]),(IF($I197&lt;=$L197,($G197-$I197)/($G197-Table13[[#This Row],[PM LO]]),(Table13[[#This Row],[PM Hi]]-Table13[[#This Row],[Lowest lo from open to squeeze]])/(Table13[[#This Row],[PM Hi]]-Table13[[#This Row],[PM LO]])))))</f>
        <v>#DIV/0!</v>
      </c>
      <c r="AQ197" s="18"/>
      <c r="AR197" s="17">
        <f>390+Table13[[#This Row],[Time until ideal entry point (mins) from open]]</f>
        <v>390</v>
      </c>
      <c r="AS197" s="17">
        <f>Table13[[#This Row],[Time until ideal entry + 390 (6:30)]]+Table13[[#This Row],[Duration of frontside (mins)]]</f>
        <v>390</v>
      </c>
    </row>
    <row r="198" spans="1:45" hidden="1" x14ac:dyDescent="0.25">
      <c r="A198" s="24" t="s">
        <v>270</v>
      </c>
      <c r="B198" s="47">
        <v>44096</v>
      </c>
      <c r="C198" s="47" t="s">
        <v>78</v>
      </c>
      <c r="D198" s="46"/>
      <c r="E198" s="12"/>
      <c r="F198" s="13"/>
      <c r="G198" s="12"/>
      <c r="H198" s="12"/>
      <c r="I198" s="12"/>
      <c r="J198" s="12"/>
      <c r="K198" s="12"/>
      <c r="L198" s="12"/>
      <c r="O198" s="13"/>
      <c r="Q198" s="37"/>
      <c r="R198" s="46"/>
      <c r="S198" s="37"/>
      <c r="T198" s="37"/>
      <c r="U198" s="37"/>
      <c r="V198" s="37"/>
      <c r="W198" s="38"/>
      <c r="X198" s="46"/>
      <c r="Y198" s="37"/>
      <c r="Z198" s="46"/>
      <c r="AA198" s="41">
        <f>Table13[[#This Row],[Time until ideal entry + 390 (6:30)]]/(1440)</f>
        <v>0.27083333333333331</v>
      </c>
      <c r="AB198" s="18"/>
      <c r="AC198" s="18" t="e">
        <f>IF(Table13[[#This Row],[HOD AFTER PM HI]]&gt;=Table13[[#This Row],[PM Hi]],((Table13[[#This Row],[HOD AFTER PM HI]]-Table13[[#This Row],[Prior day close]])/Table13[[#This Row],[Prior day close]]),Table13[[#This Row],[Prior Close to PM Hi %]])</f>
        <v>#DIV/0!</v>
      </c>
      <c r="AD198" s="42" t="e">
        <f>(Table13[[#This Row],[Price at hi of squeeze]]-Table13[[#This Row],[MKT Open Price]])/Table13[[#This Row],[MKT Open Price]]</f>
        <v>#DIV/0!</v>
      </c>
      <c r="AE198" s="18" t="e">
        <f>(Table13[[#This Row],[Price at hi of squeeze]]-Table13[[#This Row],[PM Hi]])/Table13[[#This Row],[PM Hi]]</f>
        <v>#DIV/0!</v>
      </c>
      <c r="AF198" s="18"/>
      <c r="AG198" s="20" t="e">
        <f>Table13[[#This Row],[PM VOL]]/1000000/Table13[[#This Row],[FLOAT(M)]]</f>
        <v>#DIV/0!</v>
      </c>
      <c r="AH198" s="23" t="e">
        <f>(Table13[[#This Row],[Volume]]/1000000)/Table13[[#This Row],[FLOAT(M)]]</f>
        <v>#DIV/0!</v>
      </c>
      <c r="AJ198" s="18" t="e">
        <f>(Table13[[#This Row],[PM Hi]]-Table13[[#This Row],[MKT Open Price]])/(Table13[[#This Row],[PM Hi]])</f>
        <v>#DIV/0!</v>
      </c>
      <c r="AK198" s="18" t="e">
        <f>IF(Table13[[#This Row],[PM LO]]&gt;Table13[[#This Row],[Prior day close]],(Table13[[#This Row],[PM Hi]]-Table13[[#This Row],[MKT Open Price]])/(Table13[[#This Row],[PM Hi]]-Table13[[#This Row],[Prior day close]]),(Table13[[#This Row],[PM Hi]]-Table13[[#This Row],[MKT Open Price]])/(Table13[[#This Row],[PM Hi]]-Table13[[#This Row],[PM LO]]))</f>
        <v>#DIV/0!</v>
      </c>
      <c r="AL198" s="48" t="e">
        <f>IF(Table13[[#This Row],[Prior day close]]&lt;Table13[[#This Row],[PM LO]],(J198-L198)/(J198-Table13[[#This Row],[Prior day close]]),(J198-L198)/(J198-Table13[[#This Row],[PM LO]]))</f>
        <v>#DIV/0!</v>
      </c>
      <c r="AM198" s="48">
        <f>Table13[[#This Row],[Spike % on open before drop]]+AN198</f>
        <v>0</v>
      </c>
      <c r="AN198" s="18"/>
      <c r="AO198" s="16"/>
      <c r="AP198" s="48" t="e">
        <f>IF(Table13[[#This Row],[Prior day close]]&lt;=Table13[[#This Row],[PM LO]],IF($K198&gt;=$G198,($K198-$L198)/($K198-Table13[[#This Row],[Prior day close]]),(IF($I198&lt;=$L198,($G198-$I198)/($G198-Table13[[#This Row],[Prior day close]]),(Table13[[#This Row],[PM Hi]]-Table13[[#This Row],[Lowest lo from open to squeeze]])/(Table13[[#This Row],[PM Hi]]-Table13[[#This Row],[Prior day close]])))),IF($K198&gt;=$G198,($K198-$L198)/($K198-Table13[[#This Row],[PM LO]]),(IF($I198&lt;=$L198,($G198-$I198)/($G198-Table13[[#This Row],[PM LO]]),(Table13[[#This Row],[PM Hi]]-Table13[[#This Row],[Lowest lo from open to squeeze]])/(Table13[[#This Row],[PM Hi]]-Table13[[#This Row],[PM LO]])))))</f>
        <v>#DIV/0!</v>
      </c>
      <c r="AQ198" s="18"/>
      <c r="AR198" s="17">
        <f>390+Table13[[#This Row],[Time until ideal entry point (mins) from open]]</f>
        <v>390</v>
      </c>
      <c r="AS198" s="17">
        <f>Table13[[#This Row],[Time until ideal entry + 390 (6:30)]]+Table13[[#This Row],[Duration of frontside (mins)]]</f>
        <v>390</v>
      </c>
    </row>
    <row r="199" spans="1:45" hidden="1" x14ac:dyDescent="0.25">
      <c r="A199" s="24" t="s">
        <v>259</v>
      </c>
      <c r="B199" s="47">
        <v>44096</v>
      </c>
      <c r="C199" s="47" t="s">
        <v>78</v>
      </c>
      <c r="D199" s="46"/>
      <c r="E199" s="12"/>
      <c r="F199" s="13"/>
      <c r="G199" s="12"/>
      <c r="H199" s="12"/>
      <c r="I199" s="12"/>
      <c r="J199" s="12"/>
      <c r="K199" s="12"/>
      <c r="L199" s="12"/>
      <c r="O199" s="13"/>
      <c r="Q199" s="37"/>
      <c r="R199" s="46"/>
      <c r="S199" s="37"/>
      <c r="T199" s="37"/>
      <c r="U199" s="37"/>
      <c r="V199" s="37"/>
      <c r="W199" s="38"/>
      <c r="X199" s="46"/>
      <c r="Y199" s="37"/>
      <c r="Z199" s="46"/>
      <c r="AA199" s="41">
        <f>Table13[[#This Row],[Time until ideal entry + 390 (6:30)]]/(1440)</f>
        <v>0.27083333333333331</v>
      </c>
      <c r="AB199" s="18"/>
      <c r="AC199" s="18" t="e">
        <f>IF(Table13[[#This Row],[HOD AFTER PM HI]]&gt;=Table13[[#This Row],[PM Hi]],((Table13[[#This Row],[HOD AFTER PM HI]]-Table13[[#This Row],[Prior day close]])/Table13[[#This Row],[Prior day close]]),Table13[[#This Row],[Prior Close to PM Hi %]])</f>
        <v>#DIV/0!</v>
      </c>
      <c r="AD199" s="42" t="e">
        <f>(Table13[[#This Row],[Price at hi of squeeze]]-Table13[[#This Row],[MKT Open Price]])/Table13[[#This Row],[MKT Open Price]]</f>
        <v>#DIV/0!</v>
      </c>
      <c r="AE199" s="18" t="e">
        <f>(Table13[[#This Row],[Price at hi of squeeze]]-Table13[[#This Row],[PM Hi]])/Table13[[#This Row],[PM Hi]]</f>
        <v>#DIV/0!</v>
      </c>
      <c r="AF199" s="18"/>
      <c r="AG199" s="20" t="e">
        <f>Table13[[#This Row],[PM VOL]]/1000000/Table13[[#This Row],[FLOAT(M)]]</f>
        <v>#DIV/0!</v>
      </c>
      <c r="AH199" s="23" t="e">
        <f>(Table13[[#This Row],[Volume]]/1000000)/Table13[[#This Row],[FLOAT(M)]]</f>
        <v>#DIV/0!</v>
      </c>
      <c r="AJ199" s="18" t="e">
        <f>(Table13[[#This Row],[PM Hi]]-Table13[[#This Row],[MKT Open Price]])/(Table13[[#This Row],[PM Hi]])</f>
        <v>#DIV/0!</v>
      </c>
      <c r="AK199" s="18" t="e">
        <f>IF(Table13[[#This Row],[PM LO]]&gt;Table13[[#This Row],[Prior day close]],(Table13[[#This Row],[PM Hi]]-Table13[[#This Row],[MKT Open Price]])/(Table13[[#This Row],[PM Hi]]-Table13[[#This Row],[Prior day close]]),(Table13[[#This Row],[PM Hi]]-Table13[[#This Row],[MKT Open Price]])/(Table13[[#This Row],[PM Hi]]-Table13[[#This Row],[PM LO]]))</f>
        <v>#DIV/0!</v>
      </c>
      <c r="AL199" s="48" t="e">
        <f>IF(Table13[[#This Row],[Prior day close]]&lt;Table13[[#This Row],[PM LO]],(J199-L199)/(J199-Table13[[#This Row],[Prior day close]]),(J199-L199)/(J199-Table13[[#This Row],[PM LO]]))</f>
        <v>#DIV/0!</v>
      </c>
      <c r="AM199" s="48">
        <f>Table13[[#This Row],[Spike % on open before drop]]+AN199</f>
        <v>0</v>
      </c>
      <c r="AN199" s="18"/>
      <c r="AO199" s="16"/>
      <c r="AP199" s="48" t="e">
        <f>IF(Table13[[#This Row],[Prior day close]]&lt;=Table13[[#This Row],[PM LO]],IF($K199&gt;=$G199,($K199-$L199)/($K199-Table13[[#This Row],[Prior day close]]),(IF($I199&lt;=$L199,($G199-$I199)/($G199-Table13[[#This Row],[Prior day close]]),(Table13[[#This Row],[PM Hi]]-Table13[[#This Row],[Lowest lo from open to squeeze]])/(Table13[[#This Row],[PM Hi]]-Table13[[#This Row],[Prior day close]])))),IF($K199&gt;=$G199,($K199-$L199)/($K199-Table13[[#This Row],[PM LO]]),(IF($I199&lt;=$L199,($G199-$I199)/($G199-Table13[[#This Row],[PM LO]]),(Table13[[#This Row],[PM Hi]]-Table13[[#This Row],[Lowest lo from open to squeeze]])/(Table13[[#This Row],[PM Hi]]-Table13[[#This Row],[PM LO]])))))</f>
        <v>#DIV/0!</v>
      </c>
      <c r="AQ199" s="18"/>
      <c r="AR199" s="17">
        <f>390+Table13[[#This Row],[Time until ideal entry point (mins) from open]]</f>
        <v>390</v>
      </c>
      <c r="AS199" s="17">
        <f>Table13[[#This Row],[Time until ideal entry + 390 (6:30)]]+Table13[[#This Row],[Duration of frontside (mins)]]</f>
        <v>390</v>
      </c>
    </row>
    <row r="200" spans="1:45" hidden="1" x14ac:dyDescent="0.25">
      <c r="A200" s="24" t="s">
        <v>103</v>
      </c>
      <c r="B200" s="47">
        <v>44098</v>
      </c>
      <c r="C200" s="47" t="s">
        <v>78</v>
      </c>
      <c r="D200" s="46"/>
      <c r="E200" s="12"/>
      <c r="F200" s="13"/>
      <c r="G200" s="12"/>
      <c r="H200" s="12"/>
      <c r="I200" s="12"/>
      <c r="J200" s="12"/>
      <c r="K200" s="12"/>
      <c r="L200" s="12"/>
      <c r="O200" s="13"/>
      <c r="Q200" s="37"/>
      <c r="R200" s="46"/>
      <c r="S200" s="37"/>
      <c r="T200" s="37"/>
      <c r="U200" s="37"/>
      <c r="V200" s="37"/>
      <c r="W200" s="38"/>
      <c r="X200" s="46"/>
      <c r="Y200" s="37"/>
      <c r="Z200" s="46"/>
      <c r="AA200" s="41">
        <f>Table13[[#This Row],[Time until ideal entry + 390 (6:30)]]/(1440)</f>
        <v>0.27083333333333331</v>
      </c>
      <c r="AB200" s="18"/>
      <c r="AC200" s="18" t="e">
        <f>IF(Table13[[#This Row],[HOD AFTER PM HI]]&gt;=Table13[[#This Row],[PM Hi]],((Table13[[#This Row],[HOD AFTER PM HI]]-Table13[[#This Row],[Prior day close]])/Table13[[#This Row],[Prior day close]]),Table13[[#This Row],[Prior Close to PM Hi %]])</f>
        <v>#DIV/0!</v>
      </c>
      <c r="AD200" s="42" t="e">
        <f>(Table13[[#This Row],[Price at hi of squeeze]]-Table13[[#This Row],[MKT Open Price]])/Table13[[#This Row],[MKT Open Price]]</f>
        <v>#DIV/0!</v>
      </c>
      <c r="AE200" s="18" t="e">
        <f>(Table13[[#This Row],[Price at hi of squeeze]]-Table13[[#This Row],[PM Hi]])/Table13[[#This Row],[PM Hi]]</f>
        <v>#DIV/0!</v>
      </c>
      <c r="AF200" s="18"/>
      <c r="AG200" s="20" t="e">
        <f>Table13[[#This Row],[PM VOL]]/1000000/Table13[[#This Row],[FLOAT(M)]]</f>
        <v>#DIV/0!</v>
      </c>
      <c r="AH200" s="23" t="e">
        <f>(Table13[[#This Row],[Volume]]/1000000)/Table13[[#This Row],[FLOAT(M)]]</f>
        <v>#DIV/0!</v>
      </c>
      <c r="AJ200" s="18" t="e">
        <f>(Table13[[#This Row],[PM Hi]]-Table13[[#This Row],[MKT Open Price]])/(Table13[[#This Row],[PM Hi]])</f>
        <v>#DIV/0!</v>
      </c>
      <c r="AK200" s="18" t="e">
        <f>IF(Table13[[#This Row],[PM LO]]&gt;Table13[[#This Row],[Prior day close]],(Table13[[#This Row],[PM Hi]]-Table13[[#This Row],[MKT Open Price]])/(Table13[[#This Row],[PM Hi]]-Table13[[#This Row],[Prior day close]]),(Table13[[#This Row],[PM Hi]]-Table13[[#This Row],[MKT Open Price]])/(Table13[[#This Row],[PM Hi]]-Table13[[#This Row],[PM LO]]))</f>
        <v>#DIV/0!</v>
      </c>
      <c r="AL200" s="48" t="e">
        <f>IF(Table13[[#This Row],[Prior day close]]&lt;Table13[[#This Row],[PM LO]],(J200-L200)/(J200-Table13[[#This Row],[Prior day close]]),(J200-L200)/(J200-Table13[[#This Row],[PM LO]]))</f>
        <v>#DIV/0!</v>
      </c>
      <c r="AM200" s="48">
        <f>Table13[[#This Row],[Spike % on open before drop]]+AN200</f>
        <v>0</v>
      </c>
      <c r="AN200" s="18"/>
      <c r="AO200" s="16"/>
      <c r="AP200" s="48" t="e">
        <f>IF(Table13[[#This Row],[Prior day close]]&lt;=Table13[[#This Row],[PM LO]],IF($K200&gt;=$G200,($K200-$L200)/($K200-Table13[[#This Row],[Prior day close]]),(IF($I200&lt;=$L200,($G200-$I200)/($G200-Table13[[#This Row],[Prior day close]]),(Table13[[#This Row],[PM Hi]]-Table13[[#This Row],[Lowest lo from open to squeeze]])/(Table13[[#This Row],[PM Hi]]-Table13[[#This Row],[Prior day close]])))),IF($K200&gt;=$G200,($K200-$L200)/($K200-Table13[[#This Row],[PM LO]]),(IF($I200&lt;=$L200,($G200-$I200)/($G200-Table13[[#This Row],[PM LO]]),(Table13[[#This Row],[PM Hi]]-Table13[[#This Row],[Lowest lo from open to squeeze]])/(Table13[[#This Row],[PM Hi]]-Table13[[#This Row],[PM LO]])))))</f>
        <v>#DIV/0!</v>
      </c>
      <c r="AQ200" s="18"/>
      <c r="AR200" s="17">
        <f>390+Table13[[#This Row],[Time until ideal entry point (mins) from open]]</f>
        <v>390</v>
      </c>
      <c r="AS200" s="17">
        <f>Table13[[#This Row],[Time until ideal entry + 390 (6:30)]]+Table13[[#This Row],[Duration of frontside (mins)]]</f>
        <v>390</v>
      </c>
    </row>
    <row r="201" spans="1:45" hidden="1" x14ac:dyDescent="0.25">
      <c r="A201" s="24" t="s">
        <v>77</v>
      </c>
      <c r="B201" s="47">
        <v>44098</v>
      </c>
      <c r="C201" s="47" t="s">
        <v>178</v>
      </c>
      <c r="D201" s="46"/>
      <c r="E201" s="12"/>
      <c r="F201" s="13"/>
      <c r="G201" s="12"/>
      <c r="H201" s="12"/>
      <c r="I201" s="12"/>
      <c r="J201" s="12"/>
      <c r="K201" s="12"/>
      <c r="L201" s="12"/>
      <c r="O201" s="13"/>
      <c r="Q201" s="37"/>
      <c r="R201" s="46"/>
      <c r="S201" s="37"/>
      <c r="T201" s="37"/>
      <c r="U201" s="37"/>
      <c r="V201" s="37"/>
      <c r="W201" s="38"/>
      <c r="X201" s="46"/>
      <c r="Y201" s="37"/>
      <c r="Z201" s="46"/>
      <c r="AA201" s="41">
        <f>Table13[[#This Row],[Time until ideal entry + 390 (6:30)]]/(1440)</f>
        <v>0.27083333333333331</v>
      </c>
      <c r="AB201" s="18"/>
      <c r="AC201" s="18" t="e">
        <f>IF(Table13[[#This Row],[HOD AFTER PM HI]]&gt;=Table13[[#This Row],[PM Hi]],((Table13[[#This Row],[HOD AFTER PM HI]]-Table13[[#This Row],[Prior day close]])/Table13[[#This Row],[Prior day close]]),Table13[[#This Row],[Prior Close to PM Hi %]])</f>
        <v>#DIV/0!</v>
      </c>
      <c r="AD201" s="42" t="e">
        <f>(Table13[[#This Row],[Price at hi of squeeze]]-Table13[[#This Row],[MKT Open Price]])/Table13[[#This Row],[MKT Open Price]]</f>
        <v>#DIV/0!</v>
      </c>
      <c r="AE201" s="18" t="e">
        <f>(Table13[[#This Row],[Price at hi of squeeze]]-Table13[[#This Row],[PM Hi]])/Table13[[#This Row],[PM Hi]]</f>
        <v>#DIV/0!</v>
      </c>
      <c r="AF201" s="18"/>
      <c r="AG201" s="20" t="e">
        <f>Table13[[#This Row],[PM VOL]]/1000000/Table13[[#This Row],[FLOAT(M)]]</f>
        <v>#DIV/0!</v>
      </c>
      <c r="AH201" s="23" t="e">
        <f>(Table13[[#This Row],[Volume]]/1000000)/Table13[[#This Row],[FLOAT(M)]]</f>
        <v>#DIV/0!</v>
      </c>
      <c r="AJ201" s="18" t="e">
        <f>(Table13[[#This Row],[PM Hi]]-Table13[[#This Row],[MKT Open Price]])/(Table13[[#This Row],[PM Hi]])</f>
        <v>#DIV/0!</v>
      </c>
      <c r="AK201" s="18" t="e">
        <f>IF(Table13[[#This Row],[PM LO]]&gt;Table13[[#This Row],[Prior day close]],(Table13[[#This Row],[PM Hi]]-Table13[[#This Row],[MKT Open Price]])/(Table13[[#This Row],[PM Hi]]-Table13[[#This Row],[Prior day close]]),(Table13[[#This Row],[PM Hi]]-Table13[[#This Row],[MKT Open Price]])/(Table13[[#This Row],[PM Hi]]-Table13[[#This Row],[PM LO]]))</f>
        <v>#DIV/0!</v>
      </c>
      <c r="AL201" s="48" t="e">
        <f>IF(Table13[[#This Row],[Prior day close]]&lt;Table13[[#This Row],[PM LO]],(J201-L201)/(J201-Table13[[#This Row],[Prior day close]]),(J201-L201)/(J201-Table13[[#This Row],[PM LO]]))</f>
        <v>#DIV/0!</v>
      </c>
      <c r="AM201" s="48">
        <f>Table13[[#This Row],[Spike % on open before drop]]+AN201</f>
        <v>0</v>
      </c>
      <c r="AN201" s="18"/>
      <c r="AO201" s="16"/>
      <c r="AP201" s="48" t="e">
        <f>IF(Table13[[#This Row],[Prior day close]]&lt;=Table13[[#This Row],[PM LO]],IF($K201&gt;=$G201,($K201-$L201)/($K201-Table13[[#This Row],[Prior day close]]),(IF($I201&lt;=$L201,($G201-$I201)/($G201-Table13[[#This Row],[Prior day close]]),(Table13[[#This Row],[PM Hi]]-Table13[[#This Row],[Lowest lo from open to squeeze]])/(Table13[[#This Row],[PM Hi]]-Table13[[#This Row],[Prior day close]])))),IF($K201&gt;=$G201,($K201-$L201)/($K201-Table13[[#This Row],[PM LO]]),(IF($I201&lt;=$L201,($G201-$I201)/($G201-Table13[[#This Row],[PM LO]]),(Table13[[#This Row],[PM Hi]]-Table13[[#This Row],[Lowest lo from open to squeeze]])/(Table13[[#This Row],[PM Hi]]-Table13[[#This Row],[PM LO]])))))</f>
        <v>#DIV/0!</v>
      </c>
      <c r="AQ201" s="18"/>
      <c r="AR201" s="17">
        <f>390+Table13[[#This Row],[Time until ideal entry point (mins) from open]]</f>
        <v>390</v>
      </c>
      <c r="AS201" s="17">
        <f>Table13[[#This Row],[Time until ideal entry + 390 (6:30)]]+Table13[[#This Row],[Duration of frontside (mins)]]</f>
        <v>390</v>
      </c>
    </row>
    <row r="202" spans="1:45" hidden="1" x14ac:dyDescent="0.25">
      <c r="A202" s="24" t="s">
        <v>164</v>
      </c>
      <c r="B202" s="47">
        <v>44099</v>
      </c>
      <c r="C202" s="47" t="s">
        <v>178</v>
      </c>
      <c r="D202" s="46"/>
      <c r="E202" s="12"/>
      <c r="F202" s="13"/>
      <c r="G202" s="12"/>
      <c r="H202" s="12"/>
      <c r="I202" s="12"/>
      <c r="J202" s="12"/>
      <c r="K202" s="12"/>
      <c r="L202" s="12"/>
      <c r="O202" s="13"/>
      <c r="Q202" s="37"/>
      <c r="R202" s="46"/>
      <c r="S202" s="37"/>
      <c r="T202" s="37"/>
      <c r="U202" s="37"/>
      <c r="V202" s="37"/>
      <c r="W202" s="38"/>
      <c r="X202" s="46"/>
      <c r="Y202" s="37"/>
      <c r="Z202" s="46"/>
      <c r="AA202" s="41">
        <f>Table13[[#This Row],[Time until ideal entry + 390 (6:30)]]/(1440)</f>
        <v>0.27083333333333331</v>
      </c>
      <c r="AB202" s="18"/>
      <c r="AC202" s="18" t="e">
        <f>IF(Table13[[#This Row],[HOD AFTER PM HI]]&gt;=Table13[[#This Row],[PM Hi]],((Table13[[#This Row],[HOD AFTER PM HI]]-Table13[[#This Row],[Prior day close]])/Table13[[#This Row],[Prior day close]]),Table13[[#This Row],[Prior Close to PM Hi %]])</f>
        <v>#DIV/0!</v>
      </c>
      <c r="AD202" s="42" t="e">
        <f>(Table13[[#This Row],[Price at hi of squeeze]]-Table13[[#This Row],[MKT Open Price]])/Table13[[#This Row],[MKT Open Price]]</f>
        <v>#DIV/0!</v>
      </c>
      <c r="AE202" s="18" t="e">
        <f>(Table13[[#This Row],[Price at hi of squeeze]]-Table13[[#This Row],[PM Hi]])/Table13[[#This Row],[PM Hi]]</f>
        <v>#DIV/0!</v>
      </c>
      <c r="AF202" s="18"/>
      <c r="AG202" s="20" t="e">
        <f>Table13[[#This Row],[PM VOL]]/1000000/Table13[[#This Row],[FLOAT(M)]]</f>
        <v>#DIV/0!</v>
      </c>
      <c r="AH202" s="23" t="e">
        <f>(Table13[[#This Row],[Volume]]/1000000)/Table13[[#This Row],[FLOAT(M)]]</f>
        <v>#DIV/0!</v>
      </c>
      <c r="AJ202" s="18" t="e">
        <f>(Table13[[#This Row],[PM Hi]]-Table13[[#This Row],[MKT Open Price]])/(Table13[[#This Row],[PM Hi]])</f>
        <v>#DIV/0!</v>
      </c>
      <c r="AK202" s="18" t="e">
        <f>IF(Table13[[#This Row],[PM LO]]&gt;Table13[[#This Row],[Prior day close]],(Table13[[#This Row],[PM Hi]]-Table13[[#This Row],[MKT Open Price]])/(Table13[[#This Row],[PM Hi]]-Table13[[#This Row],[Prior day close]]),(Table13[[#This Row],[PM Hi]]-Table13[[#This Row],[MKT Open Price]])/(Table13[[#This Row],[PM Hi]]-Table13[[#This Row],[PM LO]]))</f>
        <v>#DIV/0!</v>
      </c>
      <c r="AL202" s="48" t="e">
        <f>IF(Table13[[#This Row],[Prior day close]]&lt;Table13[[#This Row],[PM LO]],(J202-L202)/(J202-Table13[[#This Row],[Prior day close]]),(J202-L202)/(J202-Table13[[#This Row],[PM LO]]))</f>
        <v>#DIV/0!</v>
      </c>
      <c r="AM202" s="48">
        <f>Table13[[#This Row],[Spike % on open before drop]]+AN202</f>
        <v>0</v>
      </c>
      <c r="AN202" s="18"/>
      <c r="AO202" s="16"/>
      <c r="AP202" s="48" t="e">
        <f>IF(Table13[[#This Row],[Prior day close]]&lt;=Table13[[#This Row],[PM LO]],IF($K202&gt;=$G202,($K202-$L202)/($K202-Table13[[#This Row],[Prior day close]]),(IF($I202&lt;=$L202,($G202-$I202)/($G202-Table13[[#This Row],[Prior day close]]),(Table13[[#This Row],[PM Hi]]-Table13[[#This Row],[Lowest lo from open to squeeze]])/(Table13[[#This Row],[PM Hi]]-Table13[[#This Row],[Prior day close]])))),IF($K202&gt;=$G202,($K202-$L202)/($K202-Table13[[#This Row],[PM LO]]),(IF($I202&lt;=$L202,($G202-$I202)/($G202-Table13[[#This Row],[PM LO]]),(Table13[[#This Row],[PM Hi]]-Table13[[#This Row],[Lowest lo from open to squeeze]])/(Table13[[#This Row],[PM Hi]]-Table13[[#This Row],[PM LO]])))))</f>
        <v>#DIV/0!</v>
      </c>
      <c r="AQ202" s="18"/>
      <c r="AR202" s="17">
        <f>390+Table13[[#This Row],[Time until ideal entry point (mins) from open]]</f>
        <v>390</v>
      </c>
      <c r="AS202" s="17">
        <f>Table13[[#This Row],[Time until ideal entry + 390 (6:30)]]+Table13[[#This Row],[Duration of frontside (mins)]]</f>
        <v>390</v>
      </c>
    </row>
    <row r="203" spans="1:45" hidden="1" x14ac:dyDescent="0.25">
      <c r="A203" s="24" t="s">
        <v>271</v>
      </c>
      <c r="B203" s="47">
        <v>44102</v>
      </c>
      <c r="C203" s="47" t="s">
        <v>178</v>
      </c>
      <c r="D203" s="46" t="s">
        <v>265</v>
      </c>
      <c r="E203" s="12"/>
      <c r="F203" s="13"/>
      <c r="G203" s="12"/>
      <c r="H203" s="12"/>
      <c r="I203" s="12"/>
      <c r="J203" s="12"/>
      <c r="K203" s="12"/>
      <c r="L203" s="12"/>
      <c r="O203" s="13"/>
      <c r="Q203" s="37"/>
      <c r="R203" s="46"/>
      <c r="S203" s="37"/>
      <c r="T203" s="37"/>
      <c r="U203" s="37"/>
      <c r="V203" s="37"/>
      <c r="W203" s="38"/>
      <c r="X203" s="46"/>
      <c r="Y203" s="37"/>
      <c r="Z203" s="46"/>
      <c r="AA203" s="41">
        <f>Table13[[#This Row],[Time until ideal entry + 390 (6:30)]]/(1440)</f>
        <v>0.27083333333333331</v>
      </c>
      <c r="AB203" s="18"/>
      <c r="AC203" s="18" t="e">
        <f>IF(Table13[[#This Row],[HOD AFTER PM HI]]&gt;=Table13[[#This Row],[PM Hi]],((Table13[[#This Row],[HOD AFTER PM HI]]-Table13[[#This Row],[Prior day close]])/Table13[[#This Row],[Prior day close]]),Table13[[#This Row],[Prior Close to PM Hi %]])</f>
        <v>#DIV/0!</v>
      </c>
      <c r="AD203" s="42" t="e">
        <f>(Table13[[#This Row],[Price at hi of squeeze]]-Table13[[#This Row],[MKT Open Price]])/Table13[[#This Row],[MKT Open Price]]</f>
        <v>#DIV/0!</v>
      </c>
      <c r="AE203" s="18" t="e">
        <f>(Table13[[#This Row],[Price at hi of squeeze]]-Table13[[#This Row],[PM Hi]])/Table13[[#This Row],[PM Hi]]</f>
        <v>#DIV/0!</v>
      </c>
      <c r="AF203" s="18"/>
      <c r="AG203" s="20" t="e">
        <f>Table13[[#This Row],[PM VOL]]/1000000/Table13[[#This Row],[FLOAT(M)]]</f>
        <v>#DIV/0!</v>
      </c>
      <c r="AH203" s="23" t="e">
        <f>(Table13[[#This Row],[Volume]]/1000000)/Table13[[#This Row],[FLOAT(M)]]</f>
        <v>#DIV/0!</v>
      </c>
      <c r="AJ203" s="18" t="e">
        <f>(Table13[[#This Row],[PM Hi]]-Table13[[#This Row],[MKT Open Price]])/(Table13[[#This Row],[PM Hi]])</f>
        <v>#DIV/0!</v>
      </c>
      <c r="AK203" s="18" t="e">
        <f>IF(Table13[[#This Row],[PM LO]]&gt;Table13[[#This Row],[Prior day close]],(Table13[[#This Row],[PM Hi]]-Table13[[#This Row],[MKT Open Price]])/(Table13[[#This Row],[PM Hi]]-Table13[[#This Row],[Prior day close]]),(Table13[[#This Row],[PM Hi]]-Table13[[#This Row],[MKT Open Price]])/(Table13[[#This Row],[PM Hi]]-Table13[[#This Row],[PM LO]]))</f>
        <v>#DIV/0!</v>
      </c>
      <c r="AL203" s="48" t="e">
        <f>IF(Table13[[#This Row],[Prior day close]]&lt;Table13[[#This Row],[PM LO]],(J203-L203)/(J203-Table13[[#This Row],[Prior day close]]),(J203-L203)/(J203-Table13[[#This Row],[PM LO]]))</f>
        <v>#DIV/0!</v>
      </c>
      <c r="AM203" s="48">
        <f>Table13[[#This Row],[Spike % on open before drop]]+AN203</f>
        <v>0</v>
      </c>
      <c r="AN203" s="18"/>
      <c r="AO203" s="16"/>
      <c r="AP203" s="48" t="e">
        <f>IF(Table13[[#This Row],[Prior day close]]&lt;=Table13[[#This Row],[PM LO]],IF($K203&gt;=$G203,($K203-$L203)/($K203-Table13[[#This Row],[Prior day close]]),(IF($I203&lt;=$L203,($G203-$I203)/($G203-Table13[[#This Row],[Prior day close]]),(Table13[[#This Row],[PM Hi]]-Table13[[#This Row],[Lowest lo from open to squeeze]])/(Table13[[#This Row],[PM Hi]]-Table13[[#This Row],[Prior day close]])))),IF($K203&gt;=$G203,($K203-$L203)/($K203-Table13[[#This Row],[PM LO]]),(IF($I203&lt;=$L203,($G203-$I203)/($G203-Table13[[#This Row],[PM LO]]),(Table13[[#This Row],[PM Hi]]-Table13[[#This Row],[Lowest lo from open to squeeze]])/(Table13[[#This Row],[PM Hi]]-Table13[[#This Row],[PM LO]])))))</f>
        <v>#DIV/0!</v>
      </c>
      <c r="AQ203" s="18"/>
      <c r="AR203" s="17">
        <f>390+Table13[[#This Row],[Time until ideal entry point (mins) from open]]</f>
        <v>390</v>
      </c>
      <c r="AS203" s="17">
        <f>Table13[[#This Row],[Time until ideal entry + 390 (6:30)]]+Table13[[#This Row],[Duration of frontside (mins)]]</f>
        <v>390</v>
      </c>
    </row>
    <row r="204" spans="1:45" hidden="1" x14ac:dyDescent="0.25">
      <c r="A204" s="24" t="s">
        <v>272</v>
      </c>
      <c r="B204" s="47">
        <v>44103</v>
      </c>
      <c r="C204" s="47" t="s">
        <v>78</v>
      </c>
      <c r="D204" s="46"/>
      <c r="E204" s="12"/>
      <c r="F204" s="13"/>
      <c r="G204" s="12"/>
      <c r="H204" s="12"/>
      <c r="I204" s="12"/>
      <c r="J204" s="12"/>
      <c r="K204" s="12"/>
      <c r="L204" s="12"/>
      <c r="O204" s="13"/>
      <c r="Q204" s="37"/>
      <c r="R204" s="46"/>
      <c r="S204" s="37"/>
      <c r="T204" s="37"/>
      <c r="U204" s="37"/>
      <c r="V204" s="37"/>
      <c r="W204" s="38"/>
      <c r="X204" s="46"/>
      <c r="Y204" s="37"/>
      <c r="Z204" s="46"/>
      <c r="AA204" s="41">
        <f>Table13[[#This Row],[Time until ideal entry + 390 (6:30)]]/(1440)</f>
        <v>0.27083333333333331</v>
      </c>
      <c r="AB204" s="18"/>
      <c r="AC204" s="18" t="e">
        <f>IF(Table13[[#This Row],[HOD AFTER PM HI]]&gt;=Table13[[#This Row],[PM Hi]],((Table13[[#This Row],[HOD AFTER PM HI]]-Table13[[#This Row],[Prior day close]])/Table13[[#This Row],[Prior day close]]),Table13[[#This Row],[Prior Close to PM Hi %]])</f>
        <v>#DIV/0!</v>
      </c>
      <c r="AD204" s="42" t="e">
        <f>(Table13[[#This Row],[Price at hi of squeeze]]-Table13[[#This Row],[MKT Open Price]])/Table13[[#This Row],[MKT Open Price]]</f>
        <v>#DIV/0!</v>
      </c>
      <c r="AE204" s="18" t="e">
        <f>(Table13[[#This Row],[Price at hi of squeeze]]-Table13[[#This Row],[PM Hi]])/Table13[[#This Row],[PM Hi]]</f>
        <v>#DIV/0!</v>
      </c>
      <c r="AF204" s="18"/>
      <c r="AG204" s="20" t="e">
        <f>Table13[[#This Row],[PM VOL]]/1000000/Table13[[#This Row],[FLOAT(M)]]</f>
        <v>#DIV/0!</v>
      </c>
      <c r="AH204" s="23" t="e">
        <f>(Table13[[#This Row],[Volume]]/1000000)/Table13[[#This Row],[FLOAT(M)]]</f>
        <v>#DIV/0!</v>
      </c>
      <c r="AJ204" s="18" t="e">
        <f>(Table13[[#This Row],[PM Hi]]-Table13[[#This Row],[MKT Open Price]])/(Table13[[#This Row],[PM Hi]])</f>
        <v>#DIV/0!</v>
      </c>
      <c r="AK204" s="18" t="e">
        <f>IF(Table13[[#This Row],[PM LO]]&gt;Table13[[#This Row],[Prior day close]],(Table13[[#This Row],[PM Hi]]-Table13[[#This Row],[MKT Open Price]])/(Table13[[#This Row],[PM Hi]]-Table13[[#This Row],[Prior day close]]),(Table13[[#This Row],[PM Hi]]-Table13[[#This Row],[MKT Open Price]])/(Table13[[#This Row],[PM Hi]]-Table13[[#This Row],[PM LO]]))</f>
        <v>#DIV/0!</v>
      </c>
      <c r="AL204" s="48" t="e">
        <f>IF(Table13[[#This Row],[Prior day close]]&lt;Table13[[#This Row],[PM LO]],(J204-L204)/(J204-Table13[[#This Row],[Prior day close]]),(J204-L204)/(J204-Table13[[#This Row],[PM LO]]))</f>
        <v>#DIV/0!</v>
      </c>
      <c r="AM204" s="48">
        <f>Table13[[#This Row],[Spike % on open before drop]]+AN204</f>
        <v>0</v>
      </c>
      <c r="AN204" s="18"/>
      <c r="AO204" s="16"/>
      <c r="AP204" s="48" t="e">
        <f>IF(Table13[[#This Row],[Prior day close]]&lt;=Table13[[#This Row],[PM LO]],IF($K204&gt;=$G204,($K204-$L204)/($K204-Table13[[#This Row],[Prior day close]]),(IF($I204&lt;=$L204,($G204-$I204)/($G204-Table13[[#This Row],[Prior day close]]),(Table13[[#This Row],[PM Hi]]-Table13[[#This Row],[Lowest lo from open to squeeze]])/(Table13[[#This Row],[PM Hi]]-Table13[[#This Row],[Prior day close]])))),IF($K204&gt;=$G204,($K204-$L204)/($K204-Table13[[#This Row],[PM LO]]),(IF($I204&lt;=$L204,($G204-$I204)/($G204-Table13[[#This Row],[PM LO]]),(Table13[[#This Row],[PM Hi]]-Table13[[#This Row],[Lowest lo from open to squeeze]])/(Table13[[#This Row],[PM Hi]]-Table13[[#This Row],[PM LO]])))))</f>
        <v>#DIV/0!</v>
      </c>
      <c r="AQ204" s="18"/>
      <c r="AR204" s="17">
        <f>390+Table13[[#This Row],[Time until ideal entry point (mins) from open]]</f>
        <v>390</v>
      </c>
      <c r="AS204" s="17">
        <f>Table13[[#This Row],[Time until ideal entry + 390 (6:30)]]+Table13[[#This Row],[Duration of frontside (mins)]]</f>
        <v>390</v>
      </c>
    </row>
    <row r="205" spans="1:45" hidden="1" x14ac:dyDescent="0.25">
      <c r="A205" s="24" t="s">
        <v>273</v>
      </c>
      <c r="B205" s="47">
        <v>44104</v>
      </c>
      <c r="C205" s="47" t="s">
        <v>78</v>
      </c>
      <c r="D205" s="46"/>
      <c r="E205" s="12"/>
      <c r="F205" s="13"/>
      <c r="G205" s="12"/>
      <c r="H205" s="12"/>
      <c r="I205" s="12"/>
      <c r="J205" s="12"/>
      <c r="K205" s="12"/>
      <c r="L205" s="12"/>
      <c r="O205" s="13"/>
      <c r="Q205" s="37"/>
      <c r="R205" s="46"/>
      <c r="S205" s="37"/>
      <c r="T205" s="37"/>
      <c r="U205" s="37"/>
      <c r="V205" s="37"/>
      <c r="W205" s="38"/>
      <c r="X205" s="46"/>
      <c r="Y205" s="37"/>
      <c r="Z205" s="46"/>
      <c r="AA205" s="41">
        <f>Table13[[#This Row],[Time until ideal entry + 390 (6:30)]]/(1440)</f>
        <v>0.27083333333333331</v>
      </c>
      <c r="AB205" s="18"/>
      <c r="AC205" s="18" t="e">
        <f>IF(Table13[[#This Row],[HOD AFTER PM HI]]&gt;=Table13[[#This Row],[PM Hi]],((Table13[[#This Row],[HOD AFTER PM HI]]-Table13[[#This Row],[Prior day close]])/Table13[[#This Row],[Prior day close]]),Table13[[#This Row],[Prior Close to PM Hi %]])</f>
        <v>#DIV/0!</v>
      </c>
      <c r="AD205" s="42" t="e">
        <f>(Table13[[#This Row],[Price at hi of squeeze]]-Table13[[#This Row],[MKT Open Price]])/Table13[[#This Row],[MKT Open Price]]</f>
        <v>#DIV/0!</v>
      </c>
      <c r="AE205" s="18" t="e">
        <f>(Table13[[#This Row],[Price at hi of squeeze]]-Table13[[#This Row],[PM Hi]])/Table13[[#This Row],[PM Hi]]</f>
        <v>#DIV/0!</v>
      </c>
      <c r="AF205" s="18"/>
      <c r="AG205" s="20" t="e">
        <f>Table13[[#This Row],[PM VOL]]/1000000/Table13[[#This Row],[FLOAT(M)]]</f>
        <v>#DIV/0!</v>
      </c>
      <c r="AH205" s="23" t="e">
        <f>(Table13[[#This Row],[Volume]]/1000000)/Table13[[#This Row],[FLOAT(M)]]</f>
        <v>#DIV/0!</v>
      </c>
      <c r="AJ205" s="18" t="e">
        <f>(Table13[[#This Row],[PM Hi]]-Table13[[#This Row],[MKT Open Price]])/(Table13[[#This Row],[PM Hi]])</f>
        <v>#DIV/0!</v>
      </c>
      <c r="AK205" s="18" t="e">
        <f>IF(Table13[[#This Row],[PM LO]]&gt;Table13[[#This Row],[Prior day close]],(Table13[[#This Row],[PM Hi]]-Table13[[#This Row],[MKT Open Price]])/(Table13[[#This Row],[PM Hi]]-Table13[[#This Row],[Prior day close]]),(Table13[[#This Row],[PM Hi]]-Table13[[#This Row],[MKT Open Price]])/(Table13[[#This Row],[PM Hi]]-Table13[[#This Row],[PM LO]]))</f>
        <v>#DIV/0!</v>
      </c>
      <c r="AL205" s="48" t="e">
        <f>IF(Table13[[#This Row],[Prior day close]]&lt;Table13[[#This Row],[PM LO]],(J205-L205)/(J205-Table13[[#This Row],[Prior day close]]),(J205-L205)/(J205-Table13[[#This Row],[PM LO]]))</f>
        <v>#DIV/0!</v>
      </c>
      <c r="AM205" s="48">
        <f>Table13[[#This Row],[Spike % on open before drop]]+AN205</f>
        <v>0</v>
      </c>
      <c r="AN205" s="18"/>
      <c r="AO205" s="16"/>
      <c r="AP205" s="48" t="e">
        <f>IF(Table13[[#This Row],[Prior day close]]&lt;=Table13[[#This Row],[PM LO]],IF($K205&gt;=$G205,($K205-$L205)/($K205-Table13[[#This Row],[Prior day close]]),(IF($I205&lt;=$L205,($G205-$I205)/($G205-Table13[[#This Row],[Prior day close]]),(Table13[[#This Row],[PM Hi]]-Table13[[#This Row],[Lowest lo from open to squeeze]])/(Table13[[#This Row],[PM Hi]]-Table13[[#This Row],[Prior day close]])))),IF($K205&gt;=$G205,($K205-$L205)/($K205-Table13[[#This Row],[PM LO]]),(IF($I205&lt;=$L205,($G205-$I205)/($G205-Table13[[#This Row],[PM LO]]),(Table13[[#This Row],[PM Hi]]-Table13[[#This Row],[Lowest lo from open to squeeze]])/(Table13[[#This Row],[PM Hi]]-Table13[[#This Row],[PM LO]])))))</f>
        <v>#DIV/0!</v>
      </c>
      <c r="AQ205" s="18"/>
      <c r="AR205" s="17">
        <f>390+Table13[[#This Row],[Time until ideal entry point (mins) from open]]</f>
        <v>390</v>
      </c>
      <c r="AS205" s="17">
        <f>Table13[[#This Row],[Time until ideal entry + 390 (6:30)]]+Table13[[#This Row],[Duration of frontside (mins)]]</f>
        <v>390</v>
      </c>
    </row>
    <row r="206" spans="1:45" hidden="1" x14ac:dyDescent="0.25">
      <c r="A206" s="24" t="s">
        <v>274</v>
      </c>
      <c r="B206" s="47">
        <v>44105</v>
      </c>
      <c r="C206" s="47" t="s">
        <v>78</v>
      </c>
      <c r="D206" s="46"/>
      <c r="E206" s="12"/>
      <c r="F206" s="13"/>
      <c r="G206" s="12"/>
      <c r="H206" s="12"/>
      <c r="I206" s="12"/>
      <c r="J206" s="12"/>
      <c r="K206" s="12"/>
      <c r="L206" s="12"/>
      <c r="O206" s="13"/>
      <c r="Q206" s="37"/>
      <c r="R206" s="46"/>
      <c r="S206" s="37"/>
      <c r="T206" s="37"/>
      <c r="U206" s="37"/>
      <c r="V206" s="37"/>
      <c r="W206" s="38"/>
      <c r="X206" s="46"/>
      <c r="Y206" s="37"/>
      <c r="Z206" s="46"/>
      <c r="AA206" s="41">
        <f>Table13[[#This Row],[Time until ideal entry + 390 (6:30)]]/(1440)</f>
        <v>0.27083333333333331</v>
      </c>
      <c r="AB206" s="18"/>
      <c r="AC206" s="18" t="e">
        <f>IF(Table13[[#This Row],[HOD AFTER PM HI]]&gt;=Table13[[#This Row],[PM Hi]],((Table13[[#This Row],[HOD AFTER PM HI]]-Table13[[#This Row],[Prior day close]])/Table13[[#This Row],[Prior day close]]),Table13[[#This Row],[Prior Close to PM Hi %]])</f>
        <v>#DIV/0!</v>
      </c>
      <c r="AD206" s="42" t="e">
        <f>(Table13[[#This Row],[Price at hi of squeeze]]-Table13[[#This Row],[MKT Open Price]])/Table13[[#This Row],[MKT Open Price]]</f>
        <v>#DIV/0!</v>
      </c>
      <c r="AE206" s="18" t="e">
        <f>(Table13[[#This Row],[Price at hi of squeeze]]-Table13[[#This Row],[PM Hi]])/Table13[[#This Row],[PM Hi]]</f>
        <v>#DIV/0!</v>
      </c>
      <c r="AF206" s="18"/>
      <c r="AG206" s="20" t="e">
        <f>Table13[[#This Row],[PM VOL]]/1000000/Table13[[#This Row],[FLOAT(M)]]</f>
        <v>#DIV/0!</v>
      </c>
      <c r="AH206" s="23" t="e">
        <f>(Table13[[#This Row],[Volume]]/1000000)/Table13[[#This Row],[FLOAT(M)]]</f>
        <v>#DIV/0!</v>
      </c>
      <c r="AJ206" s="18" t="e">
        <f>(Table13[[#This Row],[PM Hi]]-Table13[[#This Row],[MKT Open Price]])/(Table13[[#This Row],[PM Hi]])</f>
        <v>#DIV/0!</v>
      </c>
      <c r="AK206" s="18" t="e">
        <f>IF(Table13[[#This Row],[PM LO]]&gt;Table13[[#This Row],[Prior day close]],(Table13[[#This Row],[PM Hi]]-Table13[[#This Row],[MKT Open Price]])/(Table13[[#This Row],[PM Hi]]-Table13[[#This Row],[Prior day close]]),(Table13[[#This Row],[PM Hi]]-Table13[[#This Row],[MKT Open Price]])/(Table13[[#This Row],[PM Hi]]-Table13[[#This Row],[PM LO]]))</f>
        <v>#DIV/0!</v>
      </c>
      <c r="AL206" s="48" t="e">
        <f>IF(Table13[[#This Row],[Prior day close]]&lt;Table13[[#This Row],[PM LO]],(J206-L206)/(J206-Table13[[#This Row],[Prior day close]]),(J206-L206)/(J206-Table13[[#This Row],[PM LO]]))</f>
        <v>#DIV/0!</v>
      </c>
      <c r="AM206" s="48">
        <f>Table13[[#This Row],[Spike % on open before drop]]+AN206</f>
        <v>0</v>
      </c>
      <c r="AN206" s="18"/>
      <c r="AO206" s="16"/>
      <c r="AP206" s="48" t="e">
        <f>IF(Table13[[#This Row],[Prior day close]]&lt;=Table13[[#This Row],[PM LO]],IF($K206&gt;=$G206,($K206-$L206)/($K206-Table13[[#This Row],[Prior day close]]),(IF($I206&lt;=$L206,($G206-$I206)/($G206-Table13[[#This Row],[Prior day close]]),(Table13[[#This Row],[PM Hi]]-Table13[[#This Row],[Lowest lo from open to squeeze]])/(Table13[[#This Row],[PM Hi]]-Table13[[#This Row],[Prior day close]])))),IF($K206&gt;=$G206,($K206-$L206)/($K206-Table13[[#This Row],[PM LO]]),(IF($I206&lt;=$L206,($G206-$I206)/($G206-Table13[[#This Row],[PM LO]]),(Table13[[#This Row],[PM Hi]]-Table13[[#This Row],[Lowest lo from open to squeeze]])/(Table13[[#This Row],[PM Hi]]-Table13[[#This Row],[PM LO]])))))</f>
        <v>#DIV/0!</v>
      </c>
      <c r="AQ206" s="18"/>
      <c r="AR206" s="17">
        <f>390+Table13[[#This Row],[Time until ideal entry point (mins) from open]]</f>
        <v>390</v>
      </c>
      <c r="AS206" s="17">
        <f>Table13[[#This Row],[Time until ideal entry + 390 (6:30)]]+Table13[[#This Row],[Duration of frontside (mins)]]</f>
        <v>390</v>
      </c>
    </row>
    <row r="207" spans="1:45" hidden="1" x14ac:dyDescent="0.25">
      <c r="A207" s="24" t="s">
        <v>275</v>
      </c>
      <c r="B207" s="47">
        <v>44109</v>
      </c>
      <c r="C207" s="47" t="s">
        <v>178</v>
      </c>
      <c r="D207" s="46"/>
      <c r="E207" s="12"/>
      <c r="F207" s="13"/>
      <c r="G207" s="12"/>
      <c r="H207" s="12"/>
      <c r="I207" s="12"/>
      <c r="J207" s="12"/>
      <c r="K207" s="12"/>
      <c r="L207" s="12"/>
      <c r="O207" s="13"/>
      <c r="Q207" s="37"/>
      <c r="R207" s="46"/>
      <c r="S207" s="37"/>
      <c r="T207" s="37"/>
      <c r="U207" s="37"/>
      <c r="V207" s="37"/>
      <c r="W207" s="38"/>
      <c r="X207" s="46"/>
      <c r="Y207" s="37"/>
      <c r="Z207" s="46"/>
      <c r="AA207" s="41">
        <f>Table13[[#This Row],[Time until ideal entry + 390 (6:30)]]/(1440)</f>
        <v>0.27083333333333331</v>
      </c>
      <c r="AB207" s="18"/>
      <c r="AC207" s="18" t="e">
        <f>IF(Table13[[#This Row],[HOD AFTER PM HI]]&gt;=Table13[[#This Row],[PM Hi]],((Table13[[#This Row],[HOD AFTER PM HI]]-Table13[[#This Row],[Prior day close]])/Table13[[#This Row],[Prior day close]]),Table13[[#This Row],[Prior Close to PM Hi %]])</f>
        <v>#DIV/0!</v>
      </c>
      <c r="AD207" s="42" t="e">
        <f>(Table13[[#This Row],[Price at hi of squeeze]]-Table13[[#This Row],[MKT Open Price]])/Table13[[#This Row],[MKT Open Price]]</f>
        <v>#DIV/0!</v>
      </c>
      <c r="AE207" s="18" t="e">
        <f>(Table13[[#This Row],[Price at hi of squeeze]]-Table13[[#This Row],[PM Hi]])/Table13[[#This Row],[PM Hi]]</f>
        <v>#DIV/0!</v>
      </c>
      <c r="AF207" s="18"/>
      <c r="AG207" s="20" t="e">
        <f>Table13[[#This Row],[PM VOL]]/1000000/Table13[[#This Row],[FLOAT(M)]]</f>
        <v>#DIV/0!</v>
      </c>
      <c r="AH207" s="23" t="e">
        <f>(Table13[[#This Row],[Volume]]/1000000)/Table13[[#This Row],[FLOAT(M)]]</f>
        <v>#DIV/0!</v>
      </c>
      <c r="AJ207" s="18" t="e">
        <f>(Table13[[#This Row],[PM Hi]]-Table13[[#This Row],[MKT Open Price]])/(Table13[[#This Row],[PM Hi]])</f>
        <v>#DIV/0!</v>
      </c>
      <c r="AK207" s="18" t="e">
        <f>IF(Table13[[#This Row],[PM LO]]&gt;Table13[[#This Row],[Prior day close]],(Table13[[#This Row],[PM Hi]]-Table13[[#This Row],[MKT Open Price]])/(Table13[[#This Row],[PM Hi]]-Table13[[#This Row],[Prior day close]]),(Table13[[#This Row],[PM Hi]]-Table13[[#This Row],[MKT Open Price]])/(Table13[[#This Row],[PM Hi]]-Table13[[#This Row],[PM LO]]))</f>
        <v>#DIV/0!</v>
      </c>
      <c r="AL207" s="48" t="e">
        <f>IF(Table13[[#This Row],[Prior day close]]&lt;Table13[[#This Row],[PM LO]],(J207-L207)/(J207-Table13[[#This Row],[Prior day close]]),(J207-L207)/(J207-Table13[[#This Row],[PM LO]]))</f>
        <v>#DIV/0!</v>
      </c>
      <c r="AM207" s="48">
        <f>Table13[[#This Row],[Spike % on open before drop]]+AN207</f>
        <v>0</v>
      </c>
      <c r="AN207" s="18"/>
      <c r="AO207" s="16"/>
      <c r="AP207" s="48" t="e">
        <f>IF(Table13[[#This Row],[Prior day close]]&lt;=Table13[[#This Row],[PM LO]],IF($K207&gt;=$G207,($K207-$L207)/($K207-Table13[[#This Row],[Prior day close]]),(IF($I207&lt;=$L207,($G207-$I207)/($G207-Table13[[#This Row],[Prior day close]]),(Table13[[#This Row],[PM Hi]]-Table13[[#This Row],[Lowest lo from open to squeeze]])/(Table13[[#This Row],[PM Hi]]-Table13[[#This Row],[Prior day close]])))),IF($K207&gt;=$G207,($K207-$L207)/($K207-Table13[[#This Row],[PM LO]]),(IF($I207&lt;=$L207,($G207-$I207)/($G207-Table13[[#This Row],[PM LO]]),(Table13[[#This Row],[PM Hi]]-Table13[[#This Row],[Lowest lo from open to squeeze]])/(Table13[[#This Row],[PM Hi]]-Table13[[#This Row],[PM LO]])))))</f>
        <v>#DIV/0!</v>
      </c>
      <c r="AQ207" s="18"/>
      <c r="AR207" s="17">
        <f>390+Table13[[#This Row],[Time until ideal entry point (mins) from open]]</f>
        <v>390</v>
      </c>
      <c r="AS207" s="17">
        <f>Table13[[#This Row],[Time until ideal entry + 390 (6:30)]]+Table13[[#This Row],[Duration of frontside (mins)]]</f>
        <v>390</v>
      </c>
    </row>
    <row r="208" spans="1:45" hidden="1" x14ac:dyDescent="0.25">
      <c r="A208" s="24" t="s">
        <v>276</v>
      </c>
      <c r="B208" s="47">
        <v>44109</v>
      </c>
      <c r="C208" s="47" t="s">
        <v>78</v>
      </c>
      <c r="D208" s="46"/>
      <c r="E208" s="12"/>
      <c r="F208" s="13"/>
      <c r="G208" s="12"/>
      <c r="H208" s="12"/>
      <c r="I208" s="12"/>
      <c r="J208" s="12"/>
      <c r="K208" s="12"/>
      <c r="L208" s="12"/>
      <c r="O208" s="13"/>
      <c r="Q208" s="37"/>
      <c r="R208" s="46"/>
      <c r="S208" s="37"/>
      <c r="T208" s="37"/>
      <c r="U208" s="37"/>
      <c r="V208" s="37"/>
      <c r="W208" s="38"/>
      <c r="X208" s="46"/>
      <c r="Y208" s="37"/>
      <c r="Z208" s="46"/>
      <c r="AA208" s="41">
        <f>Table13[[#This Row],[Time until ideal entry + 390 (6:30)]]/(1440)</f>
        <v>0.27083333333333331</v>
      </c>
      <c r="AB208" s="18"/>
      <c r="AC208" s="18" t="e">
        <f>IF(Table13[[#This Row],[HOD AFTER PM HI]]&gt;=Table13[[#This Row],[PM Hi]],((Table13[[#This Row],[HOD AFTER PM HI]]-Table13[[#This Row],[Prior day close]])/Table13[[#This Row],[Prior day close]]),Table13[[#This Row],[Prior Close to PM Hi %]])</f>
        <v>#DIV/0!</v>
      </c>
      <c r="AD208" s="42" t="e">
        <f>(Table13[[#This Row],[Price at hi of squeeze]]-Table13[[#This Row],[MKT Open Price]])/Table13[[#This Row],[MKT Open Price]]</f>
        <v>#DIV/0!</v>
      </c>
      <c r="AE208" s="18" t="e">
        <f>(Table13[[#This Row],[Price at hi of squeeze]]-Table13[[#This Row],[PM Hi]])/Table13[[#This Row],[PM Hi]]</f>
        <v>#DIV/0!</v>
      </c>
      <c r="AF208" s="18"/>
      <c r="AG208" s="20" t="e">
        <f>Table13[[#This Row],[PM VOL]]/1000000/Table13[[#This Row],[FLOAT(M)]]</f>
        <v>#DIV/0!</v>
      </c>
      <c r="AH208" s="23" t="e">
        <f>(Table13[[#This Row],[Volume]]/1000000)/Table13[[#This Row],[FLOAT(M)]]</f>
        <v>#DIV/0!</v>
      </c>
      <c r="AJ208" s="18" t="e">
        <f>(Table13[[#This Row],[PM Hi]]-Table13[[#This Row],[MKT Open Price]])/(Table13[[#This Row],[PM Hi]])</f>
        <v>#DIV/0!</v>
      </c>
      <c r="AK208" s="18" t="e">
        <f>IF(Table13[[#This Row],[PM LO]]&gt;Table13[[#This Row],[Prior day close]],(Table13[[#This Row],[PM Hi]]-Table13[[#This Row],[MKT Open Price]])/(Table13[[#This Row],[PM Hi]]-Table13[[#This Row],[Prior day close]]),(Table13[[#This Row],[PM Hi]]-Table13[[#This Row],[MKT Open Price]])/(Table13[[#This Row],[PM Hi]]-Table13[[#This Row],[PM LO]]))</f>
        <v>#DIV/0!</v>
      </c>
      <c r="AL208" s="48" t="e">
        <f>IF(Table13[[#This Row],[Prior day close]]&lt;Table13[[#This Row],[PM LO]],(J208-L208)/(J208-Table13[[#This Row],[Prior day close]]),(J208-L208)/(J208-Table13[[#This Row],[PM LO]]))</f>
        <v>#DIV/0!</v>
      </c>
      <c r="AM208" s="48">
        <f>Table13[[#This Row],[Spike % on open before drop]]+AN208</f>
        <v>0</v>
      </c>
      <c r="AN208" s="18"/>
      <c r="AO208" s="16"/>
      <c r="AP208" s="48" t="e">
        <f>IF(Table13[[#This Row],[Prior day close]]&lt;=Table13[[#This Row],[PM LO]],IF($K208&gt;=$G208,($K208-$L208)/($K208-Table13[[#This Row],[Prior day close]]),(IF($I208&lt;=$L208,($G208-$I208)/($G208-Table13[[#This Row],[Prior day close]]),(Table13[[#This Row],[PM Hi]]-Table13[[#This Row],[Lowest lo from open to squeeze]])/(Table13[[#This Row],[PM Hi]]-Table13[[#This Row],[Prior day close]])))),IF($K208&gt;=$G208,($K208-$L208)/($K208-Table13[[#This Row],[PM LO]]),(IF($I208&lt;=$L208,($G208-$I208)/($G208-Table13[[#This Row],[PM LO]]),(Table13[[#This Row],[PM Hi]]-Table13[[#This Row],[Lowest lo from open to squeeze]])/(Table13[[#This Row],[PM Hi]]-Table13[[#This Row],[PM LO]])))))</f>
        <v>#DIV/0!</v>
      </c>
      <c r="AQ208" s="18"/>
      <c r="AR208" s="17">
        <f>390+Table13[[#This Row],[Time until ideal entry point (mins) from open]]</f>
        <v>390</v>
      </c>
      <c r="AS208" s="17">
        <f>Table13[[#This Row],[Time until ideal entry + 390 (6:30)]]+Table13[[#This Row],[Duration of frontside (mins)]]</f>
        <v>390</v>
      </c>
    </row>
    <row r="209" spans="1:45" hidden="1" x14ac:dyDescent="0.25">
      <c r="A209" s="24" t="s">
        <v>74</v>
      </c>
      <c r="B209" s="47">
        <v>44113</v>
      </c>
      <c r="C209" s="47" t="s">
        <v>78</v>
      </c>
      <c r="D209" s="46"/>
      <c r="E209" s="12"/>
      <c r="F209" s="13"/>
      <c r="G209" s="12"/>
      <c r="H209" s="12"/>
      <c r="I209" s="12"/>
      <c r="J209" s="12"/>
      <c r="K209" s="12"/>
      <c r="L209" s="12"/>
      <c r="O209" s="13"/>
      <c r="Q209" s="37"/>
      <c r="R209" s="46"/>
      <c r="S209" s="37"/>
      <c r="T209" s="37"/>
      <c r="U209" s="37"/>
      <c r="V209" s="37"/>
      <c r="W209" s="38"/>
      <c r="X209" s="46"/>
      <c r="Y209" s="37"/>
      <c r="Z209" s="46"/>
      <c r="AA209" s="41">
        <f>Table13[[#This Row],[Time until ideal entry + 390 (6:30)]]/(1440)</f>
        <v>0.27083333333333331</v>
      </c>
      <c r="AB209" s="18"/>
      <c r="AC209" s="18" t="e">
        <f>IF(Table13[[#This Row],[HOD AFTER PM HI]]&gt;=Table13[[#This Row],[PM Hi]],((Table13[[#This Row],[HOD AFTER PM HI]]-Table13[[#This Row],[Prior day close]])/Table13[[#This Row],[Prior day close]]),Table13[[#This Row],[Prior Close to PM Hi %]])</f>
        <v>#DIV/0!</v>
      </c>
      <c r="AD209" s="42" t="e">
        <f>(Table13[[#This Row],[Price at hi of squeeze]]-Table13[[#This Row],[MKT Open Price]])/Table13[[#This Row],[MKT Open Price]]</f>
        <v>#DIV/0!</v>
      </c>
      <c r="AE209" s="18" t="e">
        <f>(Table13[[#This Row],[Price at hi of squeeze]]-Table13[[#This Row],[PM Hi]])/Table13[[#This Row],[PM Hi]]</f>
        <v>#DIV/0!</v>
      </c>
      <c r="AF209" s="18"/>
      <c r="AG209" s="20" t="e">
        <f>Table13[[#This Row],[PM VOL]]/1000000/Table13[[#This Row],[FLOAT(M)]]</f>
        <v>#DIV/0!</v>
      </c>
      <c r="AH209" s="23" t="e">
        <f>(Table13[[#This Row],[Volume]]/1000000)/Table13[[#This Row],[FLOAT(M)]]</f>
        <v>#DIV/0!</v>
      </c>
      <c r="AJ209" s="18" t="e">
        <f>(Table13[[#This Row],[PM Hi]]-Table13[[#This Row],[MKT Open Price]])/(Table13[[#This Row],[PM Hi]])</f>
        <v>#DIV/0!</v>
      </c>
      <c r="AK209" s="18" t="e">
        <f>IF(Table13[[#This Row],[PM LO]]&gt;Table13[[#This Row],[Prior day close]],(Table13[[#This Row],[PM Hi]]-Table13[[#This Row],[MKT Open Price]])/(Table13[[#This Row],[PM Hi]]-Table13[[#This Row],[Prior day close]]),(Table13[[#This Row],[PM Hi]]-Table13[[#This Row],[MKT Open Price]])/(Table13[[#This Row],[PM Hi]]-Table13[[#This Row],[PM LO]]))</f>
        <v>#DIV/0!</v>
      </c>
      <c r="AL209" s="48" t="e">
        <f>IF(Table13[[#This Row],[Prior day close]]&lt;Table13[[#This Row],[PM LO]],(J209-L209)/(J209-Table13[[#This Row],[Prior day close]]),(J209-L209)/(J209-Table13[[#This Row],[PM LO]]))</f>
        <v>#DIV/0!</v>
      </c>
      <c r="AM209" s="48">
        <f>Table13[[#This Row],[Spike % on open before drop]]+AN209</f>
        <v>0</v>
      </c>
      <c r="AN209" s="18"/>
      <c r="AO209" s="16"/>
      <c r="AP209" s="48" t="e">
        <f>IF(Table13[[#This Row],[Prior day close]]&lt;=Table13[[#This Row],[PM LO]],IF($K209&gt;=$G209,($K209-$L209)/($K209-Table13[[#This Row],[Prior day close]]),(IF($I209&lt;=$L209,($G209-$I209)/($G209-Table13[[#This Row],[Prior day close]]),(Table13[[#This Row],[PM Hi]]-Table13[[#This Row],[Lowest lo from open to squeeze]])/(Table13[[#This Row],[PM Hi]]-Table13[[#This Row],[Prior day close]])))),IF($K209&gt;=$G209,($K209-$L209)/($K209-Table13[[#This Row],[PM LO]]),(IF($I209&lt;=$L209,($G209-$I209)/($G209-Table13[[#This Row],[PM LO]]),(Table13[[#This Row],[PM Hi]]-Table13[[#This Row],[Lowest lo from open to squeeze]])/(Table13[[#This Row],[PM Hi]]-Table13[[#This Row],[PM LO]])))))</f>
        <v>#DIV/0!</v>
      </c>
      <c r="AQ209" s="18"/>
      <c r="AR209" s="17">
        <f>390+Table13[[#This Row],[Time until ideal entry point (mins) from open]]</f>
        <v>390</v>
      </c>
      <c r="AS209" s="17">
        <f>Table13[[#This Row],[Time until ideal entry + 390 (6:30)]]+Table13[[#This Row],[Duration of frontside (mins)]]</f>
        <v>390</v>
      </c>
    </row>
    <row r="210" spans="1:45" hidden="1" x14ac:dyDescent="0.25">
      <c r="A210" s="24" t="s">
        <v>277</v>
      </c>
      <c r="B210" s="47">
        <v>44113</v>
      </c>
      <c r="C210" s="47" t="s">
        <v>78</v>
      </c>
      <c r="D210" s="46"/>
      <c r="E210" s="12"/>
      <c r="F210" s="13"/>
      <c r="G210" s="12"/>
      <c r="H210" s="12"/>
      <c r="I210" s="12"/>
      <c r="J210" s="12"/>
      <c r="K210" s="12"/>
      <c r="L210" s="12"/>
      <c r="O210" s="13"/>
      <c r="Q210" s="37"/>
      <c r="R210" s="46"/>
      <c r="S210" s="37"/>
      <c r="T210" s="37"/>
      <c r="U210" s="37"/>
      <c r="V210" s="37"/>
      <c r="W210" s="38"/>
      <c r="X210" s="46"/>
      <c r="Y210" s="37"/>
      <c r="Z210" s="46"/>
      <c r="AA210" s="41">
        <f>Table13[[#This Row],[Time until ideal entry + 390 (6:30)]]/(1440)</f>
        <v>0.27083333333333331</v>
      </c>
      <c r="AB210" s="18"/>
      <c r="AC210" s="18" t="e">
        <f>IF(Table13[[#This Row],[HOD AFTER PM HI]]&gt;=Table13[[#This Row],[PM Hi]],((Table13[[#This Row],[HOD AFTER PM HI]]-Table13[[#This Row],[Prior day close]])/Table13[[#This Row],[Prior day close]]),Table13[[#This Row],[Prior Close to PM Hi %]])</f>
        <v>#DIV/0!</v>
      </c>
      <c r="AD210" s="42" t="e">
        <f>(Table13[[#This Row],[Price at hi of squeeze]]-Table13[[#This Row],[MKT Open Price]])/Table13[[#This Row],[MKT Open Price]]</f>
        <v>#DIV/0!</v>
      </c>
      <c r="AE210" s="18" t="e">
        <f>(Table13[[#This Row],[Price at hi of squeeze]]-Table13[[#This Row],[PM Hi]])/Table13[[#This Row],[PM Hi]]</f>
        <v>#DIV/0!</v>
      </c>
      <c r="AF210" s="18"/>
      <c r="AG210" s="20" t="e">
        <f>Table13[[#This Row],[PM VOL]]/1000000/Table13[[#This Row],[FLOAT(M)]]</f>
        <v>#DIV/0!</v>
      </c>
      <c r="AH210" s="23" t="e">
        <f>(Table13[[#This Row],[Volume]]/1000000)/Table13[[#This Row],[FLOAT(M)]]</f>
        <v>#DIV/0!</v>
      </c>
      <c r="AJ210" s="18" t="e">
        <f>(Table13[[#This Row],[PM Hi]]-Table13[[#This Row],[MKT Open Price]])/(Table13[[#This Row],[PM Hi]])</f>
        <v>#DIV/0!</v>
      </c>
      <c r="AK210" s="18" t="e">
        <f>IF(Table13[[#This Row],[PM LO]]&gt;Table13[[#This Row],[Prior day close]],(Table13[[#This Row],[PM Hi]]-Table13[[#This Row],[MKT Open Price]])/(Table13[[#This Row],[PM Hi]]-Table13[[#This Row],[Prior day close]]),(Table13[[#This Row],[PM Hi]]-Table13[[#This Row],[MKT Open Price]])/(Table13[[#This Row],[PM Hi]]-Table13[[#This Row],[PM LO]]))</f>
        <v>#DIV/0!</v>
      </c>
      <c r="AL210" s="48" t="e">
        <f>IF(Table13[[#This Row],[Prior day close]]&lt;Table13[[#This Row],[PM LO]],(J210-L210)/(J210-Table13[[#This Row],[Prior day close]]),(J210-L210)/(J210-Table13[[#This Row],[PM LO]]))</f>
        <v>#DIV/0!</v>
      </c>
      <c r="AM210" s="48">
        <f>Table13[[#This Row],[Spike % on open before drop]]+AN210</f>
        <v>0</v>
      </c>
      <c r="AN210" s="18"/>
      <c r="AO210" s="16"/>
      <c r="AP210" s="48" t="e">
        <f>IF(Table13[[#This Row],[Prior day close]]&lt;=Table13[[#This Row],[PM LO]],IF($K210&gt;=$G210,($K210-$L210)/($K210-Table13[[#This Row],[Prior day close]]),(IF($I210&lt;=$L210,($G210-$I210)/($G210-Table13[[#This Row],[Prior day close]]),(Table13[[#This Row],[PM Hi]]-Table13[[#This Row],[Lowest lo from open to squeeze]])/(Table13[[#This Row],[PM Hi]]-Table13[[#This Row],[Prior day close]])))),IF($K210&gt;=$G210,($K210-$L210)/($K210-Table13[[#This Row],[PM LO]]),(IF($I210&lt;=$L210,($G210-$I210)/($G210-Table13[[#This Row],[PM LO]]),(Table13[[#This Row],[PM Hi]]-Table13[[#This Row],[Lowest lo from open to squeeze]])/(Table13[[#This Row],[PM Hi]]-Table13[[#This Row],[PM LO]])))))</f>
        <v>#DIV/0!</v>
      </c>
      <c r="AQ210" s="18"/>
      <c r="AR210" s="17">
        <f>390+Table13[[#This Row],[Time until ideal entry point (mins) from open]]</f>
        <v>390</v>
      </c>
      <c r="AS210" s="17">
        <f>Table13[[#This Row],[Time until ideal entry + 390 (6:30)]]+Table13[[#This Row],[Duration of frontside (mins)]]</f>
        <v>390</v>
      </c>
    </row>
    <row r="211" spans="1:45" hidden="1" x14ac:dyDescent="0.25">
      <c r="A211" s="24" t="s">
        <v>278</v>
      </c>
      <c r="B211" s="47">
        <v>44118</v>
      </c>
      <c r="C211" s="47" t="s">
        <v>178</v>
      </c>
      <c r="D211" s="46"/>
      <c r="E211" s="12"/>
      <c r="F211" s="13"/>
      <c r="G211" s="12"/>
      <c r="H211" s="12"/>
      <c r="I211" s="12"/>
      <c r="J211" s="12"/>
      <c r="K211" s="12"/>
      <c r="L211" s="12"/>
      <c r="O211" s="13"/>
      <c r="Q211" s="37"/>
      <c r="R211" s="46"/>
      <c r="S211" s="37"/>
      <c r="T211" s="37"/>
      <c r="U211" s="37"/>
      <c r="V211" s="37"/>
      <c r="W211" s="38"/>
      <c r="X211" s="46"/>
      <c r="Y211" s="37"/>
      <c r="Z211" s="46"/>
      <c r="AA211" s="41">
        <f>Table13[[#This Row],[Time until ideal entry + 390 (6:30)]]/(1440)</f>
        <v>0.27083333333333331</v>
      </c>
      <c r="AB211" s="18"/>
      <c r="AC211" s="18" t="e">
        <f>IF(Table13[[#This Row],[HOD AFTER PM HI]]&gt;=Table13[[#This Row],[PM Hi]],((Table13[[#This Row],[HOD AFTER PM HI]]-Table13[[#This Row],[Prior day close]])/Table13[[#This Row],[Prior day close]]),Table13[[#This Row],[Prior Close to PM Hi %]])</f>
        <v>#DIV/0!</v>
      </c>
      <c r="AD211" s="42" t="e">
        <f>(Table13[[#This Row],[Price at hi of squeeze]]-Table13[[#This Row],[MKT Open Price]])/Table13[[#This Row],[MKT Open Price]]</f>
        <v>#DIV/0!</v>
      </c>
      <c r="AE211" s="18" t="e">
        <f>(Table13[[#This Row],[Price at hi of squeeze]]-Table13[[#This Row],[PM Hi]])/Table13[[#This Row],[PM Hi]]</f>
        <v>#DIV/0!</v>
      </c>
      <c r="AF211" s="18"/>
      <c r="AG211" s="20" t="e">
        <f>Table13[[#This Row],[PM VOL]]/1000000/Table13[[#This Row],[FLOAT(M)]]</f>
        <v>#DIV/0!</v>
      </c>
      <c r="AH211" s="23" t="e">
        <f>(Table13[[#This Row],[Volume]]/1000000)/Table13[[#This Row],[FLOAT(M)]]</f>
        <v>#DIV/0!</v>
      </c>
      <c r="AJ211" s="18" t="e">
        <f>(Table13[[#This Row],[PM Hi]]-Table13[[#This Row],[MKT Open Price]])/(Table13[[#This Row],[PM Hi]])</f>
        <v>#DIV/0!</v>
      </c>
      <c r="AK211" s="18" t="e">
        <f>IF(Table13[[#This Row],[PM LO]]&gt;Table13[[#This Row],[Prior day close]],(Table13[[#This Row],[PM Hi]]-Table13[[#This Row],[MKT Open Price]])/(Table13[[#This Row],[PM Hi]]-Table13[[#This Row],[Prior day close]]),(Table13[[#This Row],[PM Hi]]-Table13[[#This Row],[MKT Open Price]])/(Table13[[#This Row],[PM Hi]]-Table13[[#This Row],[PM LO]]))</f>
        <v>#DIV/0!</v>
      </c>
      <c r="AL211" s="48" t="e">
        <f>IF(Table13[[#This Row],[Prior day close]]&lt;Table13[[#This Row],[PM LO]],(J211-L211)/(J211-Table13[[#This Row],[Prior day close]]),(J211-L211)/(J211-Table13[[#This Row],[PM LO]]))</f>
        <v>#DIV/0!</v>
      </c>
      <c r="AM211" s="48">
        <f>Table13[[#This Row],[Spike % on open before drop]]+AN211</f>
        <v>0</v>
      </c>
      <c r="AN211" s="18"/>
      <c r="AO211" s="16"/>
      <c r="AP211" s="48" t="e">
        <f>IF(Table13[[#This Row],[Prior day close]]&lt;=Table13[[#This Row],[PM LO]],IF($K211&gt;=$G211,($K211-$L211)/($K211-Table13[[#This Row],[Prior day close]]),(IF($I211&lt;=$L211,($G211-$I211)/($G211-Table13[[#This Row],[Prior day close]]),(Table13[[#This Row],[PM Hi]]-Table13[[#This Row],[Lowest lo from open to squeeze]])/(Table13[[#This Row],[PM Hi]]-Table13[[#This Row],[Prior day close]])))),IF($K211&gt;=$G211,($K211-$L211)/($K211-Table13[[#This Row],[PM LO]]),(IF($I211&lt;=$L211,($G211-$I211)/($G211-Table13[[#This Row],[PM LO]]),(Table13[[#This Row],[PM Hi]]-Table13[[#This Row],[Lowest lo from open to squeeze]])/(Table13[[#This Row],[PM Hi]]-Table13[[#This Row],[PM LO]])))))</f>
        <v>#DIV/0!</v>
      </c>
      <c r="AQ211" s="18"/>
      <c r="AR211" s="17">
        <f>390+Table13[[#This Row],[Time until ideal entry point (mins) from open]]</f>
        <v>390</v>
      </c>
      <c r="AS211" s="17">
        <f>Table13[[#This Row],[Time until ideal entry + 390 (6:30)]]+Table13[[#This Row],[Duration of frontside (mins)]]</f>
        <v>390</v>
      </c>
    </row>
    <row r="212" spans="1:45" hidden="1" x14ac:dyDescent="0.25">
      <c r="A212" s="24" t="s">
        <v>279</v>
      </c>
      <c r="B212" s="47">
        <v>44119</v>
      </c>
      <c r="C212" s="47" t="s">
        <v>178</v>
      </c>
      <c r="D212" s="46"/>
      <c r="E212" s="12"/>
      <c r="F212" s="13"/>
      <c r="G212" s="12"/>
      <c r="H212" s="12"/>
      <c r="I212" s="12"/>
      <c r="J212" s="12"/>
      <c r="K212" s="12"/>
      <c r="L212" s="12"/>
      <c r="O212" s="13"/>
      <c r="Q212" s="37"/>
      <c r="R212" s="46"/>
      <c r="S212" s="37"/>
      <c r="T212" s="37"/>
      <c r="U212" s="37"/>
      <c r="V212" s="37"/>
      <c r="W212" s="38"/>
      <c r="X212" s="46"/>
      <c r="Y212" s="37"/>
      <c r="Z212" s="46"/>
      <c r="AA212" s="41">
        <f>Table13[[#This Row],[Time until ideal entry + 390 (6:30)]]/(1440)</f>
        <v>0.27083333333333331</v>
      </c>
      <c r="AB212" s="18"/>
      <c r="AC212" s="18" t="e">
        <f>IF(Table13[[#This Row],[HOD AFTER PM HI]]&gt;=Table13[[#This Row],[PM Hi]],((Table13[[#This Row],[HOD AFTER PM HI]]-Table13[[#This Row],[Prior day close]])/Table13[[#This Row],[Prior day close]]),Table13[[#This Row],[Prior Close to PM Hi %]])</f>
        <v>#DIV/0!</v>
      </c>
      <c r="AD212" s="42" t="e">
        <f>(Table13[[#This Row],[Price at hi of squeeze]]-Table13[[#This Row],[MKT Open Price]])/Table13[[#This Row],[MKT Open Price]]</f>
        <v>#DIV/0!</v>
      </c>
      <c r="AE212" s="18" t="e">
        <f>(Table13[[#This Row],[Price at hi of squeeze]]-Table13[[#This Row],[PM Hi]])/Table13[[#This Row],[PM Hi]]</f>
        <v>#DIV/0!</v>
      </c>
      <c r="AF212" s="18"/>
      <c r="AG212" s="20" t="e">
        <f>Table13[[#This Row],[PM VOL]]/1000000/Table13[[#This Row],[FLOAT(M)]]</f>
        <v>#DIV/0!</v>
      </c>
      <c r="AH212" s="23" t="e">
        <f>(Table13[[#This Row],[Volume]]/1000000)/Table13[[#This Row],[FLOAT(M)]]</f>
        <v>#DIV/0!</v>
      </c>
      <c r="AJ212" s="18" t="e">
        <f>(Table13[[#This Row],[PM Hi]]-Table13[[#This Row],[MKT Open Price]])/(Table13[[#This Row],[PM Hi]])</f>
        <v>#DIV/0!</v>
      </c>
      <c r="AK212" s="18" t="e">
        <f>IF(Table13[[#This Row],[PM LO]]&gt;Table13[[#This Row],[Prior day close]],(Table13[[#This Row],[PM Hi]]-Table13[[#This Row],[MKT Open Price]])/(Table13[[#This Row],[PM Hi]]-Table13[[#This Row],[Prior day close]]),(Table13[[#This Row],[PM Hi]]-Table13[[#This Row],[MKT Open Price]])/(Table13[[#This Row],[PM Hi]]-Table13[[#This Row],[PM LO]]))</f>
        <v>#DIV/0!</v>
      </c>
      <c r="AL212" s="48" t="e">
        <f>IF(Table13[[#This Row],[Prior day close]]&lt;Table13[[#This Row],[PM LO]],(J212-L212)/(J212-Table13[[#This Row],[Prior day close]]),(J212-L212)/(J212-Table13[[#This Row],[PM LO]]))</f>
        <v>#DIV/0!</v>
      </c>
      <c r="AM212" s="48">
        <f>Table13[[#This Row],[Spike % on open before drop]]+AN212</f>
        <v>0</v>
      </c>
      <c r="AN212" s="18"/>
      <c r="AO212" s="16"/>
      <c r="AP212" s="48" t="e">
        <f>IF(Table13[[#This Row],[Prior day close]]&lt;=Table13[[#This Row],[PM LO]],IF($K212&gt;=$G212,($K212-$L212)/($K212-Table13[[#This Row],[Prior day close]]),(IF($I212&lt;=$L212,($G212-$I212)/($G212-Table13[[#This Row],[Prior day close]]),(Table13[[#This Row],[PM Hi]]-Table13[[#This Row],[Lowest lo from open to squeeze]])/(Table13[[#This Row],[PM Hi]]-Table13[[#This Row],[Prior day close]])))),IF($K212&gt;=$G212,($K212-$L212)/($K212-Table13[[#This Row],[PM LO]]),(IF($I212&lt;=$L212,($G212-$I212)/($G212-Table13[[#This Row],[PM LO]]),(Table13[[#This Row],[PM Hi]]-Table13[[#This Row],[Lowest lo from open to squeeze]])/(Table13[[#This Row],[PM Hi]]-Table13[[#This Row],[PM LO]])))))</f>
        <v>#DIV/0!</v>
      </c>
      <c r="AQ212" s="18"/>
      <c r="AR212" s="17">
        <f>390+Table13[[#This Row],[Time until ideal entry point (mins) from open]]</f>
        <v>390</v>
      </c>
      <c r="AS212" s="17">
        <f>Table13[[#This Row],[Time until ideal entry + 390 (6:30)]]+Table13[[#This Row],[Duration of frontside (mins)]]</f>
        <v>390</v>
      </c>
    </row>
    <row r="213" spans="1:45" hidden="1" x14ac:dyDescent="0.25">
      <c r="A213" s="24" t="s">
        <v>280</v>
      </c>
      <c r="B213" s="47">
        <v>44124</v>
      </c>
      <c r="C213" s="47" t="s">
        <v>178</v>
      </c>
      <c r="D213" s="46" t="s">
        <v>281</v>
      </c>
      <c r="E213" s="12"/>
      <c r="F213" s="13"/>
      <c r="G213" s="12"/>
      <c r="H213" s="12"/>
      <c r="I213" s="12"/>
      <c r="J213" s="12"/>
      <c r="K213" s="12"/>
      <c r="L213" s="12"/>
      <c r="O213" s="13"/>
      <c r="Q213" s="37"/>
      <c r="R213" s="46"/>
      <c r="S213" s="37"/>
      <c r="T213" s="37"/>
      <c r="U213" s="37"/>
      <c r="V213" s="37"/>
      <c r="W213" s="38"/>
      <c r="X213" s="46"/>
      <c r="Y213" s="37"/>
      <c r="Z213" s="46"/>
      <c r="AA213" s="41">
        <f>Table13[[#This Row],[Time until ideal entry + 390 (6:30)]]/(1440)</f>
        <v>0.27083333333333331</v>
      </c>
      <c r="AB213" s="18"/>
      <c r="AC213" s="18" t="e">
        <f>IF(Table13[[#This Row],[HOD AFTER PM HI]]&gt;=Table13[[#This Row],[PM Hi]],((Table13[[#This Row],[HOD AFTER PM HI]]-Table13[[#This Row],[Prior day close]])/Table13[[#This Row],[Prior day close]]),Table13[[#This Row],[Prior Close to PM Hi %]])</f>
        <v>#DIV/0!</v>
      </c>
      <c r="AD213" s="42" t="e">
        <f>(Table13[[#This Row],[Price at hi of squeeze]]-Table13[[#This Row],[MKT Open Price]])/Table13[[#This Row],[MKT Open Price]]</f>
        <v>#DIV/0!</v>
      </c>
      <c r="AE213" s="18" t="e">
        <f>(Table13[[#This Row],[Price at hi of squeeze]]-Table13[[#This Row],[PM Hi]])/Table13[[#This Row],[PM Hi]]</f>
        <v>#DIV/0!</v>
      </c>
      <c r="AF213" s="18"/>
      <c r="AG213" s="20" t="e">
        <f>Table13[[#This Row],[PM VOL]]/1000000/Table13[[#This Row],[FLOAT(M)]]</f>
        <v>#DIV/0!</v>
      </c>
      <c r="AH213" s="23" t="e">
        <f>(Table13[[#This Row],[Volume]]/1000000)/Table13[[#This Row],[FLOAT(M)]]</f>
        <v>#DIV/0!</v>
      </c>
      <c r="AJ213" s="18" t="e">
        <f>(Table13[[#This Row],[PM Hi]]-Table13[[#This Row],[MKT Open Price]])/(Table13[[#This Row],[PM Hi]])</f>
        <v>#DIV/0!</v>
      </c>
      <c r="AK213" s="18" t="e">
        <f>IF(Table13[[#This Row],[PM LO]]&gt;Table13[[#This Row],[Prior day close]],(Table13[[#This Row],[PM Hi]]-Table13[[#This Row],[MKT Open Price]])/(Table13[[#This Row],[PM Hi]]-Table13[[#This Row],[Prior day close]]),(Table13[[#This Row],[PM Hi]]-Table13[[#This Row],[MKT Open Price]])/(Table13[[#This Row],[PM Hi]]-Table13[[#This Row],[PM LO]]))</f>
        <v>#DIV/0!</v>
      </c>
      <c r="AL213" s="48" t="e">
        <f>IF(Table13[[#This Row],[Prior day close]]&lt;Table13[[#This Row],[PM LO]],(J213-L213)/(J213-Table13[[#This Row],[Prior day close]]),(J213-L213)/(J213-Table13[[#This Row],[PM LO]]))</f>
        <v>#DIV/0!</v>
      </c>
      <c r="AM213" s="48">
        <f>Table13[[#This Row],[Spike % on open before drop]]+AN213</f>
        <v>0</v>
      </c>
      <c r="AN213" s="18"/>
      <c r="AO213" s="16"/>
      <c r="AP213" s="48" t="e">
        <f>IF(Table13[[#This Row],[Prior day close]]&lt;=Table13[[#This Row],[PM LO]],IF($K213&gt;=$G213,($K213-$L213)/($K213-Table13[[#This Row],[Prior day close]]),(IF($I213&lt;=$L213,($G213-$I213)/($G213-Table13[[#This Row],[Prior day close]]),(Table13[[#This Row],[PM Hi]]-Table13[[#This Row],[Lowest lo from open to squeeze]])/(Table13[[#This Row],[PM Hi]]-Table13[[#This Row],[Prior day close]])))),IF($K213&gt;=$G213,($K213-$L213)/($K213-Table13[[#This Row],[PM LO]]),(IF($I213&lt;=$L213,($G213-$I213)/($G213-Table13[[#This Row],[PM LO]]),(Table13[[#This Row],[PM Hi]]-Table13[[#This Row],[Lowest lo from open to squeeze]])/(Table13[[#This Row],[PM Hi]]-Table13[[#This Row],[PM LO]])))))</f>
        <v>#DIV/0!</v>
      </c>
      <c r="AQ213" s="18"/>
      <c r="AR213" s="17">
        <f>390+Table13[[#This Row],[Time until ideal entry point (mins) from open]]</f>
        <v>390</v>
      </c>
      <c r="AS213" s="17">
        <f>Table13[[#This Row],[Time until ideal entry + 390 (6:30)]]+Table13[[#This Row],[Duration of frontside (mins)]]</f>
        <v>390</v>
      </c>
    </row>
    <row r="214" spans="1:45" hidden="1" x14ac:dyDescent="0.25">
      <c r="A214" s="24" t="s">
        <v>282</v>
      </c>
      <c r="B214" s="47">
        <v>44126</v>
      </c>
      <c r="C214" s="47" t="s">
        <v>178</v>
      </c>
      <c r="D214" s="46" t="s">
        <v>283</v>
      </c>
      <c r="E214" s="12"/>
      <c r="F214" s="13"/>
      <c r="G214" s="12"/>
      <c r="H214" s="12"/>
      <c r="I214" s="12"/>
      <c r="J214" s="12"/>
      <c r="K214" s="12"/>
      <c r="L214" s="12"/>
      <c r="O214" s="13"/>
      <c r="Q214" s="37"/>
      <c r="R214" s="46"/>
      <c r="S214" s="37"/>
      <c r="T214" s="37"/>
      <c r="U214" s="37"/>
      <c r="V214" s="37"/>
      <c r="W214" s="38"/>
      <c r="X214" s="46"/>
      <c r="Y214" s="37"/>
      <c r="Z214" s="46"/>
      <c r="AA214" s="41">
        <f>Table13[[#This Row],[Time until ideal entry + 390 (6:30)]]/(1440)</f>
        <v>0.27083333333333331</v>
      </c>
      <c r="AB214" s="18"/>
      <c r="AC214" s="18" t="e">
        <f>IF(Table13[[#This Row],[HOD AFTER PM HI]]&gt;=Table13[[#This Row],[PM Hi]],((Table13[[#This Row],[HOD AFTER PM HI]]-Table13[[#This Row],[Prior day close]])/Table13[[#This Row],[Prior day close]]),Table13[[#This Row],[Prior Close to PM Hi %]])</f>
        <v>#DIV/0!</v>
      </c>
      <c r="AD214" s="42" t="e">
        <f>(Table13[[#This Row],[Price at hi of squeeze]]-Table13[[#This Row],[MKT Open Price]])/Table13[[#This Row],[MKT Open Price]]</f>
        <v>#DIV/0!</v>
      </c>
      <c r="AE214" s="18" t="e">
        <f>(Table13[[#This Row],[Price at hi of squeeze]]-Table13[[#This Row],[PM Hi]])/Table13[[#This Row],[PM Hi]]</f>
        <v>#DIV/0!</v>
      </c>
      <c r="AF214" s="18"/>
      <c r="AG214" s="20" t="e">
        <f>Table13[[#This Row],[PM VOL]]/1000000/Table13[[#This Row],[FLOAT(M)]]</f>
        <v>#DIV/0!</v>
      </c>
      <c r="AH214" s="23" t="e">
        <f>(Table13[[#This Row],[Volume]]/1000000)/Table13[[#This Row],[FLOAT(M)]]</f>
        <v>#DIV/0!</v>
      </c>
      <c r="AJ214" s="18" t="e">
        <f>(Table13[[#This Row],[PM Hi]]-Table13[[#This Row],[MKT Open Price]])/(Table13[[#This Row],[PM Hi]])</f>
        <v>#DIV/0!</v>
      </c>
      <c r="AK214" s="18" t="e">
        <f>IF(Table13[[#This Row],[PM LO]]&gt;Table13[[#This Row],[Prior day close]],(Table13[[#This Row],[PM Hi]]-Table13[[#This Row],[MKT Open Price]])/(Table13[[#This Row],[PM Hi]]-Table13[[#This Row],[Prior day close]]),(Table13[[#This Row],[PM Hi]]-Table13[[#This Row],[MKT Open Price]])/(Table13[[#This Row],[PM Hi]]-Table13[[#This Row],[PM LO]]))</f>
        <v>#DIV/0!</v>
      </c>
      <c r="AL214" s="48" t="e">
        <f>IF(Table13[[#This Row],[Prior day close]]&lt;Table13[[#This Row],[PM LO]],(J214-L214)/(J214-Table13[[#This Row],[Prior day close]]),(J214-L214)/(J214-Table13[[#This Row],[PM LO]]))</f>
        <v>#DIV/0!</v>
      </c>
      <c r="AM214" s="48">
        <f>Table13[[#This Row],[Spike % on open before drop]]+AN214</f>
        <v>0</v>
      </c>
      <c r="AN214" s="18"/>
      <c r="AO214" s="16"/>
      <c r="AP214" s="48" t="e">
        <f>IF(Table13[[#This Row],[Prior day close]]&lt;=Table13[[#This Row],[PM LO]],IF($K214&gt;=$G214,($K214-$L214)/($K214-Table13[[#This Row],[Prior day close]]),(IF($I214&lt;=$L214,($G214-$I214)/($G214-Table13[[#This Row],[Prior day close]]),(Table13[[#This Row],[PM Hi]]-Table13[[#This Row],[Lowest lo from open to squeeze]])/(Table13[[#This Row],[PM Hi]]-Table13[[#This Row],[Prior day close]])))),IF($K214&gt;=$G214,($K214-$L214)/($K214-Table13[[#This Row],[PM LO]]),(IF($I214&lt;=$L214,($G214-$I214)/($G214-Table13[[#This Row],[PM LO]]),(Table13[[#This Row],[PM Hi]]-Table13[[#This Row],[Lowest lo from open to squeeze]])/(Table13[[#This Row],[PM Hi]]-Table13[[#This Row],[PM LO]])))))</f>
        <v>#DIV/0!</v>
      </c>
      <c r="AQ214" s="18"/>
      <c r="AR214" s="17">
        <f>390+Table13[[#This Row],[Time until ideal entry point (mins) from open]]</f>
        <v>390</v>
      </c>
      <c r="AS214" s="17">
        <f>Table13[[#This Row],[Time until ideal entry + 390 (6:30)]]+Table13[[#This Row],[Duration of frontside (mins)]]</f>
        <v>390</v>
      </c>
    </row>
    <row r="215" spans="1:45" hidden="1" x14ac:dyDescent="0.25">
      <c r="A215" s="24" t="s">
        <v>284</v>
      </c>
      <c r="B215" s="47">
        <v>44130</v>
      </c>
      <c r="C215" s="47" t="s">
        <v>178</v>
      </c>
      <c r="D215" s="46"/>
      <c r="E215" s="12"/>
      <c r="F215" s="13"/>
      <c r="G215" s="12"/>
      <c r="H215" s="12"/>
      <c r="I215" s="12"/>
      <c r="J215" s="12"/>
      <c r="K215" s="12"/>
      <c r="L215" s="12"/>
      <c r="O215" s="13"/>
      <c r="Q215" s="37"/>
      <c r="R215" s="46"/>
      <c r="S215" s="37"/>
      <c r="T215" s="37"/>
      <c r="U215" s="37"/>
      <c r="V215" s="37"/>
      <c r="W215" s="38"/>
      <c r="X215" s="46"/>
      <c r="Y215" s="37"/>
      <c r="Z215" s="46"/>
      <c r="AA215" s="41">
        <f>Table13[[#This Row],[Time until ideal entry + 390 (6:30)]]/(1440)</f>
        <v>0.27083333333333331</v>
      </c>
      <c r="AB215" s="18"/>
      <c r="AC215" s="18" t="e">
        <f>IF(Table13[[#This Row],[HOD AFTER PM HI]]&gt;=Table13[[#This Row],[PM Hi]],((Table13[[#This Row],[HOD AFTER PM HI]]-Table13[[#This Row],[Prior day close]])/Table13[[#This Row],[Prior day close]]),Table13[[#This Row],[Prior Close to PM Hi %]])</f>
        <v>#DIV/0!</v>
      </c>
      <c r="AD215" s="42" t="e">
        <f>(Table13[[#This Row],[Price at hi of squeeze]]-Table13[[#This Row],[MKT Open Price]])/Table13[[#This Row],[MKT Open Price]]</f>
        <v>#DIV/0!</v>
      </c>
      <c r="AE215" s="18" t="e">
        <f>(Table13[[#This Row],[Price at hi of squeeze]]-Table13[[#This Row],[PM Hi]])/Table13[[#This Row],[PM Hi]]</f>
        <v>#DIV/0!</v>
      </c>
      <c r="AF215" s="18"/>
      <c r="AG215" s="20" t="e">
        <f>Table13[[#This Row],[PM VOL]]/1000000/Table13[[#This Row],[FLOAT(M)]]</f>
        <v>#DIV/0!</v>
      </c>
      <c r="AH215" s="23" t="e">
        <f>(Table13[[#This Row],[Volume]]/1000000)/Table13[[#This Row],[FLOAT(M)]]</f>
        <v>#DIV/0!</v>
      </c>
      <c r="AJ215" s="18" t="e">
        <f>(Table13[[#This Row],[PM Hi]]-Table13[[#This Row],[MKT Open Price]])/(Table13[[#This Row],[PM Hi]])</f>
        <v>#DIV/0!</v>
      </c>
      <c r="AK215" s="18" t="e">
        <f>IF(Table13[[#This Row],[PM LO]]&gt;Table13[[#This Row],[Prior day close]],(Table13[[#This Row],[PM Hi]]-Table13[[#This Row],[MKT Open Price]])/(Table13[[#This Row],[PM Hi]]-Table13[[#This Row],[Prior day close]]),(Table13[[#This Row],[PM Hi]]-Table13[[#This Row],[MKT Open Price]])/(Table13[[#This Row],[PM Hi]]-Table13[[#This Row],[PM LO]]))</f>
        <v>#DIV/0!</v>
      </c>
      <c r="AL215" s="48" t="e">
        <f>IF(Table13[[#This Row],[Prior day close]]&lt;Table13[[#This Row],[PM LO]],(J215-L215)/(J215-Table13[[#This Row],[Prior day close]]),(J215-L215)/(J215-Table13[[#This Row],[PM LO]]))</f>
        <v>#DIV/0!</v>
      </c>
      <c r="AM215" s="48">
        <f>Table13[[#This Row],[Spike % on open before drop]]+AN215</f>
        <v>0</v>
      </c>
      <c r="AN215" s="18"/>
      <c r="AO215" s="16"/>
      <c r="AP215" s="48" t="e">
        <f>IF(Table13[[#This Row],[Prior day close]]&lt;=Table13[[#This Row],[PM LO]],IF($K215&gt;=$G215,($K215-$L215)/($K215-Table13[[#This Row],[Prior day close]]),(IF($I215&lt;=$L215,($G215-$I215)/($G215-Table13[[#This Row],[Prior day close]]),(Table13[[#This Row],[PM Hi]]-Table13[[#This Row],[Lowest lo from open to squeeze]])/(Table13[[#This Row],[PM Hi]]-Table13[[#This Row],[Prior day close]])))),IF($K215&gt;=$G215,($K215-$L215)/($K215-Table13[[#This Row],[PM LO]]),(IF($I215&lt;=$L215,($G215-$I215)/($G215-Table13[[#This Row],[PM LO]]),(Table13[[#This Row],[PM Hi]]-Table13[[#This Row],[Lowest lo from open to squeeze]])/(Table13[[#This Row],[PM Hi]]-Table13[[#This Row],[PM LO]])))))</f>
        <v>#DIV/0!</v>
      </c>
      <c r="AQ215" s="18"/>
      <c r="AR215" s="17">
        <f>390+Table13[[#This Row],[Time until ideal entry point (mins) from open]]</f>
        <v>390</v>
      </c>
      <c r="AS215" s="17">
        <f>Table13[[#This Row],[Time until ideal entry + 390 (6:30)]]+Table13[[#This Row],[Duration of frontside (mins)]]</f>
        <v>390</v>
      </c>
    </row>
    <row r="216" spans="1:45" hidden="1" x14ac:dyDescent="0.25">
      <c r="A216" s="24" t="s">
        <v>149</v>
      </c>
      <c r="B216" s="47">
        <v>44140</v>
      </c>
      <c r="C216" s="47" t="s">
        <v>178</v>
      </c>
      <c r="D216" s="46" t="s">
        <v>285</v>
      </c>
      <c r="E216" s="12"/>
      <c r="F216" s="13"/>
      <c r="G216" s="12"/>
      <c r="H216" s="12"/>
      <c r="I216" s="12"/>
      <c r="J216" s="12"/>
      <c r="K216" s="12"/>
      <c r="L216" s="12"/>
      <c r="O216" s="13"/>
      <c r="Q216" s="37"/>
      <c r="R216" s="46"/>
      <c r="S216" s="37"/>
      <c r="T216" s="37"/>
      <c r="U216" s="37"/>
      <c r="V216" s="37"/>
      <c r="W216" s="38"/>
      <c r="X216" s="46"/>
      <c r="Y216" s="37"/>
      <c r="Z216" s="46"/>
      <c r="AA216" s="41">
        <f>Table13[[#This Row],[Time until ideal entry + 390 (6:30)]]/(1440)</f>
        <v>0.27083333333333331</v>
      </c>
      <c r="AB216" s="18"/>
      <c r="AC216" s="18" t="e">
        <f>IF(Table13[[#This Row],[HOD AFTER PM HI]]&gt;=Table13[[#This Row],[PM Hi]],((Table13[[#This Row],[HOD AFTER PM HI]]-Table13[[#This Row],[Prior day close]])/Table13[[#This Row],[Prior day close]]),Table13[[#This Row],[Prior Close to PM Hi %]])</f>
        <v>#DIV/0!</v>
      </c>
      <c r="AD216" s="42" t="e">
        <f>(Table13[[#This Row],[Price at hi of squeeze]]-Table13[[#This Row],[MKT Open Price]])/Table13[[#This Row],[MKT Open Price]]</f>
        <v>#DIV/0!</v>
      </c>
      <c r="AE216" s="18" t="e">
        <f>(Table13[[#This Row],[Price at hi of squeeze]]-Table13[[#This Row],[PM Hi]])/Table13[[#This Row],[PM Hi]]</f>
        <v>#DIV/0!</v>
      </c>
      <c r="AF216" s="18"/>
      <c r="AG216" s="20" t="e">
        <f>Table13[[#This Row],[PM VOL]]/1000000/Table13[[#This Row],[FLOAT(M)]]</f>
        <v>#DIV/0!</v>
      </c>
      <c r="AH216" s="23" t="e">
        <f>(Table13[[#This Row],[Volume]]/1000000)/Table13[[#This Row],[FLOAT(M)]]</f>
        <v>#DIV/0!</v>
      </c>
      <c r="AJ216" s="18" t="e">
        <f>(Table13[[#This Row],[PM Hi]]-Table13[[#This Row],[MKT Open Price]])/(Table13[[#This Row],[PM Hi]])</f>
        <v>#DIV/0!</v>
      </c>
      <c r="AK216" s="18" t="e">
        <f>IF(Table13[[#This Row],[PM LO]]&gt;Table13[[#This Row],[Prior day close]],(Table13[[#This Row],[PM Hi]]-Table13[[#This Row],[MKT Open Price]])/(Table13[[#This Row],[PM Hi]]-Table13[[#This Row],[Prior day close]]),(Table13[[#This Row],[PM Hi]]-Table13[[#This Row],[MKT Open Price]])/(Table13[[#This Row],[PM Hi]]-Table13[[#This Row],[PM LO]]))</f>
        <v>#DIV/0!</v>
      </c>
      <c r="AL216" s="48" t="e">
        <f>IF(Table13[[#This Row],[Prior day close]]&lt;Table13[[#This Row],[PM LO]],(J216-L216)/(J216-Table13[[#This Row],[Prior day close]]),(J216-L216)/(J216-Table13[[#This Row],[PM LO]]))</f>
        <v>#DIV/0!</v>
      </c>
      <c r="AM216" s="48">
        <f>Table13[[#This Row],[Spike % on open before drop]]+AN216</f>
        <v>0</v>
      </c>
      <c r="AN216" s="18"/>
      <c r="AO216" s="16"/>
      <c r="AP216" s="48" t="e">
        <f>IF(Table13[[#This Row],[Prior day close]]&lt;=Table13[[#This Row],[PM LO]],IF($K216&gt;=$G216,($K216-$L216)/($K216-Table13[[#This Row],[Prior day close]]),(IF($I216&lt;=$L216,($G216-$I216)/($G216-Table13[[#This Row],[Prior day close]]),(Table13[[#This Row],[PM Hi]]-Table13[[#This Row],[Lowest lo from open to squeeze]])/(Table13[[#This Row],[PM Hi]]-Table13[[#This Row],[Prior day close]])))),IF($K216&gt;=$G216,($K216-$L216)/($K216-Table13[[#This Row],[PM LO]]),(IF($I216&lt;=$L216,($G216-$I216)/($G216-Table13[[#This Row],[PM LO]]),(Table13[[#This Row],[PM Hi]]-Table13[[#This Row],[Lowest lo from open to squeeze]])/(Table13[[#This Row],[PM Hi]]-Table13[[#This Row],[PM LO]])))))</f>
        <v>#DIV/0!</v>
      </c>
      <c r="AQ216" s="18"/>
      <c r="AR216" s="17">
        <f>390+Table13[[#This Row],[Time until ideal entry point (mins) from open]]</f>
        <v>390</v>
      </c>
      <c r="AS216" s="17">
        <f>Table13[[#This Row],[Time until ideal entry + 390 (6:30)]]+Table13[[#This Row],[Duration of frontside (mins)]]</f>
        <v>390</v>
      </c>
    </row>
    <row r="217" spans="1:45" hidden="1" x14ac:dyDescent="0.25">
      <c r="A217" s="24" t="s">
        <v>286</v>
      </c>
      <c r="B217" s="47">
        <v>44144</v>
      </c>
      <c r="C217" s="47" t="s">
        <v>178</v>
      </c>
      <c r="D217" s="46" t="s">
        <v>285</v>
      </c>
      <c r="E217" s="12"/>
      <c r="F217" s="13"/>
      <c r="G217" s="12"/>
      <c r="H217" s="12"/>
      <c r="I217" s="12"/>
      <c r="J217" s="12"/>
      <c r="K217" s="12"/>
      <c r="L217" s="12"/>
      <c r="O217" s="13"/>
      <c r="Q217" s="37"/>
      <c r="R217" s="46"/>
      <c r="S217" s="37"/>
      <c r="T217" s="37"/>
      <c r="U217" s="37"/>
      <c r="V217" s="37"/>
      <c r="W217" s="38"/>
      <c r="X217" s="46"/>
      <c r="Y217" s="37"/>
      <c r="Z217" s="46"/>
      <c r="AA217" s="41">
        <f>Table13[[#This Row],[Time until ideal entry + 390 (6:30)]]/(1440)</f>
        <v>0.27083333333333331</v>
      </c>
      <c r="AB217" s="18"/>
      <c r="AC217" s="18" t="e">
        <f>IF(Table13[[#This Row],[HOD AFTER PM HI]]&gt;=Table13[[#This Row],[PM Hi]],((Table13[[#This Row],[HOD AFTER PM HI]]-Table13[[#This Row],[Prior day close]])/Table13[[#This Row],[Prior day close]]),Table13[[#This Row],[Prior Close to PM Hi %]])</f>
        <v>#DIV/0!</v>
      </c>
      <c r="AD217" s="42" t="e">
        <f>(Table13[[#This Row],[Price at hi of squeeze]]-Table13[[#This Row],[MKT Open Price]])/Table13[[#This Row],[MKT Open Price]]</f>
        <v>#DIV/0!</v>
      </c>
      <c r="AE217" s="18" t="e">
        <f>(Table13[[#This Row],[Price at hi of squeeze]]-Table13[[#This Row],[PM Hi]])/Table13[[#This Row],[PM Hi]]</f>
        <v>#DIV/0!</v>
      </c>
      <c r="AF217" s="18"/>
      <c r="AG217" s="20" t="e">
        <f>Table13[[#This Row],[PM VOL]]/1000000/Table13[[#This Row],[FLOAT(M)]]</f>
        <v>#DIV/0!</v>
      </c>
      <c r="AH217" s="23" t="e">
        <f>(Table13[[#This Row],[Volume]]/1000000)/Table13[[#This Row],[FLOAT(M)]]</f>
        <v>#DIV/0!</v>
      </c>
      <c r="AJ217" s="18" t="e">
        <f>(Table13[[#This Row],[PM Hi]]-Table13[[#This Row],[MKT Open Price]])/(Table13[[#This Row],[PM Hi]])</f>
        <v>#DIV/0!</v>
      </c>
      <c r="AK217" s="18" t="e">
        <f>IF(Table13[[#This Row],[PM LO]]&gt;Table13[[#This Row],[Prior day close]],(Table13[[#This Row],[PM Hi]]-Table13[[#This Row],[MKT Open Price]])/(Table13[[#This Row],[PM Hi]]-Table13[[#This Row],[Prior day close]]),(Table13[[#This Row],[PM Hi]]-Table13[[#This Row],[MKT Open Price]])/(Table13[[#This Row],[PM Hi]]-Table13[[#This Row],[PM LO]]))</f>
        <v>#DIV/0!</v>
      </c>
      <c r="AL217" s="48" t="e">
        <f>IF(Table13[[#This Row],[Prior day close]]&lt;Table13[[#This Row],[PM LO]],(J217-L217)/(J217-Table13[[#This Row],[Prior day close]]),(J217-L217)/(J217-Table13[[#This Row],[PM LO]]))</f>
        <v>#DIV/0!</v>
      </c>
      <c r="AM217" s="48">
        <f>Table13[[#This Row],[Spike % on open before drop]]+AN217</f>
        <v>0</v>
      </c>
      <c r="AN217" s="18"/>
      <c r="AO217" s="16"/>
      <c r="AP217" s="48" t="e">
        <f>IF(Table13[[#This Row],[Prior day close]]&lt;=Table13[[#This Row],[PM LO]],IF($K217&gt;=$G217,($K217-$L217)/($K217-Table13[[#This Row],[Prior day close]]),(IF($I217&lt;=$L217,($G217-$I217)/($G217-Table13[[#This Row],[Prior day close]]),(Table13[[#This Row],[PM Hi]]-Table13[[#This Row],[Lowest lo from open to squeeze]])/(Table13[[#This Row],[PM Hi]]-Table13[[#This Row],[Prior day close]])))),IF($K217&gt;=$G217,($K217-$L217)/($K217-Table13[[#This Row],[PM LO]]),(IF($I217&lt;=$L217,($G217-$I217)/($G217-Table13[[#This Row],[PM LO]]),(Table13[[#This Row],[PM Hi]]-Table13[[#This Row],[Lowest lo from open to squeeze]])/(Table13[[#This Row],[PM Hi]]-Table13[[#This Row],[PM LO]])))))</f>
        <v>#DIV/0!</v>
      </c>
      <c r="AQ217" s="18"/>
      <c r="AR217" s="17">
        <f>390+Table13[[#This Row],[Time until ideal entry point (mins) from open]]</f>
        <v>390</v>
      </c>
      <c r="AS217" s="17">
        <f>Table13[[#This Row],[Time until ideal entry + 390 (6:30)]]+Table13[[#This Row],[Duration of frontside (mins)]]</f>
        <v>390</v>
      </c>
    </row>
    <row r="218" spans="1:45" hidden="1" x14ac:dyDescent="0.25">
      <c r="A218" s="24" t="s">
        <v>287</v>
      </c>
      <c r="B218" s="47">
        <v>44144</v>
      </c>
      <c r="C218" s="47" t="s">
        <v>78</v>
      </c>
      <c r="D218" s="46"/>
      <c r="E218" s="12"/>
      <c r="F218" s="13"/>
      <c r="G218" s="12"/>
      <c r="H218" s="12"/>
      <c r="I218" s="12"/>
      <c r="J218" s="12"/>
      <c r="K218" s="12"/>
      <c r="L218" s="12"/>
      <c r="O218" s="13"/>
      <c r="Q218" s="37"/>
      <c r="R218" s="46"/>
      <c r="S218" s="37"/>
      <c r="T218" s="37"/>
      <c r="U218" s="37"/>
      <c r="V218" s="37"/>
      <c r="W218" s="38"/>
      <c r="X218" s="46"/>
      <c r="Y218" s="37"/>
      <c r="Z218" s="46"/>
      <c r="AA218" s="41">
        <f>Table13[[#This Row],[Time until ideal entry + 390 (6:30)]]/(1440)</f>
        <v>0.27083333333333331</v>
      </c>
      <c r="AB218" s="18"/>
      <c r="AC218" s="18" t="e">
        <f>IF(Table13[[#This Row],[HOD AFTER PM HI]]&gt;=Table13[[#This Row],[PM Hi]],((Table13[[#This Row],[HOD AFTER PM HI]]-Table13[[#This Row],[Prior day close]])/Table13[[#This Row],[Prior day close]]),Table13[[#This Row],[Prior Close to PM Hi %]])</f>
        <v>#DIV/0!</v>
      </c>
      <c r="AD218" s="42" t="e">
        <f>(Table13[[#This Row],[Price at hi of squeeze]]-Table13[[#This Row],[MKT Open Price]])/Table13[[#This Row],[MKT Open Price]]</f>
        <v>#DIV/0!</v>
      </c>
      <c r="AE218" s="18" t="e">
        <f>(Table13[[#This Row],[Price at hi of squeeze]]-Table13[[#This Row],[PM Hi]])/Table13[[#This Row],[PM Hi]]</f>
        <v>#DIV/0!</v>
      </c>
      <c r="AF218" s="18"/>
      <c r="AG218" s="20" t="e">
        <f>Table13[[#This Row],[PM VOL]]/1000000/Table13[[#This Row],[FLOAT(M)]]</f>
        <v>#DIV/0!</v>
      </c>
      <c r="AH218" s="23" t="e">
        <f>(Table13[[#This Row],[Volume]]/1000000)/Table13[[#This Row],[FLOAT(M)]]</f>
        <v>#DIV/0!</v>
      </c>
      <c r="AJ218" s="18" t="e">
        <f>(Table13[[#This Row],[PM Hi]]-Table13[[#This Row],[MKT Open Price]])/(Table13[[#This Row],[PM Hi]])</f>
        <v>#DIV/0!</v>
      </c>
      <c r="AK218" s="18" t="e">
        <f>IF(Table13[[#This Row],[PM LO]]&gt;Table13[[#This Row],[Prior day close]],(Table13[[#This Row],[PM Hi]]-Table13[[#This Row],[MKT Open Price]])/(Table13[[#This Row],[PM Hi]]-Table13[[#This Row],[Prior day close]]),(Table13[[#This Row],[PM Hi]]-Table13[[#This Row],[MKT Open Price]])/(Table13[[#This Row],[PM Hi]]-Table13[[#This Row],[PM LO]]))</f>
        <v>#DIV/0!</v>
      </c>
      <c r="AL218" s="48" t="e">
        <f>IF(Table13[[#This Row],[Prior day close]]&lt;Table13[[#This Row],[PM LO]],(J218-L218)/(J218-Table13[[#This Row],[Prior day close]]),(J218-L218)/(J218-Table13[[#This Row],[PM LO]]))</f>
        <v>#DIV/0!</v>
      </c>
      <c r="AM218" s="48">
        <f>Table13[[#This Row],[Spike % on open before drop]]+AN218</f>
        <v>0</v>
      </c>
      <c r="AN218" s="18"/>
      <c r="AO218" s="16"/>
      <c r="AP218" s="48" t="e">
        <f>IF(Table13[[#This Row],[Prior day close]]&lt;=Table13[[#This Row],[PM LO]],IF($K218&gt;=$G218,($K218-$L218)/($K218-Table13[[#This Row],[Prior day close]]),(IF($I218&lt;=$L218,($G218-$I218)/($G218-Table13[[#This Row],[Prior day close]]),(Table13[[#This Row],[PM Hi]]-Table13[[#This Row],[Lowest lo from open to squeeze]])/(Table13[[#This Row],[PM Hi]]-Table13[[#This Row],[Prior day close]])))),IF($K218&gt;=$G218,($K218-$L218)/($K218-Table13[[#This Row],[PM LO]]),(IF($I218&lt;=$L218,($G218-$I218)/($G218-Table13[[#This Row],[PM LO]]),(Table13[[#This Row],[PM Hi]]-Table13[[#This Row],[Lowest lo from open to squeeze]])/(Table13[[#This Row],[PM Hi]]-Table13[[#This Row],[PM LO]])))))</f>
        <v>#DIV/0!</v>
      </c>
      <c r="AQ218" s="18"/>
      <c r="AR218" s="17">
        <f>390+Table13[[#This Row],[Time until ideal entry point (mins) from open]]</f>
        <v>390</v>
      </c>
      <c r="AS218" s="17">
        <f>Table13[[#This Row],[Time until ideal entry + 390 (6:30)]]+Table13[[#This Row],[Duration of frontside (mins)]]</f>
        <v>390</v>
      </c>
    </row>
    <row r="219" spans="1:45" hidden="1" x14ac:dyDescent="0.25">
      <c r="A219" s="24" t="s">
        <v>288</v>
      </c>
      <c r="B219" s="47">
        <v>44147</v>
      </c>
      <c r="C219" s="47" t="s">
        <v>78</v>
      </c>
      <c r="D219" s="46" t="s">
        <v>289</v>
      </c>
      <c r="E219" s="12"/>
      <c r="F219" s="13"/>
      <c r="G219" s="12"/>
      <c r="H219" s="12"/>
      <c r="I219" s="12"/>
      <c r="J219" s="12"/>
      <c r="K219" s="12"/>
      <c r="L219" s="12"/>
      <c r="O219" s="13"/>
      <c r="Q219" s="37"/>
      <c r="R219" s="46"/>
      <c r="S219" s="37"/>
      <c r="T219" s="37"/>
      <c r="U219" s="37"/>
      <c r="V219" s="37"/>
      <c r="W219" s="38"/>
      <c r="X219" s="46"/>
      <c r="Y219" s="37"/>
      <c r="Z219" s="46"/>
      <c r="AA219" s="41">
        <f>Table13[[#This Row],[Time until ideal entry + 390 (6:30)]]/(1440)</f>
        <v>0.27083333333333331</v>
      </c>
      <c r="AB219" s="18"/>
      <c r="AC219" s="18" t="e">
        <f>IF(Table13[[#This Row],[HOD AFTER PM HI]]&gt;=Table13[[#This Row],[PM Hi]],((Table13[[#This Row],[HOD AFTER PM HI]]-Table13[[#This Row],[Prior day close]])/Table13[[#This Row],[Prior day close]]),Table13[[#This Row],[Prior Close to PM Hi %]])</f>
        <v>#DIV/0!</v>
      </c>
      <c r="AD219" s="42" t="e">
        <f>(Table13[[#This Row],[Price at hi of squeeze]]-Table13[[#This Row],[MKT Open Price]])/Table13[[#This Row],[MKT Open Price]]</f>
        <v>#DIV/0!</v>
      </c>
      <c r="AE219" s="18" t="e">
        <f>(Table13[[#This Row],[Price at hi of squeeze]]-Table13[[#This Row],[PM Hi]])/Table13[[#This Row],[PM Hi]]</f>
        <v>#DIV/0!</v>
      </c>
      <c r="AF219" s="18"/>
      <c r="AG219" s="20" t="e">
        <f>Table13[[#This Row],[PM VOL]]/1000000/Table13[[#This Row],[FLOAT(M)]]</f>
        <v>#DIV/0!</v>
      </c>
      <c r="AH219" s="23" t="e">
        <f>(Table13[[#This Row],[Volume]]/1000000)/Table13[[#This Row],[FLOAT(M)]]</f>
        <v>#DIV/0!</v>
      </c>
      <c r="AJ219" s="18" t="e">
        <f>(Table13[[#This Row],[PM Hi]]-Table13[[#This Row],[MKT Open Price]])/(Table13[[#This Row],[PM Hi]])</f>
        <v>#DIV/0!</v>
      </c>
      <c r="AK219" s="18" t="e">
        <f>IF(Table13[[#This Row],[PM LO]]&gt;Table13[[#This Row],[Prior day close]],(Table13[[#This Row],[PM Hi]]-Table13[[#This Row],[MKT Open Price]])/(Table13[[#This Row],[PM Hi]]-Table13[[#This Row],[Prior day close]]),(Table13[[#This Row],[PM Hi]]-Table13[[#This Row],[MKT Open Price]])/(Table13[[#This Row],[PM Hi]]-Table13[[#This Row],[PM LO]]))</f>
        <v>#DIV/0!</v>
      </c>
      <c r="AL219" s="48" t="e">
        <f>IF(Table13[[#This Row],[Prior day close]]&lt;Table13[[#This Row],[PM LO]],(J219-L219)/(J219-Table13[[#This Row],[Prior day close]]),(J219-L219)/(J219-Table13[[#This Row],[PM LO]]))</f>
        <v>#DIV/0!</v>
      </c>
      <c r="AM219" s="48">
        <f>Table13[[#This Row],[Spike % on open before drop]]+AN219</f>
        <v>0</v>
      </c>
      <c r="AN219" s="18"/>
      <c r="AO219" s="16"/>
      <c r="AP219" s="48" t="e">
        <f>IF(Table13[[#This Row],[Prior day close]]&lt;=Table13[[#This Row],[PM LO]],IF($K219&gt;=$G219,($K219-$L219)/($K219-Table13[[#This Row],[Prior day close]]),(IF($I219&lt;=$L219,($G219-$I219)/($G219-Table13[[#This Row],[Prior day close]]),(Table13[[#This Row],[PM Hi]]-Table13[[#This Row],[Lowest lo from open to squeeze]])/(Table13[[#This Row],[PM Hi]]-Table13[[#This Row],[Prior day close]])))),IF($K219&gt;=$G219,($K219-$L219)/($K219-Table13[[#This Row],[PM LO]]),(IF($I219&lt;=$L219,($G219-$I219)/($G219-Table13[[#This Row],[PM LO]]),(Table13[[#This Row],[PM Hi]]-Table13[[#This Row],[Lowest lo from open to squeeze]])/(Table13[[#This Row],[PM Hi]]-Table13[[#This Row],[PM LO]])))))</f>
        <v>#DIV/0!</v>
      </c>
      <c r="AQ219" s="18"/>
      <c r="AR219" s="17">
        <f>390+Table13[[#This Row],[Time until ideal entry point (mins) from open]]</f>
        <v>390</v>
      </c>
      <c r="AS219" s="17">
        <f>Table13[[#This Row],[Time until ideal entry + 390 (6:30)]]+Table13[[#This Row],[Duration of frontside (mins)]]</f>
        <v>390</v>
      </c>
    </row>
    <row r="220" spans="1:45" hidden="1" x14ac:dyDescent="0.25">
      <c r="A220" s="24" t="s">
        <v>290</v>
      </c>
      <c r="B220" s="47">
        <v>44146</v>
      </c>
      <c r="C220" s="47" t="s">
        <v>178</v>
      </c>
      <c r="D220" s="46"/>
      <c r="E220" s="12"/>
      <c r="F220" s="13"/>
      <c r="G220" s="12"/>
      <c r="H220" s="12"/>
      <c r="I220" s="12"/>
      <c r="J220" s="12"/>
      <c r="K220" s="12"/>
      <c r="L220" s="12"/>
      <c r="O220" s="13"/>
      <c r="Q220" s="37"/>
      <c r="R220" s="46"/>
      <c r="S220" s="37"/>
      <c r="T220" s="37"/>
      <c r="U220" s="37"/>
      <c r="V220" s="37"/>
      <c r="W220" s="38"/>
      <c r="X220" s="46"/>
      <c r="Y220" s="37"/>
      <c r="Z220" s="46"/>
      <c r="AA220" s="41">
        <f>Table13[[#This Row],[Time until ideal entry + 390 (6:30)]]/(1440)</f>
        <v>0.27083333333333331</v>
      </c>
      <c r="AB220" s="18"/>
      <c r="AC220" s="18" t="e">
        <f>IF(Table13[[#This Row],[HOD AFTER PM HI]]&gt;=Table13[[#This Row],[PM Hi]],((Table13[[#This Row],[HOD AFTER PM HI]]-Table13[[#This Row],[Prior day close]])/Table13[[#This Row],[Prior day close]]),Table13[[#This Row],[Prior Close to PM Hi %]])</f>
        <v>#DIV/0!</v>
      </c>
      <c r="AD220" s="42" t="e">
        <f>(Table13[[#This Row],[Price at hi of squeeze]]-Table13[[#This Row],[MKT Open Price]])/Table13[[#This Row],[MKT Open Price]]</f>
        <v>#DIV/0!</v>
      </c>
      <c r="AE220" s="18" t="e">
        <f>(Table13[[#This Row],[Price at hi of squeeze]]-Table13[[#This Row],[PM Hi]])/Table13[[#This Row],[PM Hi]]</f>
        <v>#DIV/0!</v>
      </c>
      <c r="AF220" s="18"/>
      <c r="AG220" s="20" t="e">
        <f>Table13[[#This Row],[PM VOL]]/1000000/Table13[[#This Row],[FLOAT(M)]]</f>
        <v>#DIV/0!</v>
      </c>
      <c r="AH220" s="23" t="e">
        <f>(Table13[[#This Row],[Volume]]/1000000)/Table13[[#This Row],[FLOAT(M)]]</f>
        <v>#DIV/0!</v>
      </c>
      <c r="AJ220" s="18" t="e">
        <f>(Table13[[#This Row],[PM Hi]]-Table13[[#This Row],[MKT Open Price]])/(Table13[[#This Row],[PM Hi]])</f>
        <v>#DIV/0!</v>
      </c>
      <c r="AK220" s="18" t="e">
        <f>IF(Table13[[#This Row],[PM LO]]&gt;Table13[[#This Row],[Prior day close]],(Table13[[#This Row],[PM Hi]]-Table13[[#This Row],[MKT Open Price]])/(Table13[[#This Row],[PM Hi]]-Table13[[#This Row],[Prior day close]]),(Table13[[#This Row],[PM Hi]]-Table13[[#This Row],[MKT Open Price]])/(Table13[[#This Row],[PM Hi]]-Table13[[#This Row],[PM LO]]))</f>
        <v>#DIV/0!</v>
      </c>
      <c r="AL220" s="48" t="e">
        <f>IF(Table13[[#This Row],[Prior day close]]&lt;Table13[[#This Row],[PM LO]],(J220-L220)/(J220-Table13[[#This Row],[Prior day close]]),(J220-L220)/(J220-Table13[[#This Row],[PM LO]]))</f>
        <v>#DIV/0!</v>
      </c>
      <c r="AM220" s="48">
        <f>Table13[[#This Row],[Spike % on open before drop]]+AN220</f>
        <v>0</v>
      </c>
      <c r="AN220" s="18"/>
      <c r="AO220" s="16"/>
      <c r="AP220" s="48" t="e">
        <f>IF(Table13[[#This Row],[Prior day close]]&lt;=Table13[[#This Row],[PM LO]],IF($K220&gt;=$G220,($K220-$L220)/($K220-Table13[[#This Row],[Prior day close]]),(IF($I220&lt;=$L220,($G220-$I220)/($G220-Table13[[#This Row],[Prior day close]]),(Table13[[#This Row],[PM Hi]]-Table13[[#This Row],[Lowest lo from open to squeeze]])/(Table13[[#This Row],[PM Hi]]-Table13[[#This Row],[Prior day close]])))),IF($K220&gt;=$G220,($K220-$L220)/($K220-Table13[[#This Row],[PM LO]]),(IF($I220&lt;=$L220,($G220-$I220)/($G220-Table13[[#This Row],[PM LO]]),(Table13[[#This Row],[PM Hi]]-Table13[[#This Row],[Lowest lo from open to squeeze]])/(Table13[[#This Row],[PM Hi]]-Table13[[#This Row],[PM LO]])))))</f>
        <v>#DIV/0!</v>
      </c>
      <c r="AQ220" s="18"/>
      <c r="AR220" s="17">
        <f>390+Table13[[#This Row],[Time until ideal entry point (mins) from open]]</f>
        <v>390</v>
      </c>
      <c r="AS220" s="17">
        <f>Table13[[#This Row],[Time until ideal entry + 390 (6:30)]]+Table13[[#This Row],[Duration of frontside (mins)]]</f>
        <v>390</v>
      </c>
    </row>
    <row r="221" spans="1:45" hidden="1" x14ac:dyDescent="0.25">
      <c r="A221" s="24" t="s">
        <v>291</v>
      </c>
      <c r="B221" s="47">
        <v>44147</v>
      </c>
      <c r="C221" s="47" t="s">
        <v>178</v>
      </c>
      <c r="D221" s="46" t="s">
        <v>292</v>
      </c>
      <c r="E221" s="12"/>
      <c r="F221" s="13"/>
      <c r="G221" s="12"/>
      <c r="H221" s="12"/>
      <c r="I221" s="12"/>
      <c r="J221" s="12"/>
      <c r="K221" s="12"/>
      <c r="L221" s="12"/>
      <c r="O221" s="13"/>
      <c r="Q221" s="37"/>
      <c r="R221" s="46"/>
      <c r="S221" s="37"/>
      <c r="T221" s="37"/>
      <c r="U221" s="37"/>
      <c r="V221" s="37"/>
      <c r="W221" s="38"/>
      <c r="X221" s="46"/>
      <c r="Y221" s="37"/>
      <c r="Z221" s="46"/>
      <c r="AA221" s="41">
        <f>Table13[[#This Row],[Time until ideal entry + 390 (6:30)]]/(1440)</f>
        <v>0.27083333333333331</v>
      </c>
      <c r="AB221" s="18"/>
      <c r="AC221" s="18" t="e">
        <f>IF(Table13[[#This Row],[HOD AFTER PM HI]]&gt;=Table13[[#This Row],[PM Hi]],((Table13[[#This Row],[HOD AFTER PM HI]]-Table13[[#This Row],[Prior day close]])/Table13[[#This Row],[Prior day close]]),Table13[[#This Row],[Prior Close to PM Hi %]])</f>
        <v>#DIV/0!</v>
      </c>
      <c r="AD221" s="42" t="e">
        <f>(Table13[[#This Row],[Price at hi of squeeze]]-Table13[[#This Row],[MKT Open Price]])/Table13[[#This Row],[MKT Open Price]]</f>
        <v>#DIV/0!</v>
      </c>
      <c r="AE221" s="18" t="e">
        <f>(Table13[[#This Row],[Price at hi of squeeze]]-Table13[[#This Row],[PM Hi]])/Table13[[#This Row],[PM Hi]]</f>
        <v>#DIV/0!</v>
      </c>
      <c r="AF221" s="18"/>
      <c r="AG221" s="20" t="e">
        <f>Table13[[#This Row],[PM VOL]]/1000000/Table13[[#This Row],[FLOAT(M)]]</f>
        <v>#DIV/0!</v>
      </c>
      <c r="AH221" s="23" t="e">
        <f>(Table13[[#This Row],[Volume]]/1000000)/Table13[[#This Row],[FLOAT(M)]]</f>
        <v>#DIV/0!</v>
      </c>
      <c r="AJ221" s="18" t="e">
        <f>(Table13[[#This Row],[PM Hi]]-Table13[[#This Row],[MKT Open Price]])/(Table13[[#This Row],[PM Hi]])</f>
        <v>#DIV/0!</v>
      </c>
      <c r="AK221" s="18" t="e">
        <f>IF(Table13[[#This Row],[PM LO]]&gt;Table13[[#This Row],[Prior day close]],(Table13[[#This Row],[PM Hi]]-Table13[[#This Row],[MKT Open Price]])/(Table13[[#This Row],[PM Hi]]-Table13[[#This Row],[Prior day close]]),(Table13[[#This Row],[PM Hi]]-Table13[[#This Row],[MKT Open Price]])/(Table13[[#This Row],[PM Hi]]-Table13[[#This Row],[PM LO]]))</f>
        <v>#DIV/0!</v>
      </c>
      <c r="AL221" s="48" t="e">
        <f>IF(Table13[[#This Row],[Prior day close]]&lt;Table13[[#This Row],[PM LO]],(J221-L221)/(J221-Table13[[#This Row],[Prior day close]]),(J221-L221)/(J221-Table13[[#This Row],[PM LO]]))</f>
        <v>#DIV/0!</v>
      </c>
      <c r="AM221" s="48">
        <f>Table13[[#This Row],[Spike % on open before drop]]+AN221</f>
        <v>0</v>
      </c>
      <c r="AN221" s="18"/>
      <c r="AO221" s="16"/>
      <c r="AP221" s="48" t="e">
        <f>IF(Table13[[#This Row],[Prior day close]]&lt;=Table13[[#This Row],[PM LO]],IF($K221&gt;=$G221,($K221-$L221)/($K221-Table13[[#This Row],[Prior day close]]),(IF($I221&lt;=$L221,($G221-$I221)/($G221-Table13[[#This Row],[Prior day close]]),(Table13[[#This Row],[PM Hi]]-Table13[[#This Row],[Lowest lo from open to squeeze]])/(Table13[[#This Row],[PM Hi]]-Table13[[#This Row],[Prior day close]])))),IF($K221&gt;=$G221,($K221-$L221)/($K221-Table13[[#This Row],[PM LO]]),(IF($I221&lt;=$L221,($G221-$I221)/($G221-Table13[[#This Row],[PM LO]]),(Table13[[#This Row],[PM Hi]]-Table13[[#This Row],[Lowest lo from open to squeeze]])/(Table13[[#This Row],[PM Hi]]-Table13[[#This Row],[PM LO]])))))</f>
        <v>#DIV/0!</v>
      </c>
      <c r="AQ221" s="18"/>
      <c r="AR221" s="17">
        <f>390+Table13[[#This Row],[Time until ideal entry point (mins) from open]]</f>
        <v>390</v>
      </c>
      <c r="AS221" s="17">
        <f>Table13[[#This Row],[Time until ideal entry + 390 (6:30)]]+Table13[[#This Row],[Duration of frontside (mins)]]</f>
        <v>390</v>
      </c>
    </row>
    <row r="222" spans="1:45" hidden="1" x14ac:dyDescent="0.25">
      <c r="A222" s="24" t="s">
        <v>164</v>
      </c>
      <c r="B222" s="47">
        <v>44148</v>
      </c>
      <c r="C222" s="47" t="s">
        <v>78</v>
      </c>
      <c r="D222" s="46"/>
      <c r="E222" s="12"/>
      <c r="F222" s="13"/>
      <c r="G222" s="12"/>
      <c r="H222" s="12"/>
      <c r="I222" s="12"/>
      <c r="J222" s="12"/>
      <c r="K222" s="12"/>
      <c r="L222" s="12"/>
      <c r="O222" s="13"/>
      <c r="Q222" s="37"/>
      <c r="R222" s="46"/>
      <c r="S222" s="37"/>
      <c r="T222" s="37"/>
      <c r="U222" s="37"/>
      <c r="V222" s="37"/>
      <c r="W222" s="38"/>
      <c r="X222" s="46"/>
      <c r="Y222" s="37"/>
      <c r="Z222" s="46"/>
      <c r="AA222" s="41">
        <f>Table13[[#This Row],[Time until ideal entry + 390 (6:30)]]/(1440)</f>
        <v>0.27083333333333331</v>
      </c>
      <c r="AB222" s="18"/>
      <c r="AC222" s="18" t="e">
        <f>IF(Table13[[#This Row],[HOD AFTER PM HI]]&gt;=Table13[[#This Row],[PM Hi]],((Table13[[#This Row],[HOD AFTER PM HI]]-Table13[[#This Row],[Prior day close]])/Table13[[#This Row],[Prior day close]]),Table13[[#This Row],[Prior Close to PM Hi %]])</f>
        <v>#DIV/0!</v>
      </c>
      <c r="AD222" s="42" t="e">
        <f>(Table13[[#This Row],[Price at hi of squeeze]]-Table13[[#This Row],[MKT Open Price]])/Table13[[#This Row],[MKT Open Price]]</f>
        <v>#DIV/0!</v>
      </c>
      <c r="AE222" s="18" t="e">
        <f>(Table13[[#This Row],[Price at hi of squeeze]]-Table13[[#This Row],[PM Hi]])/Table13[[#This Row],[PM Hi]]</f>
        <v>#DIV/0!</v>
      </c>
      <c r="AF222" s="18"/>
      <c r="AG222" s="20" t="e">
        <f>Table13[[#This Row],[PM VOL]]/1000000/Table13[[#This Row],[FLOAT(M)]]</f>
        <v>#DIV/0!</v>
      </c>
      <c r="AH222" s="23" t="e">
        <f>(Table13[[#This Row],[Volume]]/1000000)/Table13[[#This Row],[FLOAT(M)]]</f>
        <v>#DIV/0!</v>
      </c>
      <c r="AJ222" s="18" t="e">
        <f>(Table13[[#This Row],[PM Hi]]-Table13[[#This Row],[MKT Open Price]])/(Table13[[#This Row],[PM Hi]])</f>
        <v>#DIV/0!</v>
      </c>
      <c r="AK222" s="18" t="e">
        <f>IF(Table13[[#This Row],[PM LO]]&gt;Table13[[#This Row],[Prior day close]],(Table13[[#This Row],[PM Hi]]-Table13[[#This Row],[MKT Open Price]])/(Table13[[#This Row],[PM Hi]]-Table13[[#This Row],[Prior day close]]),(Table13[[#This Row],[PM Hi]]-Table13[[#This Row],[MKT Open Price]])/(Table13[[#This Row],[PM Hi]]-Table13[[#This Row],[PM LO]]))</f>
        <v>#DIV/0!</v>
      </c>
      <c r="AL222" s="48" t="e">
        <f>IF(Table13[[#This Row],[Prior day close]]&lt;Table13[[#This Row],[PM LO]],(J222-L222)/(J222-Table13[[#This Row],[Prior day close]]),(J222-L222)/(J222-Table13[[#This Row],[PM LO]]))</f>
        <v>#DIV/0!</v>
      </c>
      <c r="AM222" s="48">
        <f>Table13[[#This Row],[Spike % on open before drop]]+AN222</f>
        <v>0</v>
      </c>
      <c r="AN222" s="18"/>
      <c r="AO222" s="16"/>
      <c r="AP222" s="48" t="e">
        <f>IF(Table13[[#This Row],[Prior day close]]&lt;=Table13[[#This Row],[PM LO]],IF($K222&gt;=$G222,($K222-$L222)/($K222-Table13[[#This Row],[Prior day close]]),(IF($I222&lt;=$L222,($G222-$I222)/($G222-Table13[[#This Row],[Prior day close]]),(Table13[[#This Row],[PM Hi]]-Table13[[#This Row],[Lowest lo from open to squeeze]])/(Table13[[#This Row],[PM Hi]]-Table13[[#This Row],[Prior day close]])))),IF($K222&gt;=$G222,($K222-$L222)/($K222-Table13[[#This Row],[PM LO]]),(IF($I222&lt;=$L222,($G222-$I222)/($G222-Table13[[#This Row],[PM LO]]),(Table13[[#This Row],[PM Hi]]-Table13[[#This Row],[Lowest lo from open to squeeze]])/(Table13[[#This Row],[PM Hi]]-Table13[[#This Row],[PM LO]])))))</f>
        <v>#DIV/0!</v>
      </c>
      <c r="AQ222" s="18"/>
      <c r="AR222" s="17">
        <f>390+Table13[[#This Row],[Time until ideal entry point (mins) from open]]</f>
        <v>390</v>
      </c>
      <c r="AS222" s="17">
        <f>Table13[[#This Row],[Time until ideal entry + 390 (6:30)]]+Table13[[#This Row],[Duration of frontside (mins)]]</f>
        <v>390</v>
      </c>
    </row>
    <row r="223" spans="1:45" hidden="1" x14ac:dyDescent="0.25">
      <c r="A223" s="24" t="s">
        <v>170</v>
      </c>
      <c r="B223" s="47">
        <v>44152</v>
      </c>
      <c r="C223" s="47" t="s">
        <v>178</v>
      </c>
      <c r="D223" s="46" t="s">
        <v>293</v>
      </c>
      <c r="E223" s="12"/>
      <c r="F223" s="13"/>
      <c r="G223" s="12"/>
      <c r="H223" s="12"/>
      <c r="I223" s="12"/>
      <c r="J223" s="12"/>
      <c r="K223" s="12"/>
      <c r="L223" s="12"/>
      <c r="O223" s="13"/>
      <c r="Q223" s="37"/>
      <c r="R223" s="46"/>
      <c r="S223" s="37"/>
      <c r="T223" s="37"/>
      <c r="U223" s="37"/>
      <c r="V223" s="37"/>
      <c r="W223" s="38"/>
      <c r="X223" s="46"/>
      <c r="Y223" s="37"/>
      <c r="Z223" s="46"/>
      <c r="AA223" s="41">
        <f>Table13[[#This Row],[Time until ideal entry + 390 (6:30)]]/(1440)</f>
        <v>0.27083333333333331</v>
      </c>
      <c r="AB223" s="18"/>
      <c r="AC223" s="18" t="e">
        <f>IF(Table13[[#This Row],[HOD AFTER PM HI]]&gt;=Table13[[#This Row],[PM Hi]],((Table13[[#This Row],[HOD AFTER PM HI]]-Table13[[#This Row],[Prior day close]])/Table13[[#This Row],[Prior day close]]),Table13[[#This Row],[Prior Close to PM Hi %]])</f>
        <v>#DIV/0!</v>
      </c>
      <c r="AD223" s="42" t="e">
        <f>(Table13[[#This Row],[Price at hi of squeeze]]-Table13[[#This Row],[MKT Open Price]])/Table13[[#This Row],[MKT Open Price]]</f>
        <v>#DIV/0!</v>
      </c>
      <c r="AE223" s="18" t="e">
        <f>(Table13[[#This Row],[Price at hi of squeeze]]-Table13[[#This Row],[PM Hi]])/Table13[[#This Row],[PM Hi]]</f>
        <v>#DIV/0!</v>
      </c>
      <c r="AF223" s="18"/>
      <c r="AG223" s="20" t="e">
        <f>Table13[[#This Row],[PM VOL]]/1000000/Table13[[#This Row],[FLOAT(M)]]</f>
        <v>#DIV/0!</v>
      </c>
      <c r="AH223" s="23" t="e">
        <f>(Table13[[#This Row],[Volume]]/1000000)/Table13[[#This Row],[FLOAT(M)]]</f>
        <v>#DIV/0!</v>
      </c>
      <c r="AJ223" s="18" t="e">
        <f>(Table13[[#This Row],[PM Hi]]-Table13[[#This Row],[MKT Open Price]])/(Table13[[#This Row],[PM Hi]])</f>
        <v>#DIV/0!</v>
      </c>
      <c r="AK223" s="18" t="e">
        <f>IF(Table13[[#This Row],[PM LO]]&gt;Table13[[#This Row],[Prior day close]],(Table13[[#This Row],[PM Hi]]-Table13[[#This Row],[MKT Open Price]])/(Table13[[#This Row],[PM Hi]]-Table13[[#This Row],[Prior day close]]),(Table13[[#This Row],[PM Hi]]-Table13[[#This Row],[MKT Open Price]])/(Table13[[#This Row],[PM Hi]]-Table13[[#This Row],[PM LO]]))</f>
        <v>#DIV/0!</v>
      </c>
      <c r="AL223" s="48" t="e">
        <f>IF(Table13[[#This Row],[Prior day close]]&lt;Table13[[#This Row],[PM LO]],(J223-L223)/(J223-Table13[[#This Row],[Prior day close]]),(J223-L223)/(J223-Table13[[#This Row],[PM LO]]))</f>
        <v>#DIV/0!</v>
      </c>
      <c r="AM223" s="48">
        <f>Table13[[#This Row],[Spike % on open before drop]]+AN223</f>
        <v>0</v>
      </c>
      <c r="AN223" s="18"/>
      <c r="AO223" s="16"/>
      <c r="AP223" s="48" t="e">
        <f>IF(Table13[[#This Row],[Prior day close]]&lt;=Table13[[#This Row],[PM LO]],IF($K223&gt;=$G223,($K223-$L223)/($K223-Table13[[#This Row],[Prior day close]]),(IF($I223&lt;=$L223,($G223-$I223)/($G223-Table13[[#This Row],[Prior day close]]),(Table13[[#This Row],[PM Hi]]-Table13[[#This Row],[Lowest lo from open to squeeze]])/(Table13[[#This Row],[PM Hi]]-Table13[[#This Row],[Prior day close]])))),IF($K223&gt;=$G223,($K223-$L223)/($K223-Table13[[#This Row],[PM LO]]),(IF($I223&lt;=$L223,($G223-$I223)/($G223-Table13[[#This Row],[PM LO]]),(Table13[[#This Row],[PM Hi]]-Table13[[#This Row],[Lowest lo from open to squeeze]])/(Table13[[#This Row],[PM Hi]]-Table13[[#This Row],[PM LO]])))))</f>
        <v>#DIV/0!</v>
      </c>
      <c r="AQ223" s="18"/>
      <c r="AR223" s="17">
        <f>390+Table13[[#This Row],[Time until ideal entry point (mins) from open]]</f>
        <v>390</v>
      </c>
      <c r="AS223" s="17">
        <f>Table13[[#This Row],[Time until ideal entry + 390 (6:30)]]+Table13[[#This Row],[Duration of frontside (mins)]]</f>
        <v>390</v>
      </c>
    </row>
    <row r="224" spans="1:45" hidden="1" x14ac:dyDescent="0.25">
      <c r="A224" s="24" t="s">
        <v>252</v>
      </c>
      <c r="B224" s="47">
        <v>44153</v>
      </c>
      <c r="C224" s="47" t="s">
        <v>178</v>
      </c>
      <c r="D224" s="46" t="s">
        <v>294</v>
      </c>
      <c r="E224" s="12"/>
      <c r="F224" s="13"/>
      <c r="G224" s="12"/>
      <c r="H224" s="12"/>
      <c r="I224" s="12"/>
      <c r="J224" s="12"/>
      <c r="K224" s="12"/>
      <c r="L224" s="12"/>
      <c r="O224" s="13"/>
      <c r="Q224" s="37"/>
      <c r="R224" s="46"/>
      <c r="S224" s="37"/>
      <c r="T224" s="37"/>
      <c r="U224" s="37"/>
      <c r="V224" s="37"/>
      <c r="W224" s="38"/>
      <c r="X224" s="46"/>
      <c r="Y224" s="37"/>
      <c r="Z224" s="46"/>
      <c r="AA224" s="41">
        <f>Table13[[#This Row],[Time until ideal entry + 390 (6:30)]]/(1440)</f>
        <v>0.27083333333333331</v>
      </c>
      <c r="AB224" s="18"/>
      <c r="AC224" s="18" t="e">
        <f>IF(Table13[[#This Row],[HOD AFTER PM HI]]&gt;=Table13[[#This Row],[PM Hi]],((Table13[[#This Row],[HOD AFTER PM HI]]-Table13[[#This Row],[Prior day close]])/Table13[[#This Row],[Prior day close]]),Table13[[#This Row],[Prior Close to PM Hi %]])</f>
        <v>#DIV/0!</v>
      </c>
      <c r="AD224" s="42" t="e">
        <f>(Table13[[#This Row],[Price at hi of squeeze]]-Table13[[#This Row],[MKT Open Price]])/Table13[[#This Row],[MKT Open Price]]</f>
        <v>#DIV/0!</v>
      </c>
      <c r="AE224" s="18" t="e">
        <f>(Table13[[#This Row],[Price at hi of squeeze]]-Table13[[#This Row],[PM Hi]])/Table13[[#This Row],[PM Hi]]</f>
        <v>#DIV/0!</v>
      </c>
      <c r="AF224" s="18"/>
      <c r="AG224" s="20" t="e">
        <f>Table13[[#This Row],[PM VOL]]/1000000/Table13[[#This Row],[FLOAT(M)]]</f>
        <v>#DIV/0!</v>
      </c>
      <c r="AH224" s="23" t="e">
        <f>(Table13[[#This Row],[Volume]]/1000000)/Table13[[#This Row],[FLOAT(M)]]</f>
        <v>#DIV/0!</v>
      </c>
      <c r="AJ224" s="18" t="e">
        <f>(Table13[[#This Row],[PM Hi]]-Table13[[#This Row],[MKT Open Price]])/(Table13[[#This Row],[PM Hi]])</f>
        <v>#DIV/0!</v>
      </c>
      <c r="AK224" s="18" t="e">
        <f>IF(Table13[[#This Row],[PM LO]]&gt;Table13[[#This Row],[Prior day close]],(Table13[[#This Row],[PM Hi]]-Table13[[#This Row],[MKT Open Price]])/(Table13[[#This Row],[PM Hi]]-Table13[[#This Row],[Prior day close]]),(Table13[[#This Row],[PM Hi]]-Table13[[#This Row],[MKT Open Price]])/(Table13[[#This Row],[PM Hi]]-Table13[[#This Row],[PM LO]]))</f>
        <v>#DIV/0!</v>
      </c>
      <c r="AL224" s="48" t="e">
        <f>IF(Table13[[#This Row],[Prior day close]]&lt;Table13[[#This Row],[PM LO]],(J224-L224)/(J224-Table13[[#This Row],[Prior day close]]),(J224-L224)/(J224-Table13[[#This Row],[PM LO]]))</f>
        <v>#DIV/0!</v>
      </c>
      <c r="AM224" s="48">
        <f>Table13[[#This Row],[Spike % on open before drop]]+AN224</f>
        <v>0</v>
      </c>
      <c r="AN224" s="18"/>
      <c r="AO224" s="16"/>
      <c r="AP224" s="48" t="e">
        <f>IF(Table13[[#This Row],[Prior day close]]&lt;=Table13[[#This Row],[PM LO]],IF($K224&gt;=$G224,($K224-$L224)/($K224-Table13[[#This Row],[Prior day close]]),(IF($I224&lt;=$L224,($G224-$I224)/($G224-Table13[[#This Row],[Prior day close]]),(Table13[[#This Row],[PM Hi]]-Table13[[#This Row],[Lowest lo from open to squeeze]])/(Table13[[#This Row],[PM Hi]]-Table13[[#This Row],[Prior day close]])))),IF($K224&gt;=$G224,($K224-$L224)/($K224-Table13[[#This Row],[PM LO]]),(IF($I224&lt;=$L224,($G224-$I224)/($G224-Table13[[#This Row],[PM LO]]),(Table13[[#This Row],[PM Hi]]-Table13[[#This Row],[Lowest lo from open to squeeze]])/(Table13[[#This Row],[PM Hi]]-Table13[[#This Row],[PM LO]])))))</f>
        <v>#DIV/0!</v>
      </c>
      <c r="AQ224" s="18"/>
      <c r="AR224" s="17">
        <f>390+Table13[[#This Row],[Time until ideal entry point (mins) from open]]</f>
        <v>390</v>
      </c>
      <c r="AS224" s="17">
        <f>Table13[[#This Row],[Time until ideal entry + 390 (6:30)]]+Table13[[#This Row],[Duration of frontside (mins)]]</f>
        <v>390</v>
      </c>
    </row>
    <row r="225" spans="1:45" hidden="1" x14ac:dyDescent="0.25">
      <c r="A225" s="24" t="s">
        <v>295</v>
      </c>
      <c r="B225" s="47">
        <v>44168</v>
      </c>
      <c r="C225" s="47" t="s">
        <v>178</v>
      </c>
      <c r="D225" s="46" t="s">
        <v>296</v>
      </c>
      <c r="E225" s="12"/>
      <c r="F225" s="13"/>
      <c r="G225" s="12"/>
      <c r="H225" s="12"/>
      <c r="I225" s="12"/>
      <c r="J225" s="12"/>
      <c r="K225" s="12"/>
      <c r="L225" s="12"/>
      <c r="O225" s="13"/>
      <c r="Q225" s="37"/>
      <c r="R225" s="46"/>
      <c r="S225" s="37"/>
      <c r="T225" s="37"/>
      <c r="U225" s="37"/>
      <c r="V225" s="37"/>
      <c r="W225" s="38"/>
      <c r="X225" s="46"/>
      <c r="Y225" s="37"/>
      <c r="Z225" s="46"/>
      <c r="AA225" s="41">
        <f>Table13[[#This Row],[Time until ideal entry + 390 (6:30)]]/(1440)</f>
        <v>0.27083333333333331</v>
      </c>
      <c r="AB225" s="18"/>
      <c r="AC225" s="18" t="e">
        <f>IF(Table13[[#This Row],[HOD AFTER PM HI]]&gt;=Table13[[#This Row],[PM Hi]],((Table13[[#This Row],[HOD AFTER PM HI]]-Table13[[#This Row],[Prior day close]])/Table13[[#This Row],[Prior day close]]),Table13[[#This Row],[Prior Close to PM Hi %]])</f>
        <v>#DIV/0!</v>
      </c>
      <c r="AD225" s="42" t="e">
        <f>(Table13[[#This Row],[Price at hi of squeeze]]-Table13[[#This Row],[MKT Open Price]])/Table13[[#This Row],[MKT Open Price]]</f>
        <v>#DIV/0!</v>
      </c>
      <c r="AE225" s="18" t="e">
        <f>(Table13[[#This Row],[Price at hi of squeeze]]-Table13[[#This Row],[PM Hi]])/Table13[[#This Row],[PM Hi]]</f>
        <v>#DIV/0!</v>
      </c>
      <c r="AF225" s="18"/>
      <c r="AG225" s="20" t="e">
        <f>Table13[[#This Row],[PM VOL]]/1000000/Table13[[#This Row],[FLOAT(M)]]</f>
        <v>#DIV/0!</v>
      </c>
      <c r="AH225" s="23" t="e">
        <f>(Table13[[#This Row],[Volume]]/1000000)/Table13[[#This Row],[FLOAT(M)]]</f>
        <v>#DIV/0!</v>
      </c>
      <c r="AJ225" s="18" t="e">
        <f>(Table13[[#This Row],[PM Hi]]-Table13[[#This Row],[MKT Open Price]])/(Table13[[#This Row],[PM Hi]])</f>
        <v>#DIV/0!</v>
      </c>
      <c r="AK225" s="18" t="e">
        <f>IF(Table13[[#This Row],[PM LO]]&gt;Table13[[#This Row],[Prior day close]],(Table13[[#This Row],[PM Hi]]-Table13[[#This Row],[MKT Open Price]])/(Table13[[#This Row],[PM Hi]]-Table13[[#This Row],[Prior day close]]),(Table13[[#This Row],[PM Hi]]-Table13[[#This Row],[MKT Open Price]])/(Table13[[#This Row],[PM Hi]]-Table13[[#This Row],[PM LO]]))</f>
        <v>#DIV/0!</v>
      </c>
      <c r="AL225" s="48" t="e">
        <f>IF(Table13[[#This Row],[Prior day close]]&lt;Table13[[#This Row],[PM LO]],(J225-L225)/(J225-Table13[[#This Row],[Prior day close]]),(J225-L225)/(J225-Table13[[#This Row],[PM LO]]))</f>
        <v>#DIV/0!</v>
      </c>
      <c r="AM225" s="48">
        <f>Table13[[#This Row],[Spike % on open before drop]]+AN225</f>
        <v>0</v>
      </c>
      <c r="AN225" s="18"/>
      <c r="AO225" s="16"/>
      <c r="AP225" s="48" t="e">
        <f>IF(Table13[[#This Row],[Prior day close]]&lt;=Table13[[#This Row],[PM LO]],IF($K225&gt;=$G225,($K225-$L225)/($K225-Table13[[#This Row],[Prior day close]]),(IF($I225&lt;=$L225,($G225-$I225)/($G225-Table13[[#This Row],[Prior day close]]),(Table13[[#This Row],[PM Hi]]-Table13[[#This Row],[Lowest lo from open to squeeze]])/(Table13[[#This Row],[PM Hi]]-Table13[[#This Row],[Prior day close]])))),IF($K225&gt;=$G225,($K225-$L225)/($K225-Table13[[#This Row],[PM LO]]),(IF($I225&lt;=$L225,($G225-$I225)/($G225-Table13[[#This Row],[PM LO]]),(Table13[[#This Row],[PM Hi]]-Table13[[#This Row],[Lowest lo from open to squeeze]])/(Table13[[#This Row],[PM Hi]]-Table13[[#This Row],[PM LO]])))))</f>
        <v>#DIV/0!</v>
      </c>
      <c r="AQ225" s="18"/>
      <c r="AR225" s="17">
        <f>390+Table13[[#This Row],[Time until ideal entry point (mins) from open]]</f>
        <v>390</v>
      </c>
      <c r="AS225" s="17">
        <f>Table13[[#This Row],[Time until ideal entry + 390 (6:30)]]+Table13[[#This Row],[Duration of frontside (mins)]]</f>
        <v>390</v>
      </c>
    </row>
    <row r="226" spans="1:45" hidden="1" x14ac:dyDescent="0.25">
      <c r="A226" s="24" t="s">
        <v>79</v>
      </c>
      <c r="B226" s="47">
        <v>44169</v>
      </c>
      <c r="C226" s="47" t="s">
        <v>78</v>
      </c>
      <c r="D226" s="46" t="s">
        <v>297</v>
      </c>
      <c r="E226" s="12"/>
      <c r="F226" s="13"/>
      <c r="G226" s="12"/>
      <c r="H226" s="12"/>
      <c r="I226" s="12"/>
      <c r="J226" s="12"/>
      <c r="K226" s="12"/>
      <c r="L226" s="12"/>
      <c r="O226" s="13"/>
      <c r="Q226" s="37"/>
      <c r="R226" s="46"/>
      <c r="S226" s="37"/>
      <c r="T226" s="37"/>
      <c r="U226" s="37"/>
      <c r="V226" s="37"/>
      <c r="W226" s="38"/>
      <c r="X226" s="46"/>
      <c r="Y226" s="37"/>
      <c r="Z226" s="46"/>
      <c r="AA226" s="41">
        <f>Table13[[#This Row],[Time until ideal entry + 390 (6:30)]]/(1440)</f>
        <v>0.27083333333333331</v>
      </c>
      <c r="AB226" s="18"/>
      <c r="AC226" s="18" t="e">
        <f>IF(Table13[[#This Row],[HOD AFTER PM HI]]&gt;=Table13[[#This Row],[PM Hi]],((Table13[[#This Row],[HOD AFTER PM HI]]-Table13[[#This Row],[Prior day close]])/Table13[[#This Row],[Prior day close]]),Table13[[#This Row],[Prior Close to PM Hi %]])</f>
        <v>#DIV/0!</v>
      </c>
      <c r="AD226" s="42" t="e">
        <f>(Table13[[#This Row],[Price at hi of squeeze]]-Table13[[#This Row],[MKT Open Price]])/Table13[[#This Row],[MKT Open Price]]</f>
        <v>#DIV/0!</v>
      </c>
      <c r="AE226" s="18" t="e">
        <f>(Table13[[#This Row],[Price at hi of squeeze]]-Table13[[#This Row],[PM Hi]])/Table13[[#This Row],[PM Hi]]</f>
        <v>#DIV/0!</v>
      </c>
      <c r="AF226" s="18"/>
      <c r="AG226" s="20" t="e">
        <f>Table13[[#This Row],[PM VOL]]/1000000/Table13[[#This Row],[FLOAT(M)]]</f>
        <v>#DIV/0!</v>
      </c>
      <c r="AH226" s="23" t="e">
        <f>(Table13[[#This Row],[Volume]]/1000000)/Table13[[#This Row],[FLOAT(M)]]</f>
        <v>#DIV/0!</v>
      </c>
      <c r="AJ226" s="18" t="e">
        <f>(Table13[[#This Row],[PM Hi]]-Table13[[#This Row],[MKT Open Price]])/(Table13[[#This Row],[PM Hi]])</f>
        <v>#DIV/0!</v>
      </c>
      <c r="AK226" s="18" t="e">
        <f>IF(Table13[[#This Row],[PM LO]]&gt;Table13[[#This Row],[Prior day close]],(Table13[[#This Row],[PM Hi]]-Table13[[#This Row],[MKT Open Price]])/(Table13[[#This Row],[PM Hi]]-Table13[[#This Row],[Prior day close]]),(Table13[[#This Row],[PM Hi]]-Table13[[#This Row],[MKT Open Price]])/(Table13[[#This Row],[PM Hi]]-Table13[[#This Row],[PM LO]]))</f>
        <v>#DIV/0!</v>
      </c>
      <c r="AL226" s="48" t="e">
        <f>IF(Table13[[#This Row],[Prior day close]]&lt;Table13[[#This Row],[PM LO]],(J226-L226)/(J226-Table13[[#This Row],[Prior day close]]),(J226-L226)/(J226-Table13[[#This Row],[PM LO]]))</f>
        <v>#DIV/0!</v>
      </c>
      <c r="AM226" s="48">
        <f>Table13[[#This Row],[Spike % on open before drop]]+AN226</f>
        <v>0</v>
      </c>
      <c r="AN226" s="18"/>
      <c r="AO226" s="16"/>
      <c r="AP226" s="48" t="e">
        <f>IF(Table13[[#This Row],[Prior day close]]&lt;=Table13[[#This Row],[PM LO]],IF($K226&gt;=$G226,($K226-$L226)/($K226-Table13[[#This Row],[Prior day close]]),(IF($I226&lt;=$L226,($G226-$I226)/($G226-Table13[[#This Row],[Prior day close]]),(Table13[[#This Row],[PM Hi]]-Table13[[#This Row],[Lowest lo from open to squeeze]])/(Table13[[#This Row],[PM Hi]]-Table13[[#This Row],[Prior day close]])))),IF($K226&gt;=$G226,($K226-$L226)/($K226-Table13[[#This Row],[PM LO]]),(IF($I226&lt;=$L226,($G226-$I226)/($G226-Table13[[#This Row],[PM LO]]),(Table13[[#This Row],[PM Hi]]-Table13[[#This Row],[Lowest lo from open to squeeze]])/(Table13[[#This Row],[PM Hi]]-Table13[[#This Row],[PM LO]])))))</f>
        <v>#DIV/0!</v>
      </c>
      <c r="AQ226" s="18"/>
      <c r="AR226" s="17">
        <f>390+Table13[[#This Row],[Time until ideal entry point (mins) from open]]</f>
        <v>390</v>
      </c>
      <c r="AS226" s="17">
        <f>Table13[[#This Row],[Time until ideal entry + 390 (6:30)]]+Table13[[#This Row],[Duration of frontside (mins)]]</f>
        <v>390</v>
      </c>
    </row>
    <row r="227" spans="1:45" hidden="1" x14ac:dyDescent="0.25">
      <c r="A227" s="24" t="s">
        <v>121</v>
      </c>
      <c r="B227" s="47">
        <v>44172</v>
      </c>
      <c r="C227" s="47" t="s">
        <v>78</v>
      </c>
      <c r="D227" s="46" t="s">
        <v>298</v>
      </c>
      <c r="E227" s="12"/>
      <c r="F227" s="13"/>
      <c r="G227" s="12"/>
      <c r="H227" s="12"/>
      <c r="I227" s="12"/>
      <c r="J227" s="12"/>
      <c r="K227" s="12"/>
      <c r="L227" s="12"/>
      <c r="O227" s="13"/>
      <c r="Q227" s="37"/>
      <c r="R227" s="46"/>
      <c r="S227" s="37"/>
      <c r="T227" s="37"/>
      <c r="U227" s="37"/>
      <c r="V227" s="37"/>
      <c r="W227" s="38"/>
      <c r="X227" s="46"/>
      <c r="Y227" s="37"/>
      <c r="Z227" s="46"/>
      <c r="AA227" s="41">
        <f>Table13[[#This Row],[Time until ideal entry + 390 (6:30)]]/(1440)</f>
        <v>0.27083333333333331</v>
      </c>
      <c r="AB227" s="18"/>
      <c r="AC227" s="18" t="e">
        <f>IF(Table13[[#This Row],[HOD AFTER PM HI]]&gt;=Table13[[#This Row],[PM Hi]],((Table13[[#This Row],[HOD AFTER PM HI]]-Table13[[#This Row],[Prior day close]])/Table13[[#This Row],[Prior day close]]),Table13[[#This Row],[Prior Close to PM Hi %]])</f>
        <v>#DIV/0!</v>
      </c>
      <c r="AD227" s="42" t="e">
        <f>(Table13[[#This Row],[Price at hi of squeeze]]-Table13[[#This Row],[MKT Open Price]])/Table13[[#This Row],[MKT Open Price]]</f>
        <v>#DIV/0!</v>
      </c>
      <c r="AE227" s="18" t="e">
        <f>(Table13[[#This Row],[Price at hi of squeeze]]-Table13[[#This Row],[PM Hi]])/Table13[[#This Row],[PM Hi]]</f>
        <v>#DIV/0!</v>
      </c>
      <c r="AF227" s="18"/>
      <c r="AG227" s="20" t="e">
        <f>Table13[[#This Row],[PM VOL]]/1000000/Table13[[#This Row],[FLOAT(M)]]</f>
        <v>#DIV/0!</v>
      </c>
      <c r="AH227" s="23" t="e">
        <f>(Table13[[#This Row],[Volume]]/1000000)/Table13[[#This Row],[FLOAT(M)]]</f>
        <v>#DIV/0!</v>
      </c>
      <c r="AJ227" s="18" t="e">
        <f>(Table13[[#This Row],[PM Hi]]-Table13[[#This Row],[MKT Open Price]])/(Table13[[#This Row],[PM Hi]])</f>
        <v>#DIV/0!</v>
      </c>
      <c r="AK227" s="18" t="e">
        <f>IF(Table13[[#This Row],[PM LO]]&gt;Table13[[#This Row],[Prior day close]],(Table13[[#This Row],[PM Hi]]-Table13[[#This Row],[MKT Open Price]])/(Table13[[#This Row],[PM Hi]]-Table13[[#This Row],[Prior day close]]),(Table13[[#This Row],[PM Hi]]-Table13[[#This Row],[MKT Open Price]])/(Table13[[#This Row],[PM Hi]]-Table13[[#This Row],[PM LO]]))</f>
        <v>#DIV/0!</v>
      </c>
      <c r="AL227" s="48" t="e">
        <f>IF(Table13[[#This Row],[Prior day close]]&lt;Table13[[#This Row],[PM LO]],(J227-L227)/(J227-Table13[[#This Row],[Prior day close]]),(J227-L227)/(J227-Table13[[#This Row],[PM LO]]))</f>
        <v>#DIV/0!</v>
      </c>
      <c r="AM227" s="48">
        <f>Table13[[#This Row],[Spike % on open before drop]]+AN227</f>
        <v>0</v>
      </c>
      <c r="AN227" s="18"/>
      <c r="AO227" s="16"/>
      <c r="AP227" s="48" t="e">
        <f>IF(Table13[[#This Row],[Prior day close]]&lt;=Table13[[#This Row],[PM LO]],IF($K227&gt;=$G227,($K227-$L227)/($K227-Table13[[#This Row],[Prior day close]]),(IF($I227&lt;=$L227,($G227-$I227)/($G227-Table13[[#This Row],[Prior day close]]),(Table13[[#This Row],[PM Hi]]-Table13[[#This Row],[Lowest lo from open to squeeze]])/(Table13[[#This Row],[PM Hi]]-Table13[[#This Row],[Prior day close]])))),IF($K227&gt;=$G227,($K227-$L227)/($K227-Table13[[#This Row],[PM LO]]),(IF($I227&lt;=$L227,($G227-$I227)/($G227-Table13[[#This Row],[PM LO]]),(Table13[[#This Row],[PM Hi]]-Table13[[#This Row],[Lowest lo from open to squeeze]])/(Table13[[#This Row],[PM Hi]]-Table13[[#This Row],[PM LO]])))))</f>
        <v>#DIV/0!</v>
      </c>
      <c r="AQ227" s="18"/>
      <c r="AR227" s="17">
        <f>390+Table13[[#This Row],[Time until ideal entry point (mins) from open]]</f>
        <v>390</v>
      </c>
      <c r="AS227" s="17">
        <f>Table13[[#This Row],[Time until ideal entry + 390 (6:30)]]+Table13[[#This Row],[Duration of frontside (mins)]]</f>
        <v>390</v>
      </c>
    </row>
    <row r="228" spans="1:45" hidden="1" x14ac:dyDescent="0.25">
      <c r="A228" s="24" t="s">
        <v>212</v>
      </c>
      <c r="B228" s="47">
        <v>44172</v>
      </c>
      <c r="C228" s="47" t="s">
        <v>178</v>
      </c>
      <c r="D228" s="46" t="s">
        <v>299</v>
      </c>
      <c r="E228" s="12"/>
      <c r="F228" s="13"/>
      <c r="G228" s="12"/>
      <c r="H228" s="12"/>
      <c r="I228" s="12"/>
      <c r="J228" s="12"/>
      <c r="K228" s="12"/>
      <c r="L228" s="12"/>
      <c r="O228" s="13"/>
      <c r="Q228" s="37"/>
      <c r="R228" s="46"/>
      <c r="S228" s="37"/>
      <c r="T228" s="37"/>
      <c r="U228" s="37"/>
      <c r="V228" s="37"/>
      <c r="W228" s="38"/>
      <c r="X228" s="46"/>
      <c r="Y228" s="37"/>
      <c r="Z228" s="46"/>
      <c r="AA228" s="41">
        <f>Table13[[#This Row],[Time until ideal entry + 390 (6:30)]]/(1440)</f>
        <v>0.27083333333333331</v>
      </c>
      <c r="AB228" s="18"/>
      <c r="AC228" s="18" t="e">
        <f>IF(Table13[[#This Row],[HOD AFTER PM HI]]&gt;=Table13[[#This Row],[PM Hi]],((Table13[[#This Row],[HOD AFTER PM HI]]-Table13[[#This Row],[Prior day close]])/Table13[[#This Row],[Prior day close]]),Table13[[#This Row],[Prior Close to PM Hi %]])</f>
        <v>#DIV/0!</v>
      </c>
      <c r="AD228" s="42" t="e">
        <f>(Table13[[#This Row],[Price at hi of squeeze]]-Table13[[#This Row],[MKT Open Price]])/Table13[[#This Row],[MKT Open Price]]</f>
        <v>#DIV/0!</v>
      </c>
      <c r="AE228" s="18" t="e">
        <f>(Table13[[#This Row],[Price at hi of squeeze]]-Table13[[#This Row],[PM Hi]])/Table13[[#This Row],[PM Hi]]</f>
        <v>#DIV/0!</v>
      </c>
      <c r="AF228" s="18"/>
      <c r="AG228" s="20" t="e">
        <f>Table13[[#This Row],[PM VOL]]/1000000/Table13[[#This Row],[FLOAT(M)]]</f>
        <v>#DIV/0!</v>
      </c>
      <c r="AH228" s="23" t="e">
        <f>(Table13[[#This Row],[Volume]]/1000000)/Table13[[#This Row],[FLOAT(M)]]</f>
        <v>#DIV/0!</v>
      </c>
      <c r="AJ228" s="18" t="e">
        <f>(Table13[[#This Row],[PM Hi]]-Table13[[#This Row],[MKT Open Price]])/(Table13[[#This Row],[PM Hi]])</f>
        <v>#DIV/0!</v>
      </c>
      <c r="AK228" s="18" t="e">
        <f>IF(Table13[[#This Row],[PM LO]]&gt;Table13[[#This Row],[Prior day close]],(Table13[[#This Row],[PM Hi]]-Table13[[#This Row],[MKT Open Price]])/(Table13[[#This Row],[PM Hi]]-Table13[[#This Row],[Prior day close]]),(Table13[[#This Row],[PM Hi]]-Table13[[#This Row],[MKT Open Price]])/(Table13[[#This Row],[PM Hi]]-Table13[[#This Row],[PM LO]]))</f>
        <v>#DIV/0!</v>
      </c>
      <c r="AL228" s="48" t="e">
        <f>IF(Table13[[#This Row],[Prior day close]]&lt;Table13[[#This Row],[PM LO]],(J228-L228)/(J228-Table13[[#This Row],[Prior day close]]),(J228-L228)/(J228-Table13[[#This Row],[PM LO]]))</f>
        <v>#DIV/0!</v>
      </c>
      <c r="AM228" s="48">
        <f>Table13[[#This Row],[Spike % on open before drop]]+AN228</f>
        <v>0</v>
      </c>
      <c r="AN228" s="18"/>
      <c r="AO228" s="16"/>
      <c r="AP228" s="48" t="e">
        <f>IF(Table13[[#This Row],[Prior day close]]&lt;=Table13[[#This Row],[PM LO]],IF($K228&gt;=$G228,($K228-$L228)/($K228-Table13[[#This Row],[Prior day close]]),(IF($I228&lt;=$L228,($G228-$I228)/($G228-Table13[[#This Row],[Prior day close]]),(Table13[[#This Row],[PM Hi]]-Table13[[#This Row],[Lowest lo from open to squeeze]])/(Table13[[#This Row],[PM Hi]]-Table13[[#This Row],[Prior day close]])))),IF($K228&gt;=$G228,($K228-$L228)/($K228-Table13[[#This Row],[PM LO]]),(IF($I228&lt;=$L228,($G228-$I228)/($G228-Table13[[#This Row],[PM LO]]),(Table13[[#This Row],[PM Hi]]-Table13[[#This Row],[Lowest lo from open to squeeze]])/(Table13[[#This Row],[PM Hi]]-Table13[[#This Row],[PM LO]])))))</f>
        <v>#DIV/0!</v>
      </c>
      <c r="AQ228" s="18"/>
      <c r="AR228" s="17">
        <f>390+Table13[[#This Row],[Time until ideal entry point (mins) from open]]</f>
        <v>390</v>
      </c>
      <c r="AS228" s="17">
        <f>Table13[[#This Row],[Time until ideal entry + 390 (6:30)]]+Table13[[#This Row],[Duration of frontside (mins)]]</f>
        <v>390</v>
      </c>
    </row>
    <row r="229" spans="1:45" hidden="1" x14ac:dyDescent="0.25">
      <c r="A229" s="24" t="s">
        <v>163</v>
      </c>
      <c r="B229" s="47">
        <v>44172</v>
      </c>
      <c r="C229" s="47" t="s">
        <v>178</v>
      </c>
      <c r="D229" s="46" t="s">
        <v>300</v>
      </c>
      <c r="E229" s="12"/>
      <c r="F229" s="13"/>
      <c r="G229" s="12"/>
      <c r="H229" s="12"/>
      <c r="I229" s="12"/>
      <c r="J229" s="12"/>
      <c r="K229" s="12"/>
      <c r="L229" s="12"/>
      <c r="O229" s="13"/>
      <c r="Q229" s="37"/>
      <c r="R229" s="46"/>
      <c r="S229" s="37"/>
      <c r="T229" s="37"/>
      <c r="U229" s="37"/>
      <c r="V229" s="37"/>
      <c r="W229" s="38"/>
      <c r="X229" s="46"/>
      <c r="Y229" s="37"/>
      <c r="Z229" s="46"/>
      <c r="AA229" s="41">
        <f>Table13[[#This Row],[Time until ideal entry + 390 (6:30)]]/(1440)</f>
        <v>0.27083333333333331</v>
      </c>
      <c r="AB229" s="18"/>
      <c r="AC229" s="18" t="e">
        <f>IF(Table13[[#This Row],[HOD AFTER PM HI]]&gt;=Table13[[#This Row],[PM Hi]],((Table13[[#This Row],[HOD AFTER PM HI]]-Table13[[#This Row],[Prior day close]])/Table13[[#This Row],[Prior day close]]),Table13[[#This Row],[Prior Close to PM Hi %]])</f>
        <v>#DIV/0!</v>
      </c>
      <c r="AD229" s="42" t="e">
        <f>(Table13[[#This Row],[Price at hi of squeeze]]-Table13[[#This Row],[MKT Open Price]])/Table13[[#This Row],[MKT Open Price]]</f>
        <v>#DIV/0!</v>
      </c>
      <c r="AE229" s="18" t="e">
        <f>(Table13[[#This Row],[Price at hi of squeeze]]-Table13[[#This Row],[PM Hi]])/Table13[[#This Row],[PM Hi]]</f>
        <v>#DIV/0!</v>
      </c>
      <c r="AF229" s="18"/>
      <c r="AG229" s="20" t="e">
        <f>Table13[[#This Row],[PM VOL]]/1000000/Table13[[#This Row],[FLOAT(M)]]</f>
        <v>#DIV/0!</v>
      </c>
      <c r="AH229" s="23" t="e">
        <f>(Table13[[#This Row],[Volume]]/1000000)/Table13[[#This Row],[FLOAT(M)]]</f>
        <v>#DIV/0!</v>
      </c>
      <c r="AJ229" s="18" t="e">
        <f>(Table13[[#This Row],[PM Hi]]-Table13[[#This Row],[MKT Open Price]])/(Table13[[#This Row],[PM Hi]])</f>
        <v>#DIV/0!</v>
      </c>
      <c r="AK229" s="18" t="e">
        <f>IF(Table13[[#This Row],[PM LO]]&gt;Table13[[#This Row],[Prior day close]],(Table13[[#This Row],[PM Hi]]-Table13[[#This Row],[MKT Open Price]])/(Table13[[#This Row],[PM Hi]]-Table13[[#This Row],[Prior day close]]),(Table13[[#This Row],[PM Hi]]-Table13[[#This Row],[MKT Open Price]])/(Table13[[#This Row],[PM Hi]]-Table13[[#This Row],[PM LO]]))</f>
        <v>#DIV/0!</v>
      </c>
      <c r="AL229" s="48" t="e">
        <f>IF(Table13[[#This Row],[Prior day close]]&lt;Table13[[#This Row],[PM LO]],(J229-L229)/(J229-Table13[[#This Row],[Prior day close]]),(J229-L229)/(J229-Table13[[#This Row],[PM LO]]))</f>
        <v>#DIV/0!</v>
      </c>
      <c r="AM229" s="48">
        <f>Table13[[#This Row],[Spike % on open before drop]]+AN229</f>
        <v>0</v>
      </c>
      <c r="AN229" s="18"/>
      <c r="AO229" s="16"/>
      <c r="AP229" s="48" t="e">
        <f>IF(Table13[[#This Row],[Prior day close]]&lt;=Table13[[#This Row],[PM LO]],IF($K229&gt;=$G229,($K229-$L229)/($K229-Table13[[#This Row],[Prior day close]]),(IF($I229&lt;=$L229,($G229-$I229)/($G229-Table13[[#This Row],[Prior day close]]),(Table13[[#This Row],[PM Hi]]-Table13[[#This Row],[Lowest lo from open to squeeze]])/(Table13[[#This Row],[PM Hi]]-Table13[[#This Row],[Prior day close]])))),IF($K229&gt;=$G229,($K229-$L229)/($K229-Table13[[#This Row],[PM LO]]),(IF($I229&lt;=$L229,($G229-$I229)/($G229-Table13[[#This Row],[PM LO]]),(Table13[[#This Row],[PM Hi]]-Table13[[#This Row],[Lowest lo from open to squeeze]])/(Table13[[#This Row],[PM Hi]]-Table13[[#This Row],[PM LO]])))))</f>
        <v>#DIV/0!</v>
      </c>
      <c r="AQ229" s="18"/>
      <c r="AR229" s="17">
        <f>390+Table13[[#This Row],[Time until ideal entry point (mins) from open]]</f>
        <v>390</v>
      </c>
      <c r="AS229" s="17">
        <f>Table13[[#This Row],[Time until ideal entry + 390 (6:30)]]+Table13[[#This Row],[Duration of frontside (mins)]]</f>
        <v>390</v>
      </c>
    </row>
    <row r="230" spans="1:45" hidden="1" x14ac:dyDescent="0.25">
      <c r="A230" s="24" t="s">
        <v>301</v>
      </c>
      <c r="B230" s="47">
        <v>44173</v>
      </c>
      <c r="C230" s="47" t="s">
        <v>78</v>
      </c>
      <c r="D230" s="46" t="s">
        <v>302</v>
      </c>
      <c r="E230" s="12"/>
      <c r="F230" s="13"/>
      <c r="G230" s="12"/>
      <c r="H230" s="12"/>
      <c r="I230" s="12"/>
      <c r="J230" s="12"/>
      <c r="K230" s="12"/>
      <c r="L230" s="12"/>
      <c r="O230" s="13"/>
      <c r="Q230" s="37"/>
      <c r="R230" s="46"/>
      <c r="S230" s="37"/>
      <c r="T230" s="37"/>
      <c r="U230" s="37"/>
      <c r="V230" s="37"/>
      <c r="W230" s="38"/>
      <c r="X230" s="46"/>
      <c r="Y230" s="37"/>
      <c r="Z230" s="46"/>
      <c r="AA230" s="41">
        <f>Table13[[#This Row],[Time until ideal entry + 390 (6:30)]]/(1440)</f>
        <v>0.27083333333333331</v>
      </c>
      <c r="AB230" s="18"/>
      <c r="AC230" s="18" t="e">
        <f>IF(Table13[[#This Row],[HOD AFTER PM HI]]&gt;=Table13[[#This Row],[PM Hi]],((Table13[[#This Row],[HOD AFTER PM HI]]-Table13[[#This Row],[Prior day close]])/Table13[[#This Row],[Prior day close]]),Table13[[#This Row],[Prior Close to PM Hi %]])</f>
        <v>#DIV/0!</v>
      </c>
      <c r="AD230" s="42" t="e">
        <f>(Table13[[#This Row],[Price at hi of squeeze]]-Table13[[#This Row],[MKT Open Price]])/Table13[[#This Row],[MKT Open Price]]</f>
        <v>#DIV/0!</v>
      </c>
      <c r="AE230" s="18" t="e">
        <f>(Table13[[#This Row],[Price at hi of squeeze]]-Table13[[#This Row],[PM Hi]])/Table13[[#This Row],[PM Hi]]</f>
        <v>#DIV/0!</v>
      </c>
      <c r="AF230" s="18"/>
      <c r="AG230" s="20" t="e">
        <f>Table13[[#This Row],[PM VOL]]/1000000/Table13[[#This Row],[FLOAT(M)]]</f>
        <v>#DIV/0!</v>
      </c>
      <c r="AH230" s="23" t="e">
        <f>(Table13[[#This Row],[Volume]]/1000000)/Table13[[#This Row],[FLOAT(M)]]</f>
        <v>#DIV/0!</v>
      </c>
      <c r="AJ230" s="18" t="e">
        <f>(Table13[[#This Row],[PM Hi]]-Table13[[#This Row],[MKT Open Price]])/(Table13[[#This Row],[PM Hi]])</f>
        <v>#DIV/0!</v>
      </c>
      <c r="AK230" s="18" t="e">
        <f>IF(Table13[[#This Row],[PM LO]]&gt;Table13[[#This Row],[Prior day close]],(Table13[[#This Row],[PM Hi]]-Table13[[#This Row],[MKT Open Price]])/(Table13[[#This Row],[PM Hi]]-Table13[[#This Row],[Prior day close]]),(Table13[[#This Row],[PM Hi]]-Table13[[#This Row],[MKT Open Price]])/(Table13[[#This Row],[PM Hi]]-Table13[[#This Row],[PM LO]]))</f>
        <v>#DIV/0!</v>
      </c>
      <c r="AL230" s="48" t="e">
        <f>IF(Table13[[#This Row],[Prior day close]]&lt;Table13[[#This Row],[PM LO]],(J230-L230)/(J230-Table13[[#This Row],[Prior day close]]),(J230-L230)/(J230-Table13[[#This Row],[PM LO]]))</f>
        <v>#DIV/0!</v>
      </c>
      <c r="AM230" s="48">
        <f>Table13[[#This Row],[Spike % on open before drop]]+AN230</f>
        <v>0</v>
      </c>
      <c r="AN230" s="18"/>
      <c r="AO230" s="16"/>
      <c r="AP230" s="48" t="e">
        <f>IF(Table13[[#This Row],[Prior day close]]&lt;=Table13[[#This Row],[PM LO]],IF($K230&gt;=$G230,($K230-$L230)/($K230-Table13[[#This Row],[Prior day close]]),(IF($I230&lt;=$L230,($G230-$I230)/($G230-Table13[[#This Row],[Prior day close]]),(Table13[[#This Row],[PM Hi]]-Table13[[#This Row],[Lowest lo from open to squeeze]])/(Table13[[#This Row],[PM Hi]]-Table13[[#This Row],[Prior day close]])))),IF($K230&gt;=$G230,($K230-$L230)/($K230-Table13[[#This Row],[PM LO]]),(IF($I230&lt;=$L230,($G230-$I230)/($G230-Table13[[#This Row],[PM LO]]),(Table13[[#This Row],[PM Hi]]-Table13[[#This Row],[Lowest lo from open to squeeze]])/(Table13[[#This Row],[PM Hi]]-Table13[[#This Row],[PM LO]])))))</f>
        <v>#DIV/0!</v>
      </c>
      <c r="AQ230" s="18"/>
      <c r="AR230" s="17">
        <f>390+Table13[[#This Row],[Time until ideal entry point (mins) from open]]</f>
        <v>390</v>
      </c>
      <c r="AS230" s="17">
        <f>Table13[[#This Row],[Time until ideal entry + 390 (6:30)]]+Table13[[#This Row],[Duration of frontside (mins)]]</f>
        <v>390</v>
      </c>
    </row>
    <row r="231" spans="1:45" hidden="1" x14ac:dyDescent="0.25">
      <c r="A231" s="24" t="s">
        <v>46</v>
      </c>
      <c r="B231" s="47">
        <v>44174</v>
      </c>
      <c r="C231" s="47" t="s">
        <v>78</v>
      </c>
      <c r="D231" s="46" t="s">
        <v>303</v>
      </c>
      <c r="E231" s="12"/>
      <c r="F231" s="13"/>
      <c r="G231" s="12"/>
      <c r="H231" s="12"/>
      <c r="I231" s="12"/>
      <c r="J231" s="12"/>
      <c r="K231" s="12"/>
      <c r="L231" s="12"/>
      <c r="O231" s="13"/>
      <c r="Q231" s="37"/>
      <c r="R231" s="46"/>
      <c r="S231" s="37"/>
      <c r="T231" s="37"/>
      <c r="U231" s="37"/>
      <c r="V231" s="37"/>
      <c r="W231" s="38"/>
      <c r="X231" s="46"/>
      <c r="Y231" s="37"/>
      <c r="Z231" s="46"/>
      <c r="AA231" s="41">
        <f>Table13[[#This Row],[Time until ideal entry + 390 (6:30)]]/(1440)</f>
        <v>0.27083333333333331</v>
      </c>
      <c r="AB231" s="18"/>
      <c r="AC231" s="18" t="e">
        <f>IF(Table13[[#This Row],[HOD AFTER PM HI]]&gt;=Table13[[#This Row],[PM Hi]],((Table13[[#This Row],[HOD AFTER PM HI]]-Table13[[#This Row],[Prior day close]])/Table13[[#This Row],[Prior day close]]),Table13[[#This Row],[Prior Close to PM Hi %]])</f>
        <v>#DIV/0!</v>
      </c>
      <c r="AD231" s="42" t="e">
        <f>(Table13[[#This Row],[Price at hi of squeeze]]-Table13[[#This Row],[MKT Open Price]])/Table13[[#This Row],[MKT Open Price]]</f>
        <v>#DIV/0!</v>
      </c>
      <c r="AE231" s="18" t="e">
        <f>(Table13[[#This Row],[Price at hi of squeeze]]-Table13[[#This Row],[PM Hi]])/Table13[[#This Row],[PM Hi]]</f>
        <v>#DIV/0!</v>
      </c>
      <c r="AF231" s="18"/>
      <c r="AG231" s="20" t="e">
        <f>Table13[[#This Row],[PM VOL]]/1000000/Table13[[#This Row],[FLOAT(M)]]</f>
        <v>#DIV/0!</v>
      </c>
      <c r="AH231" s="23" t="e">
        <f>(Table13[[#This Row],[Volume]]/1000000)/Table13[[#This Row],[FLOAT(M)]]</f>
        <v>#DIV/0!</v>
      </c>
      <c r="AJ231" s="18" t="e">
        <f>(Table13[[#This Row],[PM Hi]]-Table13[[#This Row],[MKT Open Price]])/(Table13[[#This Row],[PM Hi]])</f>
        <v>#DIV/0!</v>
      </c>
      <c r="AK231" s="18" t="e">
        <f>IF(Table13[[#This Row],[PM LO]]&gt;Table13[[#This Row],[Prior day close]],(Table13[[#This Row],[PM Hi]]-Table13[[#This Row],[MKT Open Price]])/(Table13[[#This Row],[PM Hi]]-Table13[[#This Row],[Prior day close]]),(Table13[[#This Row],[PM Hi]]-Table13[[#This Row],[MKT Open Price]])/(Table13[[#This Row],[PM Hi]]-Table13[[#This Row],[PM LO]]))</f>
        <v>#DIV/0!</v>
      </c>
      <c r="AL231" s="48" t="e">
        <f>IF(Table13[[#This Row],[Prior day close]]&lt;Table13[[#This Row],[PM LO]],(J231-L231)/(J231-Table13[[#This Row],[Prior day close]]),(J231-L231)/(J231-Table13[[#This Row],[PM LO]]))</f>
        <v>#DIV/0!</v>
      </c>
      <c r="AM231" s="48">
        <f>Table13[[#This Row],[Spike % on open before drop]]+AN231</f>
        <v>0</v>
      </c>
      <c r="AN231" s="18"/>
      <c r="AO231" s="16"/>
      <c r="AP231" s="48" t="e">
        <f>IF(Table13[[#This Row],[Prior day close]]&lt;=Table13[[#This Row],[PM LO]],IF($K231&gt;=$G231,($K231-$L231)/($K231-Table13[[#This Row],[Prior day close]]),(IF($I231&lt;=$L231,($G231-$I231)/($G231-Table13[[#This Row],[Prior day close]]),(Table13[[#This Row],[PM Hi]]-Table13[[#This Row],[Lowest lo from open to squeeze]])/(Table13[[#This Row],[PM Hi]]-Table13[[#This Row],[Prior day close]])))),IF($K231&gt;=$G231,($K231-$L231)/($K231-Table13[[#This Row],[PM LO]]),(IF($I231&lt;=$L231,($G231-$I231)/($G231-Table13[[#This Row],[PM LO]]),(Table13[[#This Row],[PM Hi]]-Table13[[#This Row],[Lowest lo from open to squeeze]])/(Table13[[#This Row],[PM Hi]]-Table13[[#This Row],[PM LO]])))))</f>
        <v>#DIV/0!</v>
      </c>
      <c r="AQ231" s="18"/>
      <c r="AR231" s="17">
        <f>390+Table13[[#This Row],[Time until ideal entry point (mins) from open]]</f>
        <v>390</v>
      </c>
      <c r="AS231" s="17">
        <f>Table13[[#This Row],[Time until ideal entry + 390 (6:30)]]+Table13[[#This Row],[Duration of frontside (mins)]]</f>
        <v>390</v>
      </c>
    </row>
    <row r="232" spans="1:45" hidden="1" x14ac:dyDescent="0.25">
      <c r="A232" s="24" t="s">
        <v>304</v>
      </c>
      <c r="B232" s="47">
        <v>44175</v>
      </c>
      <c r="C232" s="47" t="s">
        <v>178</v>
      </c>
      <c r="D232" s="46" t="s">
        <v>305</v>
      </c>
      <c r="E232" s="12"/>
      <c r="F232" s="13"/>
      <c r="G232" s="12"/>
      <c r="H232" s="12"/>
      <c r="I232" s="12"/>
      <c r="J232" s="12"/>
      <c r="K232" s="12"/>
      <c r="L232" s="12"/>
      <c r="O232" s="13"/>
      <c r="Q232" s="37"/>
      <c r="R232" s="46"/>
      <c r="S232" s="37"/>
      <c r="T232" s="37"/>
      <c r="U232" s="37"/>
      <c r="V232" s="37"/>
      <c r="W232" s="38"/>
      <c r="X232" s="46"/>
      <c r="Y232" s="37"/>
      <c r="Z232" s="46"/>
      <c r="AA232" s="41">
        <f>Table13[[#This Row],[Time until ideal entry + 390 (6:30)]]/(1440)</f>
        <v>0.27083333333333331</v>
      </c>
      <c r="AB232" s="18"/>
      <c r="AC232" s="18" t="e">
        <f>IF(Table13[[#This Row],[HOD AFTER PM HI]]&gt;=Table13[[#This Row],[PM Hi]],((Table13[[#This Row],[HOD AFTER PM HI]]-Table13[[#This Row],[Prior day close]])/Table13[[#This Row],[Prior day close]]),Table13[[#This Row],[Prior Close to PM Hi %]])</f>
        <v>#DIV/0!</v>
      </c>
      <c r="AD232" s="42" t="e">
        <f>(Table13[[#This Row],[Price at hi of squeeze]]-Table13[[#This Row],[MKT Open Price]])/Table13[[#This Row],[MKT Open Price]]</f>
        <v>#DIV/0!</v>
      </c>
      <c r="AE232" s="18" t="e">
        <f>(Table13[[#This Row],[Price at hi of squeeze]]-Table13[[#This Row],[PM Hi]])/Table13[[#This Row],[PM Hi]]</f>
        <v>#DIV/0!</v>
      </c>
      <c r="AF232" s="18"/>
      <c r="AG232" s="20" t="e">
        <f>Table13[[#This Row],[PM VOL]]/1000000/Table13[[#This Row],[FLOAT(M)]]</f>
        <v>#DIV/0!</v>
      </c>
      <c r="AH232" s="23" t="e">
        <f>(Table13[[#This Row],[Volume]]/1000000)/Table13[[#This Row],[FLOAT(M)]]</f>
        <v>#DIV/0!</v>
      </c>
      <c r="AJ232" s="18" t="e">
        <f>(Table13[[#This Row],[PM Hi]]-Table13[[#This Row],[MKT Open Price]])/(Table13[[#This Row],[PM Hi]])</f>
        <v>#DIV/0!</v>
      </c>
      <c r="AK232" s="18" t="e">
        <f>IF(Table13[[#This Row],[PM LO]]&gt;Table13[[#This Row],[Prior day close]],(Table13[[#This Row],[PM Hi]]-Table13[[#This Row],[MKT Open Price]])/(Table13[[#This Row],[PM Hi]]-Table13[[#This Row],[Prior day close]]),(Table13[[#This Row],[PM Hi]]-Table13[[#This Row],[MKT Open Price]])/(Table13[[#This Row],[PM Hi]]-Table13[[#This Row],[PM LO]]))</f>
        <v>#DIV/0!</v>
      </c>
      <c r="AL232" s="48" t="e">
        <f>IF(Table13[[#This Row],[Prior day close]]&lt;Table13[[#This Row],[PM LO]],(J232-L232)/(J232-Table13[[#This Row],[Prior day close]]),(J232-L232)/(J232-Table13[[#This Row],[PM LO]]))</f>
        <v>#DIV/0!</v>
      </c>
      <c r="AM232" s="48">
        <f>Table13[[#This Row],[Spike % on open before drop]]+AN232</f>
        <v>0</v>
      </c>
      <c r="AN232" s="18"/>
      <c r="AO232" s="16"/>
      <c r="AP232" s="48" t="e">
        <f>IF(Table13[[#This Row],[Prior day close]]&lt;=Table13[[#This Row],[PM LO]],IF($K232&gt;=$G232,($K232-$L232)/($K232-Table13[[#This Row],[Prior day close]]),(IF($I232&lt;=$L232,($G232-$I232)/($G232-Table13[[#This Row],[Prior day close]]),(Table13[[#This Row],[PM Hi]]-Table13[[#This Row],[Lowest lo from open to squeeze]])/(Table13[[#This Row],[PM Hi]]-Table13[[#This Row],[Prior day close]])))),IF($K232&gt;=$G232,($K232-$L232)/($K232-Table13[[#This Row],[PM LO]]),(IF($I232&lt;=$L232,($G232-$I232)/($G232-Table13[[#This Row],[PM LO]]),(Table13[[#This Row],[PM Hi]]-Table13[[#This Row],[Lowest lo from open to squeeze]])/(Table13[[#This Row],[PM Hi]]-Table13[[#This Row],[PM LO]])))))</f>
        <v>#DIV/0!</v>
      </c>
      <c r="AQ232" s="18"/>
      <c r="AR232" s="17">
        <f>390+Table13[[#This Row],[Time until ideal entry point (mins) from open]]</f>
        <v>390</v>
      </c>
      <c r="AS232" s="17">
        <f>Table13[[#This Row],[Time until ideal entry + 390 (6:30)]]+Table13[[#This Row],[Duration of frontside (mins)]]</f>
        <v>390</v>
      </c>
    </row>
    <row r="233" spans="1:45" hidden="1" x14ac:dyDescent="0.25">
      <c r="A233" s="24" t="s">
        <v>278</v>
      </c>
      <c r="B233" s="47">
        <v>44180</v>
      </c>
      <c r="C233" s="47" t="s">
        <v>178</v>
      </c>
      <c r="D233" s="46" t="s">
        <v>306</v>
      </c>
      <c r="E233" s="12"/>
      <c r="F233" s="13"/>
      <c r="G233" s="12"/>
      <c r="H233" s="12"/>
      <c r="I233" s="12"/>
      <c r="J233" s="12"/>
      <c r="K233" s="12"/>
      <c r="L233" s="12"/>
      <c r="O233" s="13"/>
      <c r="Q233" s="37"/>
      <c r="R233" s="46"/>
      <c r="S233" s="37"/>
      <c r="T233" s="37"/>
      <c r="U233" s="37"/>
      <c r="V233" s="37"/>
      <c r="W233" s="38"/>
      <c r="X233" s="46"/>
      <c r="Y233" s="37"/>
      <c r="Z233" s="46"/>
      <c r="AA233" s="41">
        <f>Table13[[#This Row],[Time until ideal entry + 390 (6:30)]]/(1440)</f>
        <v>0.27083333333333331</v>
      </c>
      <c r="AB233" s="18"/>
      <c r="AC233" s="18" t="e">
        <f>IF(Table13[[#This Row],[HOD AFTER PM HI]]&gt;=Table13[[#This Row],[PM Hi]],((Table13[[#This Row],[HOD AFTER PM HI]]-Table13[[#This Row],[Prior day close]])/Table13[[#This Row],[Prior day close]]),Table13[[#This Row],[Prior Close to PM Hi %]])</f>
        <v>#DIV/0!</v>
      </c>
      <c r="AD233" s="42" t="e">
        <f>(Table13[[#This Row],[Price at hi of squeeze]]-Table13[[#This Row],[MKT Open Price]])/Table13[[#This Row],[MKT Open Price]]</f>
        <v>#DIV/0!</v>
      </c>
      <c r="AE233" s="18" t="e">
        <f>(Table13[[#This Row],[Price at hi of squeeze]]-Table13[[#This Row],[PM Hi]])/Table13[[#This Row],[PM Hi]]</f>
        <v>#DIV/0!</v>
      </c>
      <c r="AF233" s="18"/>
      <c r="AG233" s="20" t="e">
        <f>Table13[[#This Row],[PM VOL]]/1000000/Table13[[#This Row],[FLOAT(M)]]</f>
        <v>#DIV/0!</v>
      </c>
      <c r="AH233" s="23" t="e">
        <f>(Table13[[#This Row],[Volume]]/1000000)/Table13[[#This Row],[FLOAT(M)]]</f>
        <v>#DIV/0!</v>
      </c>
      <c r="AJ233" s="18" t="e">
        <f>(Table13[[#This Row],[PM Hi]]-Table13[[#This Row],[MKT Open Price]])/(Table13[[#This Row],[PM Hi]])</f>
        <v>#DIV/0!</v>
      </c>
      <c r="AK233" s="18" t="e">
        <f>IF(Table13[[#This Row],[PM LO]]&gt;Table13[[#This Row],[Prior day close]],(Table13[[#This Row],[PM Hi]]-Table13[[#This Row],[MKT Open Price]])/(Table13[[#This Row],[PM Hi]]-Table13[[#This Row],[Prior day close]]),(Table13[[#This Row],[PM Hi]]-Table13[[#This Row],[MKT Open Price]])/(Table13[[#This Row],[PM Hi]]-Table13[[#This Row],[PM LO]]))</f>
        <v>#DIV/0!</v>
      </c>
      <c r="AL233" s="48" t="e">
        <f>IF(Table13[[#This Row],[Prior day close]]&lt;Table13[[#This Row],[PM LO]],(J233-L233)/(J233-Table13[[#This Row],[Prior day close]]),(J233-L233)/(J233-Table13[[#This Row],[PM LO]]))</f>
        <v>#DIV/0!</v>
      </c>
      <c r="AM233" s="48">
        <f>Table13[[#This Row],[Spike % on open before drop]]+AN233</f>
        <v>0</v>
      </c>
      <c r="AN233" s="18"/>
      <c r="AO233" s="16"/>
      <c r="AP233" s="48" t="e">
        <f>IF(Table13[[#This Row],[Prior day close]]&lt;=Table13[[#This Row],[PM LO]],IF($K233&gt;=$G233,($K233-$L233)/($K233-Table13[[#This Row],[Prior day close]]),(IF($I233&lt;=$L233,($G233-$I233)/($G233-Table13[[#This Row],[Prior day close]]),(Table13[[#This Row],[PM Hi]]-Table13[[#This Row],[Lowest lo from open to squeeze]])/(Table13[[#This Row],[PM Hi]]-Table13[[#This Row],[Prior day close]])))),IF($K233&gt;=$G233,($K233-$L233)/($K233-Table13[[#This Row],[PM LO]]),(IF($I233&lt;=$L233,($G233-$I233)/($G233-Table13[[#This Row],[PM LO]]),(Table13[[#This Row],[PM Hi]]-Table13[[#This Row],[Lowest lo from open to squeeze]])/(Table13[[#This Row],[PM Hi]]-Table13[[#This Row],[PM LO]])))))</f>
        <v>#DIV/0!</v>
      </c>
      <c r="AQ233" s="18"/>
      <c r="AR233" s="17">
        <f>390+Table13[[#This Row],[Time until ideal entry point (mins) from open]]</f>
        <v>390</v>
      </c>
      <c r="AS233" s="17">
        <f>Table13[[#This Row],[Time until ideal entry + 390 (6:30)]]+Table13[[#This Row],[Duration of frontside (mins)]]</f>
        <v>390</v>
      </c>
    </row>
    <row r="234" spans="1:45" hidden="1" x14ac:dyDescent="0.25">
      <c r="A234" s="24" t="s">
        <v>307</v>
      </c>
      <c r="B234" s="47">
        <v>44181</v>
      </c>
      <c r="C234" s="47" t="s">
        <v>178</v>
      </c>
      <c r="D234" s="46" t="s">
        <v>294</v>
      </c>
      <c r="E234" s="12"/>
      <c r="F234" s="13"/>
      <c r="G234" s="12"/>
      <c r="H234" s="12"/>
      <c r="I234" s="12"/>
      <c r="J234" s="12"/>
      <c r="K234" s="12"/>
      <c r="L234" s="12"/>
      <c r="O234" s="13"/>
      <c r="Q234" s="37"/>
      <c r="R234" s="46"/>
      <c r="S234" s="37"/>
      <c r="T234" s="37"/>
      <c r="U234" s="37"/>
      <c r="V234" s="37"/>
      <c r="W234" s="38"/>
      <c r="X234" s="46"/>
      <c r="Y234" s="37"/>
      <c r="Z234" s="46"/>
      <c r="AA234" s="41">
        <f>Table13[[#This Row],[Time until ideal entry + 390 (6:30)]]/(1440)</f>
        <v>0.27083333333333331</v>
      </c>
      <c r="AB234" s="18"/>
      <c r="AC234" s="18" t="e">
        <f>IF(Table13[[#This Row],[HOD AFTER PM HI]]&gt;=Table13[[#This Row],[PM Hi]],((Table13[[#This Row],[HOD AFTER PM HI]]-Table13[[#This Row],[Prior day close]])/Table13[[#This Row],[Prior day close]]),Table13[[#This Row],[Prior Close to PM Hi %]])</f>
        <v>#DIV/0!</v>
      </c>
      <c r="AD234" s="42" t="e">
        <f>(Table13[[#This Row],[Price at hi of squeeze]]-Table13[[#This Row],[MKT Open Price]])/Table13[[#This Row],[MKT Open Price]]</f>
        <v>#DIV/0!</v>
      </c>
      <c r="AE234" s="18" t="e">
        <f>(Table13[[#This Row],[Price at hi of squeeze]]-Table13[[#This Row],[PM Hi]])/Table13[[#This Row],[PM Hi]]</f>
        <v>#DIV/0!</v>
      </c>
      <c r="AF234" s="18"/>
      <c r="AG234" s="20" t="e">
        <f>Table13[[#This Row],[PM VOL]]/1000000/Table13[[#This Row],[FLOAT(M)]]</f>
        <v>#DIV/0!</v>
      </c>
      <c r="AH234" s="23" t="e">
        <f>(Table13[[#This Row],[Volume]]/1000000)/Table13[[#This Row],[FLOAT(M)]]</f>
        <v>#DIV/0!</v>
      </c>
      <c r="AJ234" s="18" t="e">
        <f>(Table13[[#This Row],[PM Hi]]-Table13[[#This Row],[MKT Open Price]])/(Table13[[#This Row],[PM Hi]])</f>
        <v>#DIV/0!</v>
      </c>
      <c r="AK234" s="18" t="e">
        <f>IF(Table13[[#This Row],[PM LO]]&gt;Table13[[#This Row],[Prior day close]],(Table13[[#This Row],[PM Hi]]-Table13[[#This Row],[MKT Open Price]])/(Table13[[#This Row],[PM Hi]]-Table13[[#This Row],[Prior day close]]),(Table13[[#This Row],[PM Hi]]-Table13[[#This Row],[MKT Open Price]])/(Table13[[#This Row],[PM Hi]]-Table13[[#This Row],[PM LO]]))</f>
        <v>#DIV/0!</v>
      </c>
      <c r="AL234" s="48" t="e">
        <f>IF(Table13[[#This Row],[Prior day close]]&lt;Table13[[#This Row],[PM LO]],(J234-L234)/(J234-Table13[[#This Row],[Prior day close]]),(J234-L234)/(J234-Table13[[#This Row],[PM LO]]))</f>
        <v>#DIV/0!</v>
      </c>
      <c r="AM234" s="48">
        <f>Table13[[#This Row],[Spike % on open before drop]]+AN234</f>
        <v>0</v>
      </c>
      <c r="AN234" s="18"/>
      <c r="AO234" s="16"/>
      <c r="AP234" s="48" t="e">
        <f>IF(Table13[[#This Row],[Prior day close]]&lt;=Table13[[#This Row],[PM LO]],IF($K234&gt;=$G234,($K234-$L234)/($K234-Table13[[#This Row],[Prior day close]]),(IF($I234&lt;=$L234,($G234-$I234)/($G234-Table13[[#This Row],[Prior day close]]),(Table13[[#This Row],[PM Hi]]-Table13[[#This Row],[Lowest lo from open to squeeze]])/(Table13[[#This Row],[PM Hi]]-Table13[[#This Row],[Prior day close]])))),IF($K234&gt;=$G234,($K234-$L234)/($K234-Table13[[#This Row],[PM LO]]),(IF($I234&lt;=$L234,($G234-$I234)/($G234-Table13[[#This Row],[PM LO]]),(Table13[[#This Row],[PM Hi]]-Table13[[#This Row],[Lowest lo from open to squeeze]])/(Table13[[#This Row],[PM Hi]]-Table13[[#This Row],[PM LO]])))))</f>
        <v>#DIV/0!</v>
      </c>
      <c r="AQ234" s="18"/>
      <c r="AR234" s="17">
        <f>390+Table13[[#This Row],[Time until ideal entry point (mins) from open]]</f>
        <v>390</v>
      </c>
      <c r="AS234" s="17">
        <f>Table13[[#This Row],[Time until ideal entry + 390 (6:30)]]+Table13[[#This Row],[Duration of frontside (mins)]]</f>
        <v>390</v>
      </c>
    </row>
    <row r="235" spans="1:45" hidden="1" x14ac:dyDescent="0.25">
      <c r="A235" s="24" t="s">
        <v>253</v>
      </c>
      <c r="B235" s="47">
        <v>44181</v>
      </c>
      <c r="C235" s="47" t="s">
        <v>78</v>
      </c>
      <c r="D235" s="46" t="s">
        <v>308</v>
      </c>
      <c r="E235" s="12"/>
      <c r="F235" s="13"/>
      <c r="G235" s="12"/>
      <c r="H235" s="12"/>
      <c r="I235" s="12"/>
      <c r="J235" s="12"/>
      <c r="K235" s="12"/>
      <c r="L235" s="12"/>
      <c r="O235" s="13"/>
      <c r="Q235" s="37"/>
      <c r="R235" s="46"/>
      <c r="S235" s="37"/>
      <c r="T235" s="37"/>
      <c r="U235" s="37"/>
      <c r="V235" s="37"/>
      <c r="W235" s="38"/>
      <c r="X235" s="46"/>
      <c r="Y235" s="37"/>
      <c r="Z235" s="46"/>
      <c r="AA235" s="41">
        <f>Table13[[#This Row],[Time until ideal entry + 390 (6:30)]]/(1440)</f>
        <v>0.27083333333333331</v>
      </c>
      <c r="AB235" s="18"/>
      <c r="AC235" s="18" t="e">
        <f>IF(Table13[[#This Row],[HOD AFTER PM HI]]&gt;=Table13[[#This Row],[PM Hi]],((Table13[[#This Row],[HOD AFTER PM HI]]-Table13[[#This Row],[Prior day close]])/Table13[[#This Row],[Prior day close]]),Table13[[#This Row],[Prior Close to PM Hi %]])</f>
        <v>#DIV/0!</v>
      </c>
      <c r="AD235" s="42" t="e">
        <f>(Table13[[#This Row],[Price at hi of squeeze]]-Table13[[#This Row],[MKT Open Price]])/Table13[[#This Row],[MKT Open Price]]</f>
        <v>#DIV/0!</v>
      </c>
      <c r="AE235" s="18" t="e">
        <f>(Table13[[#This Row],[Price at hi of squeeze]]-Table13[[#This Row],[PM Hi]])/Table13[[#This Row],[PM Hi]]</f>
        <v>#DIV/0!</v>
      </c>
      <c r="AF235" s="18"/>
      <c r="AG235" s="20" t="e">
        <f>Table13[[#This Row],[PM VOL]]/1000000/Table13[[#This Row],[FLOAT(M)]]</f>
        <v>#DIV/0!</v>
      </c>
      <c r="AH235" s="23" t="e">
        <f>(Table13[[#This Row],[Volume]]/1000000)/Table13[[#This Row],[FLOAT(M)]]</f>
        <v>#DIV/0!</v>
      </c>
      <c r="AJ235" s="18" t="e">
        <f>(Table13[[#This Row],[PM Hi]]-Table13[[#This Row],[MKT Open Price]])/(Table13[[#This Row],[PM Hi]])</f>
        <v>#DIV/0!</v>
      </c>
      <c r="AK235" s="18" t="e">
        <f>IF(Table13[[#This Row],[PM LO]]&gt;Table13[[#This Row],[Prior day close]],(Table13[[#This Row],[PM Hi]]-Table13[[#This Row],[MKT Open Price]])/(Table13[[#This Row],[PM Hi]]-Table13[[#This Row],[Prior day close]]),(Table13[[#This Row],[PM Hi]]-Table13[[#This Row],[MKT Open Price]])/(Table13[[#This Row],[PM Hi]]-Table13[[#This Row],[PM LO]]))</f>
        <v>#DIV/0!</v>
      </c>
      <c r="AL235" s="48" t="e">
        <f>IF(Table13[[#This Row],[Prior day close]]&lt;Table13[[#This Row],[PM LO]],(J235-L235)/(J235-Table13[[#This Row],[Prior day close]]),(J235-L235)/(J235-Table13[[#This Row],[PM LO]]))</f>
        <v>#DIV/0!</v>
      </c>
      <c r="AM235" s="48">
        <f>Table13[[#This Row],[Spike % on open before drop]]+AN235</f>
        <v>0</v>
      </c>
      <c r="AN235" s="18"/>
      <c r="AO235" s="16"/>
      <c r="AP235" s="48" t="e">
        <f>IF(Table13[[#This Row],[Prior day close]]&lt;=Table13[[#This Row],[PM LO]],IF($K235&gt;=$G235,($K235-$L235)/($K235-Table13[[#This Row],[Prior day close]]),(IF($I235&lt;=$L235,($G235-$I235)/($G235-Table13[[#This Row],[Prior day close]]),(Table13[[#This Row],[PM Hi]]-Table13[[#This Row],[Lowest lo from open to squeeze]])/(Table13[[#This Row],[PM Hi]]-Table13[[#This Row],[Prior day close]])))),IF($K235&gt;=$G235,($K235-$L235)/($K235-Table13[[#This Row],[PM LO]]),(IF($I235&lt;=$L235,($G235-$I235)/($G235-Table13[[#This Row],[PM LO]]),(Table13[[#This Row],[PM Hi]]-Table13[[#This Row],[Lowest lo from open to squeeze]])/(Table13[[#This Row],[PM Hi]]-Table13[[#This Row],[PM LO]])))))</f>
        <v>#DIV/0!</v>
      </c>
      <c r="AQ235" s="18"/>
      <c r="AR235" s="17">
        <f>390+Table13[[#This Row],[Time until ideal entry point (mins) from open]]</f>
        <v>390</v>
      </c>
      <c r="AS235" s="17">
        <f>Table13[[#This Row],[Time until ideal entry + 390 (6:30)]]+Table13[[#This Row],[Duration of frontside (mins)]]</f>
        <v>390</v>
      </c>
    </row>
    <row r="236" spans="1:45" hidden="1" x14ac:dyDescent="0.25">
      <c r="A236" s="24" t="s">
        <v>309</v>
      </c>
      <c r="B236" s="47">
        <v>44182</v>
      </c>
      <c r="C236" s="47" t="s">
        <v>78</v>
      </c>
      <c r="D236" s="46"/>
      <c r="E236" s="12"/>
      <c r="F236" s="13"/>
      <c r="G236" s="12"/>
      <c r="H236" s="12"/>
      <c r="I236" s="12"/>
      <c r="J236" s="12"/>
      <c r="K236" s="12"/>
      <c r="L236" s="12"/>
      <c r="O236" s="13"/>
      <c r="Q236" s="37"/>
      <c r="R236" s="46"/>
      <c r="S236" s="37"/>
      <c r="T236" s="37"/>
      <c r="U236" s="37"/>
      <c r="V236" s="37"/>
      <c r="W236" s="38"/>
      <c r="X236" s="46"/>
      <c r="Y236" s="37"/>
      <c r="Z236" s="46"/>
      <c r="AA236" s="41">
        <f>Table13[[#This Row],[Time until ideal entry + 390 (6:30)]]/(1440)</f>
        <v>0.27083333333333331</v>
      </c>
      <c r="AB236" s="18"/>
      <c r="AC236" s="18" t="e">
        <f>IF(Table13[[#This Row],[HOD AFTER PM HI]]&gt;=Table13[[#This Row],[PM Hi]],((Table13[[#This Row],[HOD AFTER PM HI]]-Table13[[#This Row],[Prior day close]])/Table13[[#This Row],[Prior day close]]),Table13[[#This Row],[Prior Close to PM Hi %]])</f>
        <v>#DIV/0!</v>
      </c>
      <c r="AD236" s="42" t="e">
        <f>(Table13[[#This Row],[Price at hi of squeeze]]-Table13[[#This Row],[MKT Open Price]])/Table13[[#This Row],[MKT Open Price]]</f>
        <v>#DIV/0!</v>
      </c>
      <c r="AE236" s="18" t="e">
        <f>(Table13[[#This Row],[Price at hi of squeeze]]-Table13[[#This Row],[PM Hi]])/Table13[[#This Row],[PM Hi]]</f>
        <v>#DIV/0!</v>
      </c>
      <c r="AF236" s="18"/>
      <c r="AG236" s="20" t="e">
        <f>Table13[[#This Row],[PM VOL]]/1000000/Table13[[#This Row],[FLOAT(M)]]</f>
        <v>#DIV/0!</v>
      </c>
      <c r="AH236" s="23" t="e">
        <f>(Table13[[#This Row],[Volume]]/1000000)/Table13[[#This Row],[FLOAT(M)]]</f>
        <v>#DIV/0!</v>
      </c>
      <c r="AJ236" s="18" t="e">
        <f>(Table13[[#This Row],[PM Hi]]-Table13[[#This Row],[MKT Open Price]])/(Table13[[#This Row],[PM Hi]])</f>
        <v>#DIV/0!</v>
      </c>
      <c r="AK236" s="18" t="e">
        <f>IF(Table13[[#This Row],[PM LO]]&gt;Table13[[#This Row],[Prior day close]],(Table13[[#This Row],[PM Hi]]-Table13[[#This Row],[MKT Open Price]])/(Table13[[#This Row],[PM Hi]]-Table13[[#This Row],[Prior day close]]),(Table13[[#This Row],[PM Hi]]-Table13[[#This Row],[MKT Open Price]])/(Table13[[#This Row],[PM Hi]]-Table13[[#This Row],[PM LO]]))</f>
        <v>#DIV/0!</v>
      </c>
      <c r="AL236" s="48" t="e">
        <f>IF(Table13[[#This Row],[Prior day close]]&lt;Table13[[#This Row],[PM LO]],(J236-L236)/(J236-Table13[[#This Row],[Prior day close]]),(J236-L236)/(J236-Table13[[#This Row],[PM LO]]))</f>
        <v>#DIV/0!</v>
      </c>
      <c r="AM236" s="48">
        <f>Table13[[#This Row],[Spike % on open before drop]]+AN236</f>
        <v>0</v>
      </c>
      <c r="AN236" s="18"/>
      <c r="AO236" s="16"/>
      <c r="AP236" s="48" t="e">
        <f>IF(Table13[[#This Row],[Prior day close]]&lt;=Table13[[#This Row],[PM LO]],IF($K236&gt;=$G236,($K236-$L236)/($K236-Table13[[#This Row],[Prior day close]]),(IF($I236&lt;=$L236,($G236-$I236)/($G236-Table13[[#This Row],[Prior day close]]),(Table13[[#This Row],[PM Hi]]-Table13[[#This Row],[Lowest lo from open to squeeze]])/(Table13[[#This Row],[PM Hi]]-Table13[[#This Row],[Prior day close]])))),IF($K236&gt;=$G236,($K236-$L236)/($K236-Table13[[#This Row],[PM LO]]),(IF($I236&lt;=$L236,($G236-$I236)/($G236-Table13[[#This Row],[PM LO]]),(Table13[[#This Row],[PM Hi]]-Table13[[#This Row],[Lowest lo from open to squeeze]])/(Table13[[#This Row],[PM Hi]]-Table13[[#This Row],[PM LO]])))))</f>
        <v>#DIV/0!</v>
      </c>
      <c r="AQ236" s="18"/>
      <c r="AR236" s="17">
        <f>390+Table13[[#This Row],[Time until ideal entry point (mins) from open]]</f>
        <v>390</v>
      </c>
      <c r="AS236" s="17">
        <f>Table13[[#This Row],[Time until ideal entry + 390 (6:30)]]+Table13[[#This Row],[Duration of frontside (mins)]]</f>
        <v>390</v>
      </c>
    </row>
    <row r="237" spans="1:45" hidden="1" x14ac:dyDescent="0.25">
      <c r="A237" s="24" t="s">
        <v>60</v>
      </c>
      <c r="B237" s="47">
        <v>44182</v>
      </c>
      <c r="C237" s="47" t="s">
        <v>78</v>
      </c>
      <c r="D237" s="46" t="s">
        <v>310</v>
      </c>
      <c r="E237" s="12"/>
      <c r="F237" s="13"/>
      <c r="G237" s="12"/>
      <c r="H237" s="12"/>
      <c r="I237" s="12"/>
      <c r="J237" s="12"/>
      <c r="K237" s="12"/>
      <c r="L237" s="12"/>
      <c r="O237" s="13"/>
      <c r="Q237" s="37"/>
      <c r="R237" s="46"/>
      <c r="S237" s="37"/>
      <c r="T237" s="37"/>
      <c r="U237" s="37"/>
      <c r="V237" s="37"/>
      <c r="W237" s="38"/>
      <c r="X237" s="46"/>
      <c r="Y237" s="37"/>
      <c r="Z237" s="46"/>
      <c r="AA237" s="41">
        <f>Table13[[#This Row],[Time until ideal entry + 390 (6:30)]]/(1440)</f>
        <v>0.27083333333333331</v>
      </c>
      <c r="AB237" s="18"/>
      <c r="AC237" s="18" t="e">
        <f>IF(Table13[[#This Row],[HOD AFTER PM HI]]&gt;=Table13[[#This Row],[PM Hi]],((Table13[[#This Row],[HOD AFTER PM HI]]-Table13[[#This Row],[Prior day close]])/Table13[[#This Row],[Prior day close]]),Table13[[#This Row],[Prior Close to PM Hi %]])</f>
        <v>#DIV/0!</v>
      </c>
      <c r="AD237" s="42" t="e">
        <f>(Table13[[#This Row],[Price at hi of squeeze]]-Table13[[#This Row],[MKT Open Price]])/Table13[[#This Row],[MKT Open Price]]</f>
        <v>#DIV/0!</v>
      </c>
      <c r="AE237" s="18" t="e">
        <f>(Table13[[#This Row],[Price at hi of squeeze]]-Table13[[#This Row],[PM Hi]])/Table13[[#This Row],[PM Hi]]</f>
        <v>#DIV/0!</v>
      </c>
      <c r="AF237" s="18"/>
      <c r="AG237" s="20" t="e">
        <f>Table13[[#This Row],[PM VOL]]/1000000/Table13[[#This Row],[FLOAT(M)]]</f>
        <v>#DIV/0!</v>
      </c>
      <c r="AH237" s="23" t="e">
        <f>(Table13[[#This Row],[Volume]]/1000000)/Table13[[#This Row],[FLOAT(M)]]</f>
        <v>#DIV/0!</v>
      </c>
      <c r="AJ237" s="18" t="e">
        <f>(Table13[[#This Row],[PM Hi]]-Table13[[#This Row],[MKT Open Price]])/(Table13[[#This Row],[PM Hi]])</f>
        <v>#DIV/0!</v>
      </c>
      <c r="AK237" s="18" t="e">
        <f>IF(Table13[[#This Row],[PM LO]]&gt;Table13[[#This Row],[Prior day close]],(Table13[[#This Row],[PM Hi]]-Table13[[#This Row],[MKT Open Price]])/(Table13[[#This Row],[PM Hi]]-Table13[[#This Row],[Prior day close]]),(Table13[[#This Row],[PM Hi]]-Table13[[#This Row],[MKT Open Price]])/(Table13[[#This Row],[PM Hi]]-Table13[[#This Row],[PM LO]]))</f>
        <v>#DIV/0!</v>
      </c>
      <c r="AL237" s="48" t="e">
        <f>IF(Table13[[#This Row],[Prior day close]]&lt;Table13[[#This Row],[PM LO]],(J237-L237)/(J237-Table13[[#This Row],[Prior day close]]),(J237-L237)/(J237-Table13[[#This Row],[PM LO]]))</f>
        <v>#DIV/0!</v>
      </c>
      <c r="AM237" s="48">
        <f>Table13[[#This Row],[Spike % on open before drop]]+AN237</f>
        <v>0</v>
      </c>
      <c r="AN237" s="18"/>
      <c r="AO237" s="16"/>
      <c r="AP237" s="48" t="e">
        <f>IF(Table13[[#This Row],[Prior day close]]&lt;=Table13[[#This Row],[PM LO]],IF($K237&gt;=$G237,($K237-$L237)/($K237-Table13[[#This Row],[Prior day close]]),(IF($I237&lt;=$L237,($G237-$I237)/($G237-Table13[[#This Row],[Prior day close]]),(Table13[[#This Row],[PM Hi]]-Table13[[#This Row],[Lowest lo from open to squeeze]])/(Table13[[#This Row],[PM Hi]]-Table13[[#This Row],[Prior day close]])))),IF($K237&gt;=$G237,($K237-$L237)/($K237-Table13[[#This Row],[PM LO]]),(IF($I237&lt;=$L237,($G237-$I237)/($G237-Table13[[#This Row],[PM LO]]),(Table13[[#This Row],[PM Hi]]-Table13[[#This Row],[Lowest lo from open to squeeze]])/(Table13[[#This Row],[PM Hi]]-Table13[[#This Row],[PM LO]])))))</f>
        <v>#DIV/0!</v>
      </c>
      <c r="AQ237" s="18"/>
      <c r="AR237" s="17">
        <f>390+Table13[[#This Row],[Time until ideal entry point (mins) from open]]</f>
        <v>390</v>
      </c>
      <c r="AS237" s="17">
        <f>Table13[[#This Row],[Time until ideal entry + 390 (6:30)]]+Table13[[#This Row],[Duration of frontside (mins)]]</f>
        <v>390</v>
      </c>
    </row>
    <row r="238" spans="1:45" hidden="1" x14ac:dyDescent="0.25">
      <c r="A238" s="24" t="s">
        <v>311</v>
      </c>
      <c r="B238" s="47">
        <v>44187</v>
      </c>
      <c r="C238" s="47" t="s">
        <v>178</v>
      </c>
      <c r="D238" s="46"/>
      <c r="E238" s="12"/>
      <c r="F238" s="13"/>
      <c r="G238" s="12"/>
      <c r="H238" s="12"/>
      <c r="I238" s="12"/>
      <c r="J238" s="12"/>
      <c r="K238" s="12"/>
      <c r="L238" s="12"/>
      <c r="O238" s="13"/>
      <c r="Q238" s="37"/>
      <c r="R238" s="46"/>
      <c r="S238" s="37"/>
      <c r="T238" s="37"/>
      <c r="U238" s="37"/>
      <c r="V238" s="37"/>
      <c r="W238" s="38"/>
      <c r="X238" s="46"/>
      <c r="Y238" s="37"/>
      <c r="Z238" s="46"/>
      <c r="AA238" s="41">
        <f>Table13[[#This Row],[Time until ideal entry + 390 (6:30)]]/(1440)</f>
        <v>0.27083333333333331</v>
      </c>
      <c r="AB238" s="18"/>
      <c r="AC238" s="18" t="e">
        <f>IF(Table13[[#This Row],[HOD AFTER PM HI]]&gt;=Table13[[#This Row],[PM Hi]],((Table13[[#This Row],[HOD AFTER PM HI]]-Table13[[#This Row],[Prior day close]])/Table13[[#This Row],[Prior day close]]),Table13[[#This Row],[Prior Close to PM Hi %]])</f>
        <v>#DIV/0!</v>
      </c>
      <c r="AD238" s="42" t="e">
        <f>(Table13[[#This Row],[Price at hi of squeeze]]-Table13[[#This Row],[MKT Open Price]])/Table13[[#This Row],[MKT Open Price]]</f>
        <v>#DIV/0!</v>
      </c>
      <c r="AE238" s="18" t="e">
        <f>(Table13[[#This Row],[Price at hi of squeeze]]-Table13[[#This Row],[PM Hi]])/Table13[[#This Row],[PM Hi]]</f>
        <v>#DIV/0!</v>
      </c>
      <c r="AF238" s="18"/>
      <c r="AG238" s="20" t="e">
        <f>Table13[[#This Row],[PM VOL]]/1000000/Table13[[#This Row],[FLOAT(M)]]</f>
        <v>#DIV/0!</v>
      </c>
      <c r="AH238" s="23" t="e">
        <f>(Table13[[#This Row],[Volume]]/1000000)/Table13[[#This Row],[FLOAT(M)]]</f>
        <v>#DIV/0!</v>
      </c>
      <c r="AJ238" s="18" t="e">
        <f>(Table13[[#This Row],[PM Hi]]-Table13[[#This Row],[MKT Open Price]])/(Table13[[#This Row],[PM Hi]])</f>
        <v>#DIV/0!</v>
      </c>
      <c r="AK238" s="18" t="e">
        <f>IF(Table13[[#This Row],[PM LO]]&gt;Table13[[#This Row],[Prior day close]],(Table13[[#This Row],[PM Hi]]-Table13[[#This Row],[MKT Open Price]])/(Table13[[#This Row],[PM Hi]]-Table13[[#This Row],[Prior day close]]),(Table13[[#This Row],[PM Hi]]-Table13[[#This Row],[MKT Open Price]])/(Table13[[#This Row],[PM Hi]]-Table13[[#This Row],[PM LO]]))</f>
        <v>#DIV/0!</v>
      </c>
      <c r="AL238" s="48" t="e">
        <f>IF(Table13[[#This Row],[Prior day close]]&lt;Table13[[#This Row],[PM LO]],(J238-L238)/(J238-Table13[[#This Row],[Prior day close]]),(J238-L238)/(J238-Table13[[#This Row],[PM LO]]))</f>
        <v>#DIV/0!</v>
      </c>
      <c r="AM238" s="48">
        <f>Table13[[#This Row],[Spike % on open before drop]]+AN238</f>
        <v>0</v>
      </c>
      <c r="AN238" s="18"/>
      <c r="AO238" s="16"/>
      <c r="AP238" s="48" t="e">
        <f>IF(Table13[[#This Row],[Prior day close]]&lt;=Table13[[#This Row],[PM LO]],IF($K238&gt;=$G238,($K238-$L238)/($K238-Table13[[#This Row],[Prior day close]]),(IF($I238&lt;=$L238,($G238-$I238)/($G238-Table13[[#This Row],[Prior day close]]),(Table13[[#This Row],[PM Hi]]-Table13[[#This Row],[Lowest lo from open to squeeze]])/(Table13[[#This Row],[PM Hi]]-Table13[[#This Row],[Prior day close]])))),IF($K238&gt;=$G238,($K238-$L238)/($K238-Table13[[#This Row],[PM LO]]),(IF($I238&lt;=$L238,($G238-$I238)/($G238-Table13[[#This Row],[PM LO]]),(Table13[[#This Row],[PM Hi]]-Table13[[#This Row],[Lowest lo from open to squeeze]])/(Table13[[#This Row],[PM Hi]]-Table13[[#This Row],[PM LO]])))))</f>
        <v>#DIV/0!</v>
      </c>
      <c r="AQ238" s="18"/>
      <c r="AR238" s="17">
        <f>390+Table13[[#This Row],[Time until ideal entry point (mins) from open]]</f>
        <v>390</v>
      </c>
      <c r="AS238" s="17">
        <f>Table13[[#This Row],[Time until ideal entry + 390 (6:30)]]+Table13[[#This Row],[Duration of frontside (mins)]]</f>
        <v>390</v>
      </c>
    </row>
    <row r="239" spans="1:45" hidden="1" x14ac:dyDescent="0.25">
      <c r="A239" s="24" t="s">
        <v>312</v>
      </c>
      <c r="B239" s="47">
        <v>44195</v>
      </c>
      <c r="C239" s="47" t="s">
        <v>178</v>
      </c>
      <c r="D239" s="46" t="s">
        <v>313</v>
      </c>
      <c r="E239" s="12"/>
      <c r="F239" s="13"/>
      <c r="G239" s="12"/>
      <c r="H239" s="12"/>
      <c r="I239" s="12"/>
      <c r="J239" s="12"/>
      <c r="K239" s="12"/>
      <c r="L239" s="12"/>
      <c r="O239" s="13"/>
      <c r="Q239" s="37"/>
      <c r="R239" s="46"/>
      <c r="S239" s="37"/>
      <c r="T239" s="37"/>
      <c r="U239" s="37"/>
      <c r="V239" s="37"/>
      <c r="W239" s="38"/>
      <c r="X239" s="46"/>
      <c r="Y239" s="37"/>
      <c r="Z239" s="46"/>
      <c r="AA239" s="41">
        <f>Table13[[#This Row],[Time until ideal entry + 390 (6:30)]]/(1440)</f>
        <v>0.27083333333333331</v>
      </c>
      <c r="AB239" s="18"/>
      <c r="AC239" s="18" t="e">
        <f>IF(Table13[[#This Row],[HOD AFTER PM HI]]&gt;=Table13[[#This Row],[PM Hi]],((Table13[[#This Row],[HOD AFTER PM HI]]-Table13[[#This Row],[Prior day close]])/Table13[[#This Row],[Prior day close]]),Table13[[#This Row],[Prior Close to PM Hi %]])</f>
        <v>#DIV/0!</v>
      </c>
      <c r="AD239" s="42" t="e">
        <f>(Table13[[#This Row],[Price at hi of squeeze]]-Table13[[#This Row],[MKT Open Price]])/Table13[[#This Row],[MKT Open Price]]</f>
        <v>#DIV/0!</v>
      </c>
      <c r="AE239" s="18" t="e">
        <f>(Table13[[#This Row],[Price at hi of squeeze]]-Table13[[#This Row],[PM Hi]])/Table13[[#This Row],[PM Hi]]</f>
        <v>#DIV/0!</v>
      </c>
      <c r="AF239" s="18"/>
      <c r="AG239" s="20" t="e">
        <f>Table13[[#This Row],[PM VOL]]/1000000/Table13[[#This Row],[FLOAT(M)]]</f>
        <v>#DIV/0!</v>
      </c>
      <c r="AH239" s="23" t="e">
        <f>(Table13[[#This Row],[Volume]]/1000000)/Table13[[#This Row],[FLOAT(M)]]</f>
        <v>#DIV/0!</v>
      </c>
      <c r="AJ239" s="18" t="e">
        <f>(Table13[[#This Row],[PM Hi]]-Table13[[#This Row],[MKT Open Price]])/(Table13[[#This Row],[PM Hi]])</f>
        <v>#DIV/0!</v>
      </c>
      <c r="AK239" s="18" t="e">
        <f>IF(Table13[[#This Row],[PM LO]]&gt;Table13[[#This Row],[Prior day close]],(Table13[[#This Row],[PM Hi]]-Table13[[#This Row],[MKT Open Price]])/(Table13[[#This Row],[PM Hi]]-Table13[[#This Row],[Prior day close]]),(Table13[[#This Row],[PM Hi]]-Table13[[#This Row],[MKT Open Price]])/(Table13[[#This Row],[PM Hi]]-Table13[[#This Row],[PM LO]]))</f>
        <v>#DIV/0!</v>
      </c>
      <c r="AL239" s="48" t="e">
        <f>IF(Table13[[#This Row],[Prior day close]]&lt;Table13[[#This Row],[PM LO]],(J239-L239)/(J239-Table13[[#This Row],[Prior day close]]),(J239-L239)/(J239-Table13[[#This Row],[PM LO]]))</f>
        <v>#DIV/0!</v>
      </c>
      <c r="AM239" s="48">
        <f>Table13[[#This Row],[Spike % on open before drop]]+AN239</f>
        <v>0</v>
      </c>
      <c r="AN239" s="18"/>
      <c r="AO239" s="16"/>
      <c r="AP239" s="48" t="e">
        <f>IF(Table13[[#This Row],[Prior day close]]&lt;=Table13[[#This Row],[PM LO]],IF($K239&gt;=$G239,($K239-$L239)/($K239-Table13[[#This Row],[Prior day close]]),(IF($I239&lt;=$L239,($G239-$I239)/($G239-Table13[[#This Row],[Prior day close]]),(Table13[[#This Row],[PM Hi]]-Table13[[#This Row],[Lowest lo from open to squeeze]])/(Table13[[#This Row],[PM Hi]]-Table13[[#This Row],[Prior day close]])))),IF($K239&gt;=$G239,($K239-$L239)/($K239-Table13[[#This Row],[PM LO]]),(IF($I239&lt;=$L239,($G239-$I239)/($G239-Table13[[#This Row],[PM LO]]),(Table13[[#This Row],[PM Hi]]-Table13[[#This Row],[Lowest lo from open to squeeze]])/(Table13[[#This Row],[PM Hi]]-Table13[[#This Row],[PM LO]])))))</f>
        <v>#DIV/0!</v>
      </c>
      <c r="AQ239" s="18"/>
      <c r="AR239" s="17">
        <f>390+Table13[[#This Row],[Time until ideal entry point (mins) from open]]</f>
        <v>390</v>
      </c>
      <c r="AS239" s="17">
        <f>Table13[[#This Row],[Time until ideal entry + 390 (6:30)]]+Table13[[#This Row],[Duration of frontside (mins)]]</f>
        <v>390</v>
      </c>
    </row>
    <row r="240" spans="1:45" hidden="1" x14ac:dyDescent="0.25">
      <c r="A240" s="24" t="s">
        <v>62</v>
      </c>
      <c r="B240" s="47">
        <v>44195</v>
      </c>
      <c r="C240" s="47" t="s">
        <v>78</v>
      </c>
      <c r="D240" s="46"/>
      <c r="E240" s="12"/>
      <c r="F240" s="13"/>
      <c r="G240" s="12"/>
      <c r="H240" s="12"/>
      <c r="I240" s="12"/>
      <c r="J240" s="12"/>
      <c r="K240" s="12"/>
      <c r="L240" s="12"/>
      <c r="O240" s="13"/>
      <c r="Q240" s="37"/>
      <c r="R240" s="46"/>
      <c r="S240" s="37"/>
      <c r="T240" s="37"/>
      <c r="U240" s="37"/>
      <c r="V240" s="37"/>
      <c r="W240" s="38"/>
      <c r="X240" s="46"/>
      <c r="Y240" s="37"/>
      <c r="Z240" s="46"/>
      <c r="AA240" s="41">
        <f>Table13[[#This Row],[Time until ideal entry + 390 (6:30)]]/(1440)</f>
        <v>0.27083333333333331</v>
      </c>
      <c r="AB240" s="18"/>
      <c r="AC240" s="18" t="e">
        <f>IF(Table13[[#This Row],[HOD AFTER PM HI]]&gt;=Table13[[#This Row],[PM Hi]],((Table13[[#This Row],[HOD AFTER PM HI]]-Table13[[#This Row],[Prior day close]])/Table13[[#This Row],[Prior day close]]),Table13[[#This Row],[Prior Close to PM Hi %]])</f>
        <v>#DIV/0!</v>
      </c>
      <c r="AD240" s="42" t="e">
        <f>(Table13[[#This Row],[Price at hi of squeeze]]-Table13[[#This Row],[MKT Open Price]])/Table13[[#This Row],[MKT Open Price]]</f>
        <v>#DIV/0!</v>
      </c>
      <c r="AE240" s="18" t="e">
        <f>(Table13[[#This Row],[Price at hi of squeeze]]-Table13[[#This Row],[PM Hi]])/Table13[[#This Row],[PM Hi]]</f>
        <v>#DIV/0!</v>
      </c>
      <c r="AF240" s="18"/>
      <c r="AG240" s="20" t="e">
        <f>Table13[[#This Row],[PM VOL]]/1000000/Table13[[#This Row],[FLOAT(M)]]</f>
        <v>#DIV/0!</v>
      </c>
      <c r="AH240" s="23" t="e">
        <f>(Table13[[#This Row],[Volume]]/1000000)/Table13[[#This Row],[FLOAT(M)]]</f>
        <v>#DIV/0!</v>
      </c>
      <c r="AJ240" s="18" t="e">
        <f>(Table13[[#This Row],[PM Hi]]-Table13[[#This Row],[MKT Open Price]])/(Table13[[#This Row],[PM Hi]])</f>
        <v>#DIV/0!</v>
      </c>
      <c r="AK240" s="18" t="e">
        <f>IF(Table13[[#This Row],[PM LO]]&gt;Table13[[#This Row],[Prior day close]],(Table13[[#This Row],[PM Hi]]-Table13[[#This Row],[MKT Open Price]])/(Table13[[#This Row],[PM Hi]]-Table13[[#This Row],[Prior day close]]),(Table13[[#This Row],[PM Hi]]-Table13[[#This Row],[MKT Open Price]])/(Table13[[#This Row],[PM Hi]]-Table13[[#This Row],[PM LO]]))</f>
        <v>#DIV/0!</v>
      </c>
      <c r="AL240" s="48" t="e">
        <f>IF(Table13[[#This Row],[Prior day close]]&lt;Table13[[#This Row],[PM LO]],(J240-L240)/(J240-Table13[[#This Row],[Prior day close]]),(J240-L240)/(J240-Table13[[#This Row],[PM LO]]))</f>
        <v>#DIV/0!</v>
      </c>
      <c r="AM240" s="48">
        <f>Table13[[#This Row],[Spike % on open before drop]]+AN240</f>
        <v>0</v>
      </c>
      <c r="AN240" s="18"/>
      <c r="AO240" s="16"/>
      <c r="AP240" s="48" t="e">
        <f>IF(Table13[[#This Row],[Prior day close]]&lt;=Table13[[#This Row],[PM LO]],IF($K240&gt;=$G240,($K240-$L240)/($K240-Table13[[#This Row],[Prior day close]]),(IF($I240&lt;=$L240,($G240-$I240)/($G240-Table13[[#This Row],[Prior day close]]),(Table13[[#This Row],[PM Hi]]-Table13[[#This Row],[Lowest lo from open to squeeze]])/(Table13[[#This Row],[PM Hi]]-Table13[[#This Row],[Prior day close]])))),IF($K240&gt;=$G240,($K240-$L240)/($K240-Table13[[#This Row],[PM LO]]),(IF($I240&lt;=$L240,($G240-$I240)/($G240-Table13[[#This Row],[PM LO]]),(Table13[[#This Row],[PM Hi]]-Table13[[#This Row],[Lowest lo from open to squeeze]])/(Table13[[#This Row],[PM Hi]]-Table13[[#This Row],[PM LO]])))))</f>
        <v>#DIV/0!</v>
      </c>
      <c r="AQ240" s="18"/>
      <c r="AR240" s="17">
        <f>390+Table13[[#This Row],[Time until ideal entry point (mins) from open]]</f>
        <v>390</v>
      </c>
      <c r="AS240" s="17">
        <f>Table13[[#This Row],[Time until ideal entry + 390 (6:30)]]+Table13[[#This Row],[Duration of frontside (mins)]]</f>
        <v>390</v>
      </c>
    </row>
    <row r="241" spans="1:45" hidden="1" x14ac:dyDescent="0.25">
      <c r="A241" s="24" t="s">
        <v>314</v>
      </c>
      <c r="B241" s="47">
        <v>44195</v>
      </c>
      <c r="C241" s="47" t="s">
        <v>78</v>
      </c>
      <c r="D241" s="46" t="s">
        <v>315</v>
      </c>
      <c r="E241" s="12"/>
      <c r="F241" s="13"/>
      <c r="G241" s="12"/>
      <c r="H241" s="12"/>
      <c r="I241" s="12"/>
      <c r="J241" s="12"/>
      <c r="K241" s="12"/>
      <c r="L241" s="12"/>
      <c r="O241" s="13"/>
      <c r="Q241" s="37"/>
      <c r="R241" s="46"/>
      <c r="S241" s="37"/>
      <c r="T241" s="37"/>
      <c r="U241" s="37"/>
      <c r="V241" s="37"/>
      <c r="W241" s="38"/>
      <c r="X241" s="46"/>
      <c r="Y241" s="37"/>
      <c r="Z241" s="46"/>
      <c r="AA241" s="41">
        <f>Table13[[#This Row],[Time until ideal entry + 390 (6:30)]]/(1440)</f>
        <v>0.27083333333333331</v>
      </c>
      <c r="AB241" s="18"/>
      <c r="AC241" s="18" t="e">
        <f>IF(Table13[[#This Row],[HOD AFTER PM HI]]&gt;=Table13[[#This Row],[PM Hi]],((Table13[[#This Row],[HOD AFTER PM HI]]-Table13[[#This Row],[Prior day close]])/Table13[[#This Row],[Prior day close]]),Table13[[#This Row],[Prior Close to PM Hi %]])</f>
        <v>#DIV/0!</v>
      </c>
      <c r="AD241" s="42" t="e">
        <f>(Table13[[#This Row],[Price at hi of squeeze]]-Table13[[#This Row],[MKT Open Price]])/Table13[[#This Row],[MKT Open Price]]</f>
        <v>#DIV/0!</v>
      </c>
      <c r="AE241" s="18" t="e">
        <f>(Table13[[#This Row],[Price at hi of squeeze]]-Table13[[#This Row],[PM Hi]])/Table13[[#This Row],[PM Hi]]</f>
        <v>#DIV/0!</v>
      </c>
      <c r="AF241" s="18"/>
      <c r="AG241" s="20" t="e">
        <f>Table13[[#This Row],[PM VOL]]/1000000/Table13[[#This Row],[FLOAT(M)]]</f>
        <v>#DIV/0!</v>
      </c>
      <c r="AH241" s="23" t="e">
        <f>(Table13[[#This Row],[Volume]]/1000000)/Table13[[#This Row],[FLOAT(M)]]</f>
        <v>#DIV/0!</v>
      </c>
      <c r="AJ241" s="18" t="e">
        <f>(Table13[[#This Row],[PM Hi]]-Table13[[#This Row],[MKT Open Price]])/(Table13[[#This Row],[PM Hi]])</f>
        <v>#DIV/0!</v>
      </c>
      <c r="AK241" s="18" t="e">
        <f>IF(Table13[[#This Row],[PM LO]]&gt;Table13[[#This Row],[Prior day close]],(Table13[[#This Row],[PM Hi]]-Table13[[#This Row],[MKT Open Price]])/(Table13[[#This Row],[PM Hi]]-Table13[[#This Row],[Prior day close]]),(Table13[[#This Row],[PM Hi]]-Table13[[#This Row],[MKT Open Price]])/(Table13[[#This Row],[PM Hi]]-Table13[[#This Row],[PM LO]]))</f>
        <v>#DIV/0!</v>
      </c>
      <c r="AL241" s="48" t="e">
        <f>IF(Table13[[#This Row],[Prior day close]]&lt;Table13[[#This Row],[PM LO]],(J241-L241)/(J241-Table13[[#This Row],[Prior day close]]),(J241-L241)/(J241-Table13[[#This Row],[PM LO]]))</f>
        <v>#DIV/0!</v>
      </c>
      <c r="AM241" s="48">
        <f>Table13[[#This Row],[Spike % on open before drop]]+AN241</f>
        <v>0</v>
      </c>
      <c r="AN241" s="18"/>
      <c r="AO241" s="16"/>
      <c r="AP241" s="48" t="e">
        <f>IF(Table13[[#This Row],[Prior day close]]&lt;=Table13[[#This Row],[PM LO]],IF($K241&gt;=$G241,($K241-$L241)/($K241-Table13[[#This Row],[Prior day close]]),(IF($I241&lt;=$L241,($G241-$I241)/($G241-Table13[[#This Row],[Prior day close]]),(Table13[[#This Row],[PM Hi]]-Table13[[#This Row],[Lowest lo from open to squeeze]])/(Table13[[#This Row],[PM Hi]]-Table13[[#This Row],[Prior day close]])))),IF($K241&gt;=$G241,($K241-$L241)/($K241-Table13[[#This Row],[PM LO]]),(IF($I241&lt;=$L241,($G241-$I241)/($G241-Table13[[#This Row],[PM LO]]),(Table13[[#This Row],[PM Hi]]-Table13[[#This Row],[Lowest lo from open to squeeze]])/(Table13[[#This Row],[PM Hi]]-Table13[[#This Row],[PM LO]])))))</f>
        <v>#DIV/0!</v>
      </c>
      <c r="AQ241" s="18"/>
      <c r="AR241" s="17">
        <f>390+Table13[[#This Row],[Time until ideal entry point (mins) from open]]</f>
        <v>390</v>
      </c>
      <c r="AS241" s="17">
        <f>Table13[[#This Row],[Time until ideal entry + 390 (6:30)]]+Table13[[#This Row],[Duration of frontside (mins)]]</f>
        <v>390</v>
      </c>
    </row>
    <row r="242" spans="1:45" hidden="1" x14ac:dyDescent="0.25">
      <c r="A242" s="25" t="s">
        <v>164</v>
      </c>
      <c r="B242" s="47">
        <v>44203</v>
      </c>
      <c r="C242" s="47" t="s">
        <v>178</v>
      </c>
      <c r="D242" s="46" t="s">
        <v>316</v>
      </c>
      <c r="E242" s="12"/>
      <c r="F242" s="13"/>
      <c r="G242" s="12"/>
      <c r="H242" s="12"/>
      <c r="I242" s="12"/>
      <c r="J242" s="12"/>
      <c r="K242" s="12"/>
      <c r="L242" s="12"/>
      <c r="O242" s="13"/>
      <c r="Q242" s="37"/>
      <c r="R242" s="46"/>
      <c r="S242" s="37"/>
      <c r="T242" s="37"/>
      <c r="U242" s="37"/>
      <c r="V242" s="37"/>
      <c r="W242" s="38"/>
      <c r="X242" s="46"/>
      <c r="Y242" s="37"/>
      <c r="Z242" s="46"/>
      <c r="AA242" s="41">
        <f>Table13[[#This Row],[Time until ideal entry + 390 (6:30)]]/(1440)</f>
        <v>0.27083333333333331</v>
      </c>
      <c r="AB242" s="18"/>
      <c r="AC242" s="18" t="e">
        <f>IF(Table13[[#This Row],[HOD AFTER PM HI]]&gt;=Table13[[#This Row],[PM Hi]],((Table13[[#This Row],[HOD AFTER PM HI]]-Table13[[#This Row],[Prior day close]])/Table13[[#This Row],[Prior day close]]),Table13[[#This Row],[Prior Close to PM Hi %]])</f>
        <v>#DIV/0!</v>
      </c>
      <c r="AD242" s="42" t="e">
        <f>(Table13[[#This Row],[Price at hi of squeeze]]-Table13[[#This Row],[MKT Open Price]])/Table13[[#This Row],[MKT Open Price]]</f>
        <v>#DIV/0!</v>
      </c>
      <c r="AE242" s="18" t="e">
        <f>(Table13[[#This Row],[Price at hi of squeeze]]-Table13[[#This Row],[PM Hi]])/Table13[[#This Row],[PM Hi]]</f>
        <v>#DIV/0!</v>
      </c>
      <c r="AF242" s="18"/>
      <c r="AG242" s="20" t="e">
        <f>Table13[[#This Row],[PM VOL]]/1000000/Table13[[#This Row],[FLOAT(M)]]</f>
        <v>#DIV/0!</v>
      </c>
      <c r="AH242" s="23" t="e">
        <f>(Table13[[#This Row],[Volume]]/1000000)/Table13[[#This Row],[FLOAT(M)]]</f>
        <v>#DIV/0!</v>
      </c>
      <c r="AJ242" s="18" t="e">
        <f>(Table13[[#This Row],[PM Hi]]-Table13[[#This Row],[MKT Open Price]])/(Table13[[#This Row],[PM Hi]])</f>
        <v>#DIV/0!</v>
      </c>
      <c r="AK242" s="18" t="e">
        <f>IF(Table13[[#This Row],[PM LO]]&gt;Table13[[#This Row],[Prior day close]],(Table13[[#This Row],[PM Hi]]-Table13[[#This Row],[MKT Open Price]])/(Table13[[#This Row],[PM Hi]]-Table13[[#This Row],[Prior day close]]),(Table13[[#This Row],[PM Hi]]-Table13[[#This Row],[MKT Open Price]])/(Table13[[#This Row],[PM Hi]]-Table13[[#This Row],[PM LO]]))</f>
        <v>#DIV/0!</v>
      </c>
      <c r="AL242" s="48" t="e">
        <f>IF(Table13[[#This Row],[Prior day close]]&lt;Table13[[#This Row],[PM LO]],(J242-L242)/(J242-Table13[[#This Row],[Prior day close]]),(J242-L242)/(J242-Table13[[#This Row],[PM LO]]))</f>
        <v>#DIV/0!</v>
      </c>
      <c r="AM242" s="48">
        <f>Table13[[#This Row],[Spike % on open before drop]]+AN242</f>
        <v>0</v>
      </c>
      <c r="AN242" s="18"/>
      <c r="AO242" s="16"/>
      <c r="AP242" s="48" t="e">
        <f>IF(Table13[[#This Row],[Prior day close]]&lt;=Table13[[#This Row],[PM LO]],IF($K242&gt;=$G242,($K242-$L242)/($K242-Table13[[#This Row],[Prior day close]]),(IF($I242&lt;=$L242,($G242-$I242)/($G242-Table13[[#This Row],[Prior day close]]),(Table13[[#This Row],[PM Hi]]-Table13[[#This Row],[Lowest lo from open to squeeze]])/(Table13[[#This Row],[PM Hi]]-Table13[[#This Row],[Prior day close]])))),IF($K242&gt;=$G242,($K242-$L242)/($K242-Table13[[#This Row],[PM LO]]),(IF($I242&lt;=$L242,($G242-$I242)/($G242-Table13[[#This Row],[PM LO]]),(Table13[[#This Row],[PM Hi]]-Table13[[#This Row],[Lowest lo from open to squeeze]])/(Table13[[#This Row],[PM Hi]]-Table13[[#This Row],[PM LO]])))))</f>
        <v>#DIV/0!</v>
      </c>
      <c r="AQ242" s="18"/>
      <c r="AR242" s="17">
        <f>390+Table13[[#This Row],[Time until ideal entry point (mins) from open]]</f>
        <v>390</v>
      </c>
      <c r="AS242" s="17">
        <f>Table13[[#This Row],[Time until ideal entry + 390 (6:30)]]+Table13[[#This Row],[Duration of frontside (mins)]]</f>
        <v>390</v>
      </c>
    </row>
    <row r="243" spans="1:45" hidden="1" x14ac:dyDescent="0.25">
      <c r="A243" s="24" t="s">
        <v>317</v>
      </c>
      <c r="B243" s="45">
        <v>43837</v>
      </c>
      <c r="C243" s="47" t="s">
        <v>78</v>
      </c>
      <c r="D243" s="46" t="s">
        <v>318</v>
      </c>
      <c r="E243" s="12"/>
      <c r="F243" s="13"/>
      <c r="G243" s="12"/>
      <c r="H243" s="12"/>
      <c r="I243" s="12"/>
      <c r="J243" s="12"/>
      <c r="K243" s="12"/>
      <c r="L243" s="12"/>
      <c r="O243" s="13"/>
      <c r="Q243" s="37"/>
      <c r="R243" s="46"/>
      <c r="S243" s="37"/>
      <c r="T243" s="37"/>
      <c r="U243" s="37"/>
      <c r="V243" s="37"/>
      <c r="W243" s="38"/>
      <c r="X243" s="46"/>
      <c r="Y243" s="37"/>
      <c r="Z243" s="46"/>
      <c r="AA243" s="41">
        <f>Table13[[#This Row],[Time until ideal entry + 390 (6:30)]]/(1440)</f>
        <v>0.27083333333333331</v>
      </c>
      <c r="AB243" s="18"/>
      <c r="AC243" s="18" t="e">
        <f>IF(Table13[[#This Row],[HOD AFTER PM HI]]&gt;=Table13[[#This Row],[PM Hi]],((Table13[[#This Row],[HOD AFTER PM HI]]-Table13[[#This Row],[Prior day close]])/Table13[[#This Row],[Prior day close]]),Table13[[#This Row],[Prior Close to PM Hi %]])</f>
        <v>#DIV/0!</v>
      </c>
      <c r="AD243" s="42" t="e">
        <f>(Table13[[#This Row],[Price at hi of squeeze]]-Table13[[#This Row],[MKT Open Price]])/Table13[[#This Row],[MKT Open Price]]</f>
        <v>#DIV/0!</v>
      </c>
      <c r="AE243" s="18" t="e">
        <f>(Table13[[#This Row],[Price at hi of squeeze]]-Table13[[#This Row],[PM Hi]])/Table13[[#This Row],[PM Hi]]</f>
        <v>#DIV/0!</v>
      </c>
      <c r="AF243" s="18"/>
      <c r="AG243" s="20" t="e">
        <f>Table13[[#This Row],[PM VOL]]/1000000/Table13[[#This Row],[FLOAT(M)]]</f>
        <v>#DIV/0!</v>
      </c>
      <c r="AH243" s="23" t="e">
        <f>(Table13[[#This Row],[Volume]]/1000000)/Table13[[#This Row],[FLOAT(M)]]</f>
        <v>#DIV/0!</v>
      </c>
      <c r="AJ243" s="18" t="e">
        <f>(Table13[[#This Row],[PM Hi]]-Table13[[#This Row],[MKT Open Price]])/(Table13[[#This Row],[PM Hi]])</f>
        <v>#DIV/0!</v>
      </c>
      <c r="AK243" s="18" t="e">
        <f>IF(Table13[[#This Row],[PM LO]]&gt;Table13[[#This Row],[Prior day close]],(Table13[[#This Row],[PM Hi]]-Table13[[#This Row],[MKT Open Price]])/(Table13[[#This Row],[PM Hi]]-Table13[[#This Row],[Prior day close]]),(Table13[[#This Row],[PM Hi]]-Table13[[#This Row],[MKT Open Price]])/(Table13[[#This Row],[PM Hi]]-Table13[[#This Row],[PM LO]]))</f>
        <v>#DIV/0!</v>
      </c>
      <c r="AL243" s="48" t="e">
        <f>IF(Table13[[#This Row],[Prior day close]]&lt;Table13[[#This Row],[PM LO]],(J243-L243)/(J243-Table13[[#This Row],[Prior day close]]),(J243-L243)/(J243-Table13[[#This Row],[PM LO]]))</f>
        <v>#DIV/0!</v>
      </c>
      <c r="AM243" s="48">
        <f>Table13[[#This Row],[Spike % on open before drop]]+AN243</f>
        <v>0</v>
      </c>
      <c r="AN243" s="18"/>
      <c r="AO243" s="16"/>
      <c r="AP243" s="48" t="e">
        <f>IF(Table13[[#This Row],[Prior day close]]&lt;=Table13[[#This Row],[PM LO]],IF($K243&gt;=$G243,($K243-$L243)/($K243-Table13[[#This Row],[Prior day close]]),(IF($I243&lt;=$L243,($G243-$I243)/($G243-Table13[[#This Row],[Prior day close]]),(Table13[[#This Row],[PM Hi]]-Table13[[#This Row],[Lowest lo from open to squeeze]])/(Table13[[#This Row],[PM Hi]]-Table13[[#This Row],[Prior day close]])))),IF($K243&gt;=$G243,($K243-$L243)/($K243-Table13[[#This Row],[PM LO]]),(IF($I243&lt;=$L243,($G243-$I243)/($G243-Table13[[#This Row],[PM LO]]),(Table13[[#This Row],[PM Hi]]-Table13[[#This Row],[Lowest lo from open to squeeze]])/(Table13[[#This Row],[PM Hi]]-Table13[[#This Row],[PM LO]])))))</f>
        <v>#DIV/0!</v>
      </c>
      <c r="AQ243" s="18"/>
      <c r="AR243" s="17">
        <f>390+Table13[[#This Row],[Time until ideal entry point (mins) from open]]</f>
        <v>390</v>
      </c>
      <c r="AS243" s="17">
        <f>Table13[[#This Row],[Time until ideal entry + 390 (6:30)]]+Table13[[#This Row],[Duration of frontside (mins)]]</f>
        <v>390</v>
      </c>
    </row>
    <row r="244" spans="1:45" hidden="1" x14ac:dyDescent="0.25">
      <c r="A244" s="24" t="s">
        <v>319</v>
      </c>
      <c r="B244" s="47">
        <v>43837</v>
      </c>
      <c r="C244" s="47" t="s">
        <v>78</v>
      </c>
      <c r="D244" s="46" t="s">
        <v>320</v>
      </c>
      <c r="E244" s="12"/>
      <c r="F244" s="13"/>
      <c r="G244" s="12"/>
      <c r="H244" s="12"/>
      <c r="I244" s="12"/>
      <c r="J244" s="12"/>
      <c r="K244" s="12"/>
      <c r="L244" s="12"/>
      <c r="O244" s="13"/>
      <c r="Q244" s="37"/>
      <c r="R244" s="46"/>
      <c r="S244" s="37"/>
      <c r="T244" s="37"/>
      <c r="U244" s="37"/>
      <c r="V244" s="37"/>
      <c r="W244" s="38"/>
      <c r="X244" s="46"/>
      <c r="Y244" s="37"/>
      <c r="Z244" s="46"/>
      <c r="AA244" s="41">
        <f>Table13[[#This Row],[Time until ideal entry + 390 (6:30)]]/(1440)</f>
        <v>0.27083333333333331</v>
      </c>
      <c r="AB244" s="18"/>
      <c r="AC244" s="18" t="e">
        <f>IF(Table13[[#This Row],[HOD AFTER PM HI]]&gt;=Table13[[#This Row],[PM Hi]],((Table13[[#This Row],[HOD AFTER PM HI]]-Table13[[#This Row],[Prior day close]])/Table13[[#This Row],[Prior day close]]),Table13[[#This Row],[Prior Close to PM Hi %]])</f>
        <v>#DIV/0!</v>
      </c>
      <c r="AD244" s="42" t="e">
        <f>(Table13[[#This Row],[Price at hi of squeeze]]-Table13[[#This Row],[MKT Open Price]])/Table13[[#This Row],[MKT Open Price]]</f>
        <v>#DIV/0!</v>
      </c>
      <c r="AE244" s="18" t="e">
        <f>(Table13[[#This Row],[Price at hi of squeeze]]-Table13[[#This Row],[PM Hi]])/Table13[[#This Row],[PM Hi]]</f>
        <v>#DIV/0!</v>
      </c>
      <c r="AF244" s="18"/>
      <c r="AG244" s="20" t="e">
        <f>Table13[[#This Row],[PM VOL]]/1000000/Table13[[#This Row],[FLOAT(M)]]</f>
        <v>#DIV/0!</v>
      </c>
      <c r="AH244" s="23" t="e">
        <f>(Table13[[#This Row],[Volume]]/1000000)/Table13[[#This Row],[FLOAT(M)]]</f>
        <v>#DIV/0!</v>
      </c>
      <c r="AJ244" s="18" t="e">
        <f>(Table13[[#This Row],[PM Hi]]-Table13[[#This Row],[MKT Open Price]])/(Table13[[#This Row],[PM Hi]])</f>
        <v>#DIV/0!</v>
      </c>
      <c r="AK244" s="18" t="e">
        <f>IF(Table13[[#This Row],[PM LO]]&gt;Table13[[#This Row],[Prior day close]],(Table13[[#This Row],[PM Hi]]-Table13[[#This Row],[MKT Open Price]])/(Table13[[#This Row],[PM Hi]]-Table13[[#This Row],[Prior day close]]),(Table13[[#This Row],[PM Hi]]-Table13[[#This Row],[MKT Open Price]])/(Table13[[#This Row],[PM Hi]]-Table13[[#This Row],[PM LO]]))</f>
        <v>#DIV/0!</v>
      </c>
      <c r="AL244" s="48" t="e">
        <f>IF(Table13[[#This Row],[Prior day close]]&lt;Table13[[#This Row],[PM LO]],(J244-L244)/(J244-Table13[[#This Row],[Prior day close]]),(J244-L244)/(J244-Table13[[#This Row],[PM LO]]))</f>
        <v>#DIV/0!</v>
      </c>
      <c r="AM244" s="48">
        <f>Table13[[#This Row],[Spike % on open before drop]]+AN244</f>
        <v>0</v>
      </c>
      <c r="AN244" s="18"/>
      <c r="AO244" s="16"/>
      <c r="AP244" s="48" t="e">
        <f>IF(Table13[[#This Row],[Prior day close]]&lt;=Table13[[#This Row],[PM LO]],IF($K244&gt;=$G244,($K244-$L244)/($K244-Table13[[#This Row],[Prior day close]]),(IF($I244&lt;=$L244,($G244-$I244)/($G244-Table13[[#This Row],[Prior day close]]),(Table13[[#This Row],[PM Hi]]-Table13[[#This Row],[Lowest lo from open to squeeze]])/(Table13[[#This Row],[PM Hi]]-Table13[[#This Row],[Prior day close]])))),IF($K244&gt;=$G244,($K244-$L244)/($K244-Table13[[#This Row],[PM LO]]),(IF($I244&lt;=$L244,($G244-$I244)/($G244-Table13[[#This Row],[PM LO]]),(Table13[[#This Row],[PM Hi]]-Table13[[#This Row],[Lowest lo from open to squeeze]])/(Table13[[#This Row],[PM Hi]]-Table13[[#This Row],[PM LO]])))))</f>
        <v>#DIV/0!</v>
      </c>
      <c r="AQ244" s="18"/>
      <c r="AR244" s="17">
        <f>390+Table13[[#This Row],[Time until ideal entry point (mins) from open]]</f>
        <v>390</v>
      </c>
      <c r="AS244" s="17">
        <f>Table13[[#This Row],[Time until ideal entry + 390 (6:30)]]+Table13[[#This Row],[Duration of frontside (mins)]]</f>
        <v>390</v>
      </c>
    </row>
    <row r="245" spans="1:45" hidden="1" x14ac:dyDescent="0.25">
      <c r="A245" s="24" t="s">
        <v>321</v>
      </c>
      <c r="B245" s="47">
        <v>43841</v>
      </c>
      <c r="C245" s="47" t="s">
        <v>178</v>
      </c>
      <c r="D245" s="46"/>
      <c r="E245" s="12"/>
      <c r="F245" s="13"/>
      <c r="G245" s="12"/>
      <c r="H245" s="12"/>
      <c r="I245" s="12"/>
      <c r="J245" s="12"/>
      <c r="K245" s="12"/>
      <c r="L245" s="12"/>
      <c r="O245" s="13"/>
      <c r="Q245" s="37"/>
      <c r="R245" s="46"/>
      <c r="S245" s="37"/>
      <c r="T245" s="37"/>
      <c r="U245" s="37"/>
      <c r="V245" s="37"/>
      <c r="W245" s="38"/>
      <c r="X245" s="46"/>
      <c r="Y245" s="37"/>
      <c r="Z245" s="46"/>
      <c r="AA245" s="41">
        <f>Table13[[#This Row],[Time until ideal entry + 390 (6:30)]]/(1440)</f>
        <v>0.27083333333333331</v>
      </c>
      <c r="AB245" s="18"/>
      <c r="AC245" s="18" t="e">
        <f>IF(Table13[[#This Row],[HOD AFTER PM HI]]&gt;=Table13[[#This Row],[PM Hi]],((Table13[[#This Row],[HOD AFTER PM HI]]-Table13[[#This Row],[Prior day close]])/Table13[[#This Row],[Prior day close]]),Table13[[#This Row],[Prior Close to PM Hi %]])</f>
        <v>#DIV/0!</v>
      </c>
      <c r="AD245" s="42" t="e">
        <f>(Table13[[#This Row],[Price at hi of squeeze]]-Table13[[#This Row],[MKT Open Price]])/Table13[[#This Row],[MKT Open Price]]</f>
        <v>#DIV/0!</v>
      </c>
      <c r="AE245" s="18" t="e">
        <f>(Table13[[#This Row],[Price at hi of squeeze]]-Table13[[#This Row],[PM Hi]])/Table13[[#This Row],[PM Hi]]</f>
        <v>#DIV/0!</v>
      </c>
      <c r="AF245" s="18"/>
      <c r="AG245" s="20" t="e">
        <f>Table13[[#This Row],[PM VOL]]/1000000/Table13[[#This Row],[FLOAT(M)]]</f>
        <v>#DIV/0!</v>
      </c>
      <c r="AH245" s="23" t="e">
        <f>(Table13[[#This Row],[Volume]]/1000000)/Table13[[#This Row],[FLOAT(M)]]</f>
        <v>#DIV/0!</v>
      </c>
      <c r="AJ245" s="18" t="e">
        <f>(Table13[[#This Row],[PM Hi]]-Table13[[#This Row],[MKT Open Price]])/(Table13[[#This Row],[PM Hi]])</f>
        <v>#DIV/0!</v>
      </c>
      <c r="AK245" s="18" t="e">
        <f>IF(Table13[[#This Row],[PM LO]]&gt;Table13[[#This Row],[Prior day close]],(Table13[[#This Row],[PM Hi]]-Table13[[#This Row],[MKT Open Price]])/(Table13[[#This Row],[PM Hi]]-Table13[[#This Row],[Prior day close]]),(Table13[[#This Row],[PM Hi]]-Table13[[#This Row],[MKT Open Price]])/(Table13[[#This Row],[PM Hi]]-Table13[[#This Row],[PM LO]]))</f>
        <v>#DIV/0!</v>
      </c>
      <c r="AL245" s="48" t="e">
        <f>IF(Table13[[#This Row],[Prior day close]]&lt;Table13[[#This Row],[PM LO]],(J245-L245)/(J245-Table13[[#This Row],[Prior day close]]),(J245-L245)/(J245-Table13[[#This Row],[PM LO]]))</f>
        <v>#DIV/0!</v>
      </c>
      <c r="AM245" s="48">
        <f>Table13[[#This Row],[Spike % on open before drop]]+AN245</f>
        <v>0</v>
      </c>
      <c r="AN245" s="18"/>
      <c r="AO245" s="16"/>
      <c r="AP245" s="48" t="e">
        <f>IF(Table13[[#This Row],[Prior day close]]&lt;=Table13[[#This Row],[PM LO]],IF($K245&gt;=$G245,($K245-$L245)/($K245-Table13[[#This Row],[Prior day close]]),(IF($I245&lt;=$L245,($G245-$I245)/($G245-Table13[[#This Row],[Prior day close]]),(Table13[[#This Row],[PM Hi]]-Table13[[#This Row],[Lowest lo from open to squeeze]])/(Table13[[#This Row],[PM Hi]]-Table13[[#This Row],[Prior day close]])))),IF($K245&gt;=$G245,($K245-$L245)/($K245-Table13[[#This Row],[PM LO]]),(IF($I245&lt;=$L245,($G245-$I245)/($G245-Table13[[#This Row],[PM LO]]),(Table13[[#This Row],[PM Hi]]-Table13[[#This Row],[Lowest lo from open to squeeze]])/(Table13[[#This Row],[PM Hi]]-Table13[[#This Row],[PM LO]])))))</f>
        <v>#DIV/0!</v>
      </c>
      <c r="AQ245" s="18"/>
      <c r="AR245" s="17">
        <f>390+Table13[[#This Row],[Time until ideal entry point (mins) from open]]</f>
        <v>390</v>
      </c>
      <c r="AS245" s="17">
        <f>Table13[[#This Row],[Time until ideal entry + 390 (6:30)]]+Table13[[#This Row],[Duration of frontside (mins)]]</f>
        <v>390</v>
      </c>
    </row>
    <row r="246" spans="1:45" hidden="1" x14ac:dyDescent="0.25">
      <c r="A246" s="24" t="s">
        <v>46</v>
      </c>
      <c r="B246" s="47">
        <v>43844</v>
      </c>
      <c r="C246" s="47" t="s">
        <v>78</v>
      </c>
      <c r="D246" s="46"/>
      <c r="E246" s="12"/>
      <c r="F246" s="13"/>
      <c r="G246" s="12"/>
      <c r="H246" s="12"/>
      <c r="I246" s="12"/>
      <c r="J246" s="12"/>
      <c r="K246" s="12"/>
      <c r="L246" s="12"/>
      <c r="O246" s="13"/>
      <c r="Q246" s="37"/>
      <c r="R246" s="46"/>
      <c r="S246" s="37"/>
      <c r="T246" s="37"/>
      <c r="U246" s="37"/>
      <c r="V246" s="37"/>
      <c r="W246" s="38"/>
      <c r="X246" s="46"/>
      <c r="Y246" s="37"/>
      <c r="Z246" s="46"/>
      <c r="AA246" s="41">
        <f>Table13[[#This Row],[Time until ideal entry + 390 (6:30)]]/(1440)</f>
        <v>0.27083333333333331</v>
      </c>
      <c r="AB246" s="18"/>
      <c r="AC246" s="18" t="e">
        <f>IF(Table13[[#This Row],[HOD AFTER PM HI]]&gt;=Table13[[#This Row],[PM Hi]],((Table13[[#This Row],[HOD AFTER PM HI]]-Table13[[#This Row],[Prior day close]])/Table13[[#This Row],[Prior day close]]),Table13[[#This Row],[Prior Close to PM Hi %]])</f>
        <v>#DIV/0!</v>
      </c>
      <c r="AD246" s="42" t="e">
        <f>(Table13[[#This Row],[Price at hi of squeeze]]-Table13[[#This Row],[MKT Open Price]])/Table13[[#This Row],[MKT Open Price]]</f>
        <v>#DIV/0!</v>
      </c>
      <c r="AE246" s="18" t="e">
        <f>(Table13[[#This Row],[Price at hi of squeeze]]-Table13[[#This Row],[PM Hi]])/Table13[[#This Row],[PM Hi]]</f>
        <v>#DIV/0!</v>
      </c>
      <c r="AF246" s="18"/>
      <c r="AG246" s="20" t="e">
        <f>Table13[[#This Row],[PM VOL]]/1000000/Table13[[#This Row],[FLOAT(M)]]</f>
        <v>#DIV/0!</v>
      </c>
      <c r="AH246" s="23" t="e">
        <f>(Table13[[#This Row],[Volume]]/1000000)/Table13[[#This Row],[FLOAT(M)]]</f>
        <v>#DIV/0!</v>
      </c>
      <c r="AJ246" s="18" t="e">
        <f>(Table13[[#This Row],[PM Hi]]-Table13[[#This Row],[MKT Open Price]])/(Table13[[#This Row],[PM Hi]])</f>
        <v>#DIV/0!</v>
      </c>
      <c r="AK246" s="18" t="e">
        <f>IF(Table13[[#This Row],[PM LO]]&gt;Table13[[#This Row],[Prior day close]],(Table13[[#This Row],[PM Hi]]-Table13[[#This Row],[MKT Open Price]])/(Table13[[#This Row],[PM Hi]]-Table13[[#This Row],[Prior day close]]),(Table13[[#This Row],[PM Hi]]-Table13[[#This Row],[MKT Open Price]])/(Table13[[#This Row],[PM Hi]]-Table13[[#This Row],[PM LO]]))</f>
        <v>#DIV/0!</v>
      </c>
      <c r="AL246" s="48" t="e">
        <f>IF(Table13[[#This Row],[Prior day close]]&lt;Table13[[#This Row],[PM LO]],(J246-L246)/(J246-Table13[[#This Row],[Prior day close]]),(J246-L246)/(J246-Table13[[#This Row],[PM LO]]))</f>
        <v>#DIV/0!</v>
      </c>
      <c r="AM246" s="48">
        <f>Table13[[#This Row],[Spike % on open before drop]]+AN246</f>
        <v>0</v>
      </c>
      <c r="AN246" s="18"/>
      <c r="AO246" s="16"/>
      <c r="AP246" s="48" t="e">
        <f>IF(Table13[[#This Row],[Prior day close]]&lt;=Table13[[#This Row],[PM LO]],IF($K246&gt;=$G246,($K246-$L246)/($K246-Table13[[#This Row],[Prior day close]]),(IF($I246&lt;=$L246,($G246-$I246)/($G246-Table13[[#This Row],[Prior day close]]),(Table13[[#This Row],[PM Hi]]-Table13[[#This Row],[Lowest lo from open to squeeze]])/(Table13[[#This Row],[PM Hi]]-Table13[[#This Row],[Prior day close]])))),IF($K246&gt;=$G246,($K246-$L246)/($K246-Table13[[#This Row],[PM LO]]),(IF($I246&lt;=$L246,($G246-$I246)/($G246-Table13[[#This Row],[PM LO]]),(Table13[[#This Row],[PM Hi]]-Table13[[#This Row],[Lowest lo from open to squeeze]])/(Table13[[#This Row],[PM Hi]]-Table13[[#This Row],[PM LO]])))))</f>
        <v>#DIV/0!</v>
      </c>
      <c r="AQ246" s="18"/>
      <c r="AR246" s="17">
        <f>390+Table13[[#This Row],[Time until ideal entry point (mins) from open]]</f>
        <v>390</v>
      </c>
      <c r="AS246" s="17">
        <f>Table13[[#This Row],[Time until ideal entry + 390 (6:30)]]+Table13[[#This Row],[Duration of frontside (mins)]]</f>
        <v>390</v>
      </c>
    </row>
    <row r="247" spans="1:45" hidden="1" x14ac:dyDescent="0.25">
      <c r="A247" s="24" t="s">
        <v>69</v>
      </c>
      <c r="B247" s="45">
        <v>43844</v>
      </c>
      <c r="C247" s="47" t="s">
        <v>178</v>
      </c>
      <c r="D247" s="46" t="s">
        <v>322</v>
      </c>
      <c r="E247" s="12"/>
      <c r="F247" s="13"/>
      <c r="G247" s="12"/>
      <c r="H247" s="12"/>
      <c r="I247" s="12"/>
      <c r="J247" s="12"/>
      <c r="K247" s="12"/>
      <c r="L247" s="12"/>
      <c r="O247" s="13"/>
      <c r="Q247" s="37"/>
      <c r="R247" s="46"/>
      <c r="S247" s="37"/>
      <c r="T247" s="37"/>
      <c r="U247" s="37"/>
      <c r="V247" s="37"/>
      <c r="W247" s="38"/>
      <c r="X247" s="46"/>
      <c r="Y247" s="37"/>
      <c r="Z247" s="46"/>
      <c r="AA247" s="41">
        <f>Table13[[#This Row],[Time until ideal entry + 390 (6:30)]]/(1440)</f>
        <v>0.27083333333333331</v>
      </c>
      <c r="AB247" s="18"/>
      <c r="AC247" s="18" t="e">
        <f>IF(Table13[[#This Row],[HOD AFTER PM HI]]&gt;=Table13[[#This Row],[PM Hi]],((Table13[[#This Row],[HOD AFTER PM HI]]-Table13[[#This Row],[Prior day close]])/Table13[[#This Row],[Prior day close]]),Table13[[#This Row],[Prior Close to PM Hi %]])</f>
        <v>#DIV/0!</v>
      </c>
      <c r="AD247" s="42" t="e">
        <f>(Table13[[#This Row],[Price at hi of squeeze]]-Table13[[#This Row],[MKT Open Price]])/Table13[[#This Row],[MKT Open Price]]</f>
        <v>#DIV/0!</v>
      </c>
      <c r="AE247" s="18" t="e">
        <f>(Table13[[#This Row],[Price at hi of squeeze]]-Table13[[#This Row],[PM Hi]])/Table13[[#This Row],[PM Hi]]</f>
        <v>#DIV/0!</v>
      </c>
      <c r="AF247" s="18"/>
      <c r="AG247" s="20" t="e">
        <f>Table13[[#This Row],[PM VOL]]/1000000/Table13[[#This Row],[FLOAT(M)]]</f>
        <v>#DIV/0!</v>
      </c>
      <c r="AH247" s="23" t="e">
        <f>(Table13[[#This Row],[Volume]]/1000000)/Table13[[#This Row],[FLOAT(M)]]</f>
        <v>#DIV/0!</v>
      </c>
      <c r="AJ247" s="18" t="e">
        <f>(Table13[[#This Row],[PM Hi]]-Table13[[#This Row],[MKT Open Price]])/(Table13[[#This Row],[PM Hi]])</f>
        <v>#DIV/0!</v>
      </c>
      <c r="AK247" s="18" t="e">
        <f>IF(Table13[[#This Row],[PM LO]]&gt;Table13[[#This Row],[Prior day close]],(Table13[[#This Row],[PM Hi]]-Table13[[#This Row],[MKT Open Price]])/(Table13[[#This Row],[PM Hi]]-Table13[[#This Row],[Prior day close]]),(Table13[[#This Row],[PM Hi]]-Table13[[#This Row],[MKT Open Price]])/(Table13[[#This Row],[PM Hi]]-Table13[[#This Row],[PM LO]]))</f>
        <v>#DIV/0!</v>
      </c>
      <c r="AL247" s="48" t="e">
        <f>IF(Table13[[#This Row],[Prior day close]]&lt;Table13[[#This Row],[PM LO]],(J247-L247)/(J247-Table13[[#This Row],[Prior day close]]),(J247-L247)/(J247-Table13[[#This Row],[PM LO]]))</f>
        <v>#DIV/0!</v>
      </c>
      <c r="AM247" s="48">
        <f>Table13[[#This Row],[Spike % on open before drop]]+AN247</f>
        <v>0</v>
      </c>
      <c r="AN247" s="18"/>
      <c r="AO247" s="16"/>
      <c r="AP247" s="48" t="e">
        <f>IF(Table13[[#This Row],[Prior day close]]&lt;=Table13[[#This Row],[PM LO]],IF($K247&gt;=$G247,($K247-$L247)/($K247-Table13[[#This Row],[Prior day close]]),(IF($I247&lt;=$L247,($G247-$I247)/($G247-Table13[[#This Row],[Prior day close]]),(Table13[[#This Row],[PM Hi]]-Table13[[#This Row],[Lowest lo from open to squeeze]])/(Table13[[#This Row],[PM Hi]]-Table13[[#This Row],[Prior day close]])))),IF($K247&gt;=$G247,($K247-$L247)/($K247-Table13[[#This Row],[PM LO]]),(IF($I247&lt;=$L247,($G247-$I247)/($G247-Table13[[#This Row],[PM LO]]),(Table13[[#This Row],[PM Hi]]-Table13[[#This Row],[Lowest lo from open to squeeze]])/(Table13[[#This Row],[PM Hi]]-Table13[[#This Row],[PM LO]])))))</f>
        <v>#DIV/0!</v>
      </c>
      <c r="AQ247" s="18"/>
      <c r="AR247" s="17">
        <f>390+Table13[[#This Row],[Time until ideal entry point (mins) from open]]</f>
        <v>390</v>
      </c>
      <c r="AS247" s="17">
        <f>Table13[[#This Row],[Time until ideal entry + 390 (6:30)]]+Table13[[#This Row],[Duration of frontside (mins)]]</f>
        <v>390</v>
      </c>
    </row>
    <row r="248" spans="1:45" hidden="1" x14ac:dyDescent="0.25">
      <c r="A248" s="24" t="s">
        <v>323</v>
      </c>
      <c r="B248" s="47">
        <v>43844</v>
      </c>
      <c r="C248" s="47" t="s">
        <v>178</v>
      </c>
      <c r="D248" s="46" t="s">
        <v>324</v>
      </c>
      <c r="E248" s="12"/>
      <c r="F248" s="13"/>
      <c r="G248" s="12"/>
      <c r="H248" s="12"/>
      <c r="I248" s="12"/>
      <c r="J248" s="12"/>
      <c r="K248" s="12"/>
      <c r="L248" s="12"/>
      <c r="O248" s="13"/>
      <c r="Q248" s="37"/>
      <c r="R248" s="46"/>
      <c r="S248" s="37"/>
      <c r="T248" s="37"/>
      <c r="U248" s="37"/>
      <c r="V248" s="37"/>
      <c r="W248" s="38"/>
      <c r="X248" s="46"/>
      <c r="Y248" s="37"/>
      <c r="Z248" s="46"/>
      <c r="AA248" s="41">
        <f>Table13[[#This Row],[Time until ideal entry + 390 (6:30)]]/(1440)</f>
        <v>0.27083333333333331</v>
      </c>
      <c r="AB248" s="18"/>
      <c r="AC248" s="18" t="e">
        <f>IF(Table13[[#This Row],[HOD AFTER PM HI]]&gt;=Table13[[#This Row],[PM Hi]],((Table13[[#This Row],[HOD AFTER PM HI]]-Table13[[#This Row],[Prior day close]])/Table13[[#This Row],[Prior day close]]),Table13[[#This Row],[Prior Close to PM Hi %]])</f>
        <v>#DIV/0!</v>
      </c>
      <c r="AD248" s="42" t="e">
        <f>(Table13[[#This Row],[Price at hi of squeeze]]-Table13[[#This Row],[MKT Open Price]])/Table13[[#This Row],[MKT Open Price]]</f>
        <v>#DIV/0!</v>
      </c>
      <c r="AE248" s="18" t="e">
        <f>(Table13[[#This Row],[Price at hi of squeeze]]-Table13[[#This Row],[PM Hi]])/Table13[[#This Row],[PM Hi]]</f>
        <v>#DIV/0!</v>
      </c>
      <c r="AF248" s="18"/>
      <c r="AG248" s="20" t="e">
        <f>Table13[[#This Row],[PM VOL]]/1000000/Table13[[#This Row],[FLOAT(M)]]</f>
        <v>#DIV/0!</v>
      </c>
      <c r="AH248" s="23" t="e">
        <f>(Table13[[#This Row],[Volume]]/1000000)/Table13[[#This Row],[FLOAT(M)]]</f>
        <v>#DIV/0!</v>
      </c>
      <c r="AJ248" s="18" t="e">
        <f>(Table13[[#This Row],[PM Hi]]-Table13[[#This Row],[MKT Open Price]])/(Table13[[#This Row],[PM Hi]])</f>
        <v>#DIV/0!</v>
      </c>
      <c r="AK248" s="18" t="e">
        <f>IF(Table13[[#This Row],[PM LO]]&gt;Table13[[#This Row],[Prior day close]],(Table13[[#This Row],[PM Hi]]-Table13[[#This Row],[MKT Open Price]])/(Table13[[#This Row],[PM Hi]]-Table13[[#This Row],[Prior day close]]),(Table13[[#This Row],[PM Hi]]-Table13[[#This Row],[MKT Open Price]])/(Table13[[#This Row],[PM Hi]]-Table13[[#This Row],[PM LO]]))</f>
        <v>#DIV/0!</v>
      </c>
      <c r="AL248" s="48" t="e">
        <f>IF(Table13[[#This Row],[Prior day close]]&lt;Table13[[#This Row],[PM LO]],(J248-L248)/(J248-Table13[[#This Row],[Prior day close]]),(J248-L248)/(J248-Table13[[#This Row],[PM LO]]))</f>
        <v>#DIV/0!</v>
      </c>
      <c r="AM248" s="48">
        <f>Table13[[#This Row],[Spike % on open before drop]]+AN248</f>
        <v>0</v>
      </c>
      <c r="AN248" s="18"/>
      <c r="AO248" s="16"/>
      <c r="AP248" s="48" t="e">
        <f>IF(Table13[[#This Row],[Prior day close]]&lt;=Table13[[#This Row],[PM LO]],IF($K248&gt;=$G248,($K248-$L248)/($K248-Table13[[#This Row],[Prior day close]]),(IF($I248&lt;=$L248,($G248-$I248)/($G248-Table13[[#This Row],[Prior day close]]),(Table13[[#This Row],[PM Hi]]-Table13[[#This Row],[Lowest lo from open to squeeze]])/(Table13[[#This Row],[PM Hi]]-Table13[[#This Row],[Prior day close]])))),IF($K248&gt;=$G248,($K248-$L248)/($K248-Table13[[#This Row],[PM LO]]),(IF($I248&lt;=$L248,($G248-$I248)/($G248-Table13[[#This Row],[PM LO]]),(Table13[[#This Row],[PM Hi]]-Table13[[#This Row],[Lowest lo from open to squeeze]])/(Table13[[#This Row],[PM Hi]]-Table13[[#This Row],[PM LO]])))))</f>
        <v>#DIV/0!</v>
      </c>
      <c r="AQ248" s="18"/>
      <c r="AR248" s="17">
        <f>390+Table13[[#This Row],[Time until ideal entry point (mins) from open]]</f>
        <v>390</v>
      </c>
      <c r="AS248" s="17">
        <f>Table13[[#This Row],[Time until ideal entry + 390 (6:30)]]+Table13[[#This Row],[Duration of frontside (mins)]]</f>
        <v>390</v>
      </c>
    </row>
    <row r="249" spans="1:45" hidden="1" x14ac:dyDescent="0.25">
      <c r="A249" s="24" t="s">
        <v>325</v>
      </c>
      <c r="B249" s="47">
        <v>43845</v>
      </c>
      <c r="C249" s="47" t="s">
        <v>178</v>
      </c>
      <c r="D249" s="46" t="s">
        <v>326</v>
      </c>
      <c r="E249" s="12"/>
      <c r="F249" s="13"/>
      <c r="G249" s="12"/>
      <c r="H249" s="12"/>
      <c r="I249" s="12"/>
      <c r="J249" s="12"/>
      <c r="K249" s="12"/>
      <c r="L249" s="12"/>
      <c r="O249" s="13"/>
      <c r="Q249" s="37"/>
      <c r="R249" s="46"/>
      <c r="S249" s="37"/>
      <c r="T249" s="37"/>
      <c r="U249" s="37"/>
      <c r="V249" s="37"/>
      <c r="W249" s="38"/>
      <c r="X249" s="46"/>
      <c r="Y249" s="37"/>
      <c r="Z249" s="46"/>
      <c r="AA249" s="41">
        <f>Table13[[#This Row],[Time until ideal entry + 390 (6:30)]]/(1440)</f>
        <v>0.27083333333333331</v>
      </c>
      <c r="AB249" s="18"/>
      <c r="AC249" s="18" t="e">
        <f>IF(Table13[[#This Row],[HOD AFTER PM HI]]&gt;=Table13[[#This Row],[PM Hi]],((Table13[[#This Row],[HOD AFTER PM HI]]-Table13[[#This Row],[Prior day close]])/Table13[[#This Row],[Prior day close]]),Table13[[#This Row],[Prior Close to PM Hi %]])</f>
        <v>#DIV/0!</v>
      </c>
      <c r="AD249" s="42" t="e">
        <f>(Table13[[#This Row],[Price at hi of squeeze]]-Table13[[#This Row],[MKT Open Price]])/Table13[[#This Row],[MKT Open Price]]</f>
        <v>#DIV/0!</v>
      </c>
      <c r="AE249" s="18" t="e">
        <f>(Table13[[#This Row],[Price at hi of squeeze]]-Table13[[#This Row],[PM Hi]])/Table13[[#This Row],[PM Hi]]</f>
        <v>#DIV/0!</v>
      </c>
      <c r="AF249" s="18"/>
      <c r="AG249" s="20" t="e">
        <f>Table13[[#This Row],[PM VOL]]/1000000/Table13[[#This Row],[FLOAT(M)]]</f>
        <v>#DIV/0!</v>
      </c>
      <c r="AH249" s="23" t="e">
        <f>(Table13[[#This Row],[Volume]]/1000000)/Table13[[#This Row],[FLOAT(M)]]</f>
        <v>#DIV/0!</v>
      </c>
      <c r="AJ249" s="18" t="e">
        <f>(Table13[[#This Row],[PM Hi]]-Table13[[#This Row],[MKT Open Price]])/(Table13[[#This Row],[PM Hi]])</f>
        <v>#DIV/0!</v>
      </c>
      <c r="AK249" s="18" t="e">
        <f>IF(Table13[[#This Row],[PM LO]]&gt;Table13[[#This Row],[Prior day close]],(Table13[[#This Row],[PM Hi]]-Table13[[#This Row],[MKT Open Price]])/(Table13[[#This Row],[PM Hi]]-Table13[[#This Row],[Prior day close]]),(Table13[[#This Row],[PM Hi]]-Table13[[#This Row],[MKT Open Price]])/(Table13[[#This Row],[PM Hi]]-Table13[[#This Row],[PM LO]]))</f>
        <v>#DIV/0!</v>
      </c>
      <c r="AL249" s="48" t="e">
        <f>IF(Table13[[#This Row],[Prior day close]]&lt;Table13[[#This Row],[PM LO]],(J249-L249)/(J249-Table13[[#This Row],[Prior day close]]),(J249-L249)/(J249-Table13[[#This Row],[PM LO]]))</f>
        <v>#DIV/0!</v>
      </c>
      <c r="AM249" s="48">
        <f>Table13[[#This Row],[Spike % on open before drop]]+AN249</f>
        <v>0</v>
      </c>
      <c r="AN249" s="18"/>
      <c r="AO249" s="16"/>
      <c r="AP249" s="48" t="e">
        <f>IF(Table13[[#This Row],[Prior day close]]&lt;=Table13[[#This Row],[PM LO]],IF($K249&gt;=$G249,($K249-$L249)/($K249-Table13[[#This Row],[Prior day close]]),(IF($I249&lt;=$L249,($G249-$I249)/($G249-Table13[[#This Row],[Prior day close]]),(Table13[[#This Row],[PM Hi]]-Table13[[#This Row],[Lowest lo from open to squeeze]])/(Table13[[#This Row],[PM Hi]]-Table13[[#This Row],[Prior day close]])))),IF($K249&gt;=$G249,($K249-$L249)/($K249-Table13[[#This Row],[PM LO]]),(IF($I249&lt;=$L249,($G249-$I249)/($G249-Table13[[#This Row],[PM LO]]),(Table13[[#This Row],[PM Hi]]-Table13[[#This Row],[Lowest lo from open to squeeze]])/(Table13[[#This Row],[PM Hi]]-Table13[[#This Row],[PM LO]])))))</f>
        <v>#DIV/0!</v>
      </c>
      <c r="AQ249" s="18"/>
      <c r="AR249" s="17">
        <f>390+Table13[[#This Row],[Time until ideal entry point (mins) from open]]</f>
        <v>390</v>
      </c>
      <c r="AS249" s="17">
        <f>Table13[[#This Row],[Time until ideal entry + 390 (6:30)]]+Table13[[#This Row],[Duration of frontside (mins)]]</f>
        <v>390</v>
      </c>
    </row>
    <row r="250" spans="1:45" hidden="1" x14ac:dyDescent="0.25">
      <c r="A250" s="24" t="s">
        <v>327</v>
      </c>
      <c r="B250" s="47">
        <v>43849</v>
      </c>
      <c r="C250" s="47" t="s">
        <v>178</v>
      </c>
      <c r="D250" s="46" t="s">
        <v>328</v>
      </c>
      <c r="E250" s="12"/>
      <c r="F250" s="13"/>
      <c r="G250" s="12"/>
      <c r="H250" s="12"/>
      <c r="I250" s="12"/>
      <c r="J250" s="12"/>
      <c r="K250" s="12"/>
      <c r="L250" s="12"/>
      <c r="O250" s="13"/>
      <c r="Q250" s="37"/>
      <c r="R250" s="46"/>
      <c r="S250" s="37"/>
      <c r="T250" s="37"/>
      <c r="U250" s="37"/>
      <c r="V250" s="37"/>
      <c r="W250" s="38"/>
      <c r="X250" s="46"/>
      <c r="Y250" s="37"/>
      <c r="Z250" s="46"/>
      <c r="AA250" s="41">
        <f>Table13[[#This Row],[Time until ideal entry + 390 (6:30)]]/(1440)</f>
        <v>0.27083333333333331</v>
      </c>
      <c r="AB250" s="18"/>
      <c r="AC250" s="18" t="e">
        <f>IF(Table13[[#This Row],[HOD AFTER PM HI]]&gt;=Table13[[#This Row],[PM Hi]],((Table13[[#This Row],[HOD AFTER PM HI]]-Table13[[#This Row],[Prior day close]])/Table13[[#This Row],[Prior day close]]),Table13[[#This Row],[Prior Close to PM Hi %]])</f>
        <v>#DIV/0!</v>
      </c>
      <c r="AD250" s="42" t="e">
        <f>(Table13[[#This Row],[Price at hi of squeeze]]-Table13[[#This Row],[MKT Open Price]])/Table13[[#This Row],[MKT Open Price]]</f>
        <v>#DIV/0!</v>
      </c>
      <c r="AE250" s="18" t="e">
        <f>(Table13[[#This Row],[Price at hi of squeeze]]-Table13[[#This Row],[PM Hi]])/Table13[[#This Row],[PM Hi]]</f>
        <v>#DIV/0!</v>
      </c>
      <c r="AF250" s="18"/>
      <c r="AG250" s="20" t="e">
        <f>Table13[[#This Row],[PM VOL]]/1000000/Table13[[#This Row],[FLOAT(M)]]</f>
        <v>#DIV/0!</v>
      </c>
      <c r="AH250" s="23" t="e">
        <f>(Table13[[#This Row],[Volume]]/1000000)/Table13[[#This Row],[FLOAT(M)]]</f>
        <v>#DIV/0!</v>
      </c>
      <c r="AJ250" s="18" t="e">
        <f>(Table13[[#This Row],[PM Hi]]-Table13[[#This Row],[MKT Open Price]])/(Table13[[#This Row],[PM Hi]])</f>
        <v>#DIV/0!</v>
      </c>
      <c r="AK250" s="18" t="e">
        <f>IF(Table13[[#This Row],[PM LO]]&gt;Table13[[#This Row],[Prior day close]],(Table13[[#This Row],[PM Hi]]-Table13[[#This Row],[MKT Open Price]])/(Table13[[#This Row],[PM Hi]]-Table13[[#This Row],[Prior day close]]),(Table13[[#This Row],[PM Hi]]-Table13[[#This Row],[MKT Open Price]])/(Table13[[#This Row],[PM Hi]]-Table13[[#This Row],[PM LO]]))</f>
        <v>#DIV/0!</v>
      </c>
      <c r="AL250" s="48" t="e">
        <f>IF(Table13[[#This Row],[Prior day close]]&lt;Table13[[#This Row],[PM LO]],(J250-L250)/(J250-Table13[[#This Row],[Prior day close]]),(J250-L250)/(J250-Table13[[#This Row],[PM LO]]))</f>
        <v>#DIV/0!</v>
      </c>
      <c r="AM250" s="48">
        <f>Table13[[#This Row],[Spike % on open before drop]]+AN250</f>
        <v>0</v>
      </c>
      <c r="AN250" s="18"/>
      <c r="AO250" s="16"/>
      <c r="AP250" s="48" t="e">
        <f>IF(Table13[[#This Row],[Prior day close]]&lt;=Table13[[#This Row],[PM LO]],IF($K250&gt;=$G250,($K250-$L250)/($K250-Table13[[#This Row],[Prior day close]]),(IF($I250&lt;=$L250,($G250-$I250)/($G250-Table13[[#This Row],[Prior day close]]),(Table13[[#This Row],[PM Hi]]-Table13[[#This Row],[Lowest lo from open to squeeze]])/(Table13[[#This Row],[PM Hi]]-Table13[[#This Row],[Prior day close]])))),IF($K250&gt;=$G250,($K250-$L250)/($K250-Table13[[#This Row],[PM LO]]),(IF($I250&lt;=$L250,($G250-$I250)/($G250-Table13[[#This Row],[PM LO]]),(Table13[[#This Row],[PM Hi]]-Table13[[#This Row],[Lowest lo from open to squeeze]])/(Table13[[#This Row],[PM Hi]]-Table13[[#This Row],[PM LO]])))))</f>
        <v>#DIV/0!</v>
      </c>
      <c r="AQ250" s="18"/>
      <c r="AR250" s="17">
        <f>390+Table13[[#This Row],[Time until ideal entry point (mins) from open]]</f>
        <v>390</v>
      </c>
      <c r="AS250" s="17">
        <f>Table13[[#This Row],[Time until ideal entry + 390 (6:30)]]+Table13[[#This Row],[Duration of frontside (mins)]]</f>
        <v>390</v>
      </c>
    </row>
    <row r="251" spans="1:45" hidden="1" x14ac:dyDescent="0.25">
      <c r="A251" s="24" t="s">
        <v>83</v>
      </c>
      <c r="B251" s="47">
        <v>43849</v>
      </c>
      <c r="C251" s="47" t="s">
        <v>178</v>
      </c>
      <c r="D251" s="46" t="s">
        <v>329</v>
      </c>
      <c r="E251" s="12"/>
      <c r="F251" s="13"/>
      <c r="G251" s="12"/>
      <c r="H251" s="12"/>
      <c r="I251" s="12"/>
      <c r="J251" s="12"/>
      <c r="K251" s="12"/>
      <c r="L251" s="12"/>
      <c r="O251" s="13"/>
      <c r="Q251" s="37"/>
      <c r="R251" s="46"/>
      <c r="S251" s="37"/>
      <c r="T251" s="37"/>
      <c r="U251" s="37"/>
      <c r="V251" s="37"/>
      <c r="W251" s="38"/>
      <c r="X251" s="46"/>
      <c r="Y251" s="37"/>
      <c r="Z251" s="46"/>
      <c r="AA251" s="41">
        <f>Table13[[#This Row],[Time until ideal entry + 390 (6:30)]]/(1440)</f>
        <v>0.27083333333333331</v>
      </c>
      <c r="AB251" s="18"/>
      <c r="AC251" s="18" t="e">
        <f>IF(Table13[[#This Row],[HOD AFTER PM HI]]&gt;=Table13[[#This Row],[PM Hi]],((Table13[[#This Row],[HOD AFTER PM HI]]-Table13[[#This Row],[Prior day close]])/Table13[[#This Row],[Prior day close]]),Table13[[#This Row],[Prior Close to PM Hi %]])</f>
        <v>#DIV/0!</v>
      </c>
      <c r="AD251" s="42" t="e">
        <f>(Table13[[#This Row],[Price at hi of squeeze]]-Table13[[#This Row],[MKT Open Price]])/Table13[[#This Row],[MKT Open Price]]</f>
        <v>#DIV/0!</v>
      </c>
      <c r="AE251" s="18" t="e">
        <f>(Table13[[#This Row],[Price at hi of squeeze]]-Table13[[#This Row],[PM Hi]])/Table13[[#This Row],[PM Hi]]</f>
        <v>#DIV/0!</v>
      </c>
      <c r="AF251" s="18"/>
      <c r="AG251" s="20" t="e">
        <f>Table13[[#This Row],[PM VOL]]/1000000/Table13[[#This Row],[FLOAT(M)]]</f>
        <v>#DIV/0!</v>
      </c>
      <c r="AH251" s="23" t="e">
        <f>(Table13[[#This Row],[Volume]]/1000000)/Table13[[#This Row],[FLOAT(M)]]</f>
        <v>#DIV/0!</v>
      </c>
      <c r="AJ251" s="18" t="e">
        <f>(Table13[[#This Row],[PM Hi]]-Table13[[#This Row],[MKT Open Price]])/(Table13[[#This Row],[PM Hi]])</f>
        <v>#DIV/0!</v>
      </c>
      <c r="AK251" s="18" t="e">
        <f>IF(Table13[[#This Row],[PM LO]]&gt;Table13[[#This Row],[Prior day close]],(Table13[[#This Row],[PM Hi]]-Table13[[#This Row],[MKT Open Price]])/(Table13[[#This Row],[PM Hi]]-Table13[[#This Row],[Prior day close]]),(Table13[[#This Row],[PM Hi]]-Table13[[#This Row],[MKT Open Price]])/(Table13[[#This Row],[PM Hi]]-Table13[[#This Row],[PM LO]]))</f>
        <v>#DIV/0!</v>
      </c>
      <c r="AL251" s="48" t="e">
        <f>IF(Table13[[#This Row],[Prior day close]]&lt;Table13[[#This Row],[PM LO]],(J251-L251)/(J251-Table13[[#This Row],[Prior day close]]),(J251-L251)/(J251-Table13[[#This Row],[PM LO]]))</f>
        <v>#DIV/0!</v>
      </c>
      <c r="AM251" s="48">
        <f>Table13[[#This Row],[Spike % on open before drop]]+AN251</f>
        <v>0</v>
      </c>
      <c r="AN251" s="18"/>
      <c r="AO251" s="16"/>
      <c r="AP251" s="48" t="e">
        <f>IF(Table13[[#This Row],[Prior day close]]&lt;=Table13[[#This Row],[PM LO]],IF($K251&gt;=$G251,($K251-$L251)/($K251-Table13[[#This Row],[Prior day close]]),(IF($I251&lt;=$L251,($G251-$I251)/($G251-Table13[[#This Row],[Prior day close]]),(Table13[[#This Row],[PM Hi]]-Table13[[#This Row],[Lowest lo from open to squeeze]])/(Table13[[#This Row],[PM Hi]]-Table13[[#This Row],[Prior day close]])))),IF($K251&gt;=$G251,($K251-$L251)/($K251-Table13[[#This Row],[PM LO]]),(IF($I251&lt;=$L251,($G251-$I251)/($G251-Table13[[#This Row],[PM LO]]),(Table13[[#This Row],[PM Hi]]-Table13[[#This Row],[Lowest lo from open to squeeze]])/(Table13[[#This Row],[PM Hi]]-Table13[[#This Row],[PM LO]])))))</f>
        <v>#DIV/0!</v>
      </c>
      <c r="AQ251" s="18"/>
      <c r="AR251" s="17">
        <f>390+Table13[[#This Row],[Time until ideal entry point (mins) from open]]</f>
        <v>390</v>
      </c>
      <c r="AS251" s="17">
        <f>Table13[[#This Row],[Time until ideal entry + 390 (6:30)]]+Table13[[#This Row],[Duration of frontside (mins)]]</f>
        <v>390</v>
      </c>
    </row>
    <row r="252" spans="1:45" hidden="1" x14ac:dyDescent="0.25">
      <c r="A252" s="24" t="s">
        <v>330</v>
      </c>
      <c r="B252" s="47">
        <v>44221</v>
      </c>
      <c r="C252" s="47" t="s">
        <v>178</v>
      </c>
      <c r="D252" s="46" t="s">
        <v>331</v>
      </c>
      <c r="E252" s="12"/>
      <c r="F252" s="13"/>
      <c r="G252" s="12"/>
      <c r="H252" s="12"/>
      <c r="I252" s="12"/>
      <c r="J252" s="12"/>
      <c r="K252" s="12"/>
      <c r="L252" s="12"/>
      <c r="O252" s="13"/>
      <c r="Q252" s="37"/>
      <c r="R252" s="46"/>
      <c r="S252" s="37"/>
      <c r="T252" s="37"/>
      <c r="U252" s="37"/>
      <c r="V252" s="37"/>
      <c r="W252" s="38"/>
      <c r="X252" s="46"/>
      <c r="Y252" s="37"/>
      <c r="Z252" s="46"/>
      <c r="AA252" s="41">
        <f>Table13[[#This Row],[Time until ideal entry + 390 (6:30)]]/(1440)</f>
        <v>0.27083333333333331</v>
      </c>
      <c r="AB252" s="18"/>
      <c r="AC252" s="18" t="e">
        <f>IF(Table13[[#This Row],[HOD AFTER PM HI]]&gt;=Table13[[#This Row],[PM Hi]],((Table13[[#This Row],[HOD AFTER PM HI]]-Table13[[#This Row],[Prior day close]])/Table13[[#This Row],[Prior day close]]),Table13[[#This Row],[Prior Close to PM Hi %]])</f>
        <v>#DIV/0!</v>
      </c>
      <c r="AD252" s="42" t="e">
        <f>(Table13[[#This Row],[Price at hi of squeeze]]-Table13[[#This Row],[MKT Open Price]])/Table13[[#This Row],[MKT Open Price]]</f>
        <v>#DIV/0!</v>
      </c>
      <c r="AE252" s="18" t="e">
        <f>(Table13[[#This Row],[Price at hi of squeeze]]-Table13[[#This Row],[PM Hi]])/Table13[[#This Row],[PM Hi]]</f>
        <v>#DIV/0!</v>
      </c>
      <c r="AF252" s="18"/>
      <c r="AG252" s="20" t="e">
        <f>Table13[[#This Row],[PM VOL]]/1000000/Table13[[#This Row],[FLOAT(M)]]</f>
        <v>#DIV/0!</v>
      </c>
      <c r="AH252" s="23" t="e">
        <f>(Table13[[#This Row],[Volume]]/1000000)/Table13[[#This Row],[FLOAT(M)]]</f>
        <v>#DIV/0!</v>
      </c>
      <c r="AJ252" s="18" t="e">
        <f>(Table13[[#This Row],[PM Hi]]-Table13[[#This Row],[MKT Open Price]])/(Table13[[#This Row],[PM Hi]])</f>
        <v>#DIV/0!</v>
      </c>
      <c r="AK252" s="18" t="e">
        <f>IF(Table13[[#This Row],[PM LO]]&gt;Table13[[#This Row],[Prior day close]],(Table13[[#This Row],[PM Hi]]-Table13[[#This Row],[MKT Open Price]])/(Table13[[#This Row],[PM Hi]]-Table13[[#This Row],[Prior day close]]),(Table13[[#This Row],[PM Hi]]-Table13[[#This Row],[MKT Open Price]])/(Table13[[#This Row],[PM Hi]]-Table13[[#This Row],[PM LO]]))</f>
        <v>#DIV/0!</v>
      </c>
      <c r="AL252" s="48" t="e">
        <f>IF(Table13[[#This Row],[Prior day close]]&lt;Table13[[#This Row],[PM LO]],(J252-L252)/(J252-Table13[[#This Row],[Prior day close]]),(J252-L252)/(J252-Table13[[#This Row],[PM LO]]))</f>
        <v>#DIV/0!</v>
      </c>
      <c r="AM252" s="48">
        <f>Table13[[#This Row],[Spike % on open before drop]]+AN252</f>
        <v>0</v>
      </c>
      <c r="AN252" s="18"/>
      <c r="AO252" s="16"/>
      <c r="AP252" s="48" t="e">
        <f>IF(Table13[[#This Row],[Prior day close]]&lt;=Table13[[#This Row],[PM LO]],IF($K252&gt;=$G252,($K252-$L252)/($K252-Table13[[#This Row],[Prior day close]]),(IF($I252&lt;=$L252,($G252-$I252)/($G252-Table13[[#This Row],[Prior day close]]),(Table13[[#This Row],[PM Hi]]-Table13[[#This Row],[Lowest lo from open to squeeze]])/(Table13[[#This Row],[PM Hi]]-Table13[[#This Row],[Prior day close]])))),IF($K252&gt;=$G252,($K252-$L252)/($K252-Table13[[#This Row],[PM LO]]),(IF($I252&lt;=$L252,($G252-$I252)/($G252-Table13[[#This Row],[PM LO]]),(Table13[[#This Row],[PM Hi]]-Table13[[#This Row],[Lowest lo from open to squeeze]])/(Table13[[#This Row],[PM Hi]]-Table13[[#This Row],[PM LO]])))))</f>
        <v>#DIV/0!</v>
      </c>
      <c r="AQ252" s="18"/>
      <c r="AR252" s="17">
        <f>390+Table13[[#This Row],[Time until ideal entry point (mins) from open]]</f>
        <v>390</v>
      </c>
      <c r="AS252" s="17">
        <f>Table13[[#This Row],[Time until ideal entry + 390 (6:30)]]+Table13[[#This Row],[Duration of frontside (mins)]]</f>
        <v>390</v>
      </c>
    </row>
    <row r="253" spans="1:45" hidden="1" x14ac:dyDescent="0.25">
      <c r="A253" s="24" t="s">
        <v>286</v>
      </c>
      <c r="B253" s="47">
        <v>44221</v>
      </c>
      <c r="C253" s="47" t="s">
        <v>178</v>
      </c>
      <c r="D253" s="46" t="s">
        <v>332</v>
      </c>
      <c r="E253" s="12"/>
      <c r="F253" s="13"/>
      <c r="G253" s="12"/>
      <c r="H253" s="12"/>
      <c r="I253" s="12"/>
      <c r="J253" s="12"/>
      <c r="K253" s="12"/>
      <c r="L253" s="12"/>
      <c r="O253" s="13"/>
      <c r="Q253" s="37"/>
      <c r="R253" s="46"/>
      <c r="S253" s="37"/>
      <c r="T253" s="37"/>
      <c r="U253" s="37"/>
      <c r="V253" s="37"/>
      <c r="W253" s="38"/>
      <c r="X253" s="46"/>
      <c r="Y253" s="37"/>
      <c r="Z253" s="46"/>
      <c r="AA253" s="41">
        <f>Table13[[#This Row],[Time until ideal entry + 390 (6:30)]]/(1440)</f>
        <v>0.27083333333333331</v>
      </c>
      <c r="AB253" s="18"/>
      <c r="AC253" s="18" t="e">
        <f>IF(Table13[[#This Row],[HOD AFTER PM HI]]&gt;=Table13[[#This Row],[PM Hi]],((Table13[[#This Row],[HOD AFTER PM HI]]-Table13[[#This Row],[Prior day close]])/Table13[[#This Row],[Prior day close]]),Table13[[#This Row],[Prior Close to PM Hi %]])</f>
        <v>#DIV/0!</v>
      </c>
      <c r="AD253" s="42" t="e">
        <f>(Table13[[#This Row],[Price at hi of squeeze]]-Table13[[#This Row],[MKT Open Price]])/Table13[[#This Row],[MKT Open Price]]</f>
        <v>#DIV/0!</v>
      </c>
      <c r="AE253" s="18" t="e">
        <f>(Table13[[#This Row],[Price at hi of squeeze]]-Table13[[#This Row],[PM Hi]])/Table13[[#This Row],[PM Hi]]</f>
        <v>#DIV/0!</v>
      </c>
      <c r="AF253" s="18"/>
      <c r="AG253" s="20" t="e">
        <f>Table13[[#This Row],[PM VOL]]/1000000/Table13[[#This Row],[FLOAT(M)]]</f>
        <v>#DIV/0!</v>
      </c>
      <c r="AH253" s="23" t="e">
        <f>(Table13[[#This Row],[Volume]]/1000000)/Table13[[#This Row],[FLOAT(M)]]</f>
        <v>#DIV/0!</v>
      </c>
      <c r="AJ253" s="18" t="e">
        <f>(Table13[[#This Row],[PM Hi]]-Table13[[#This Row],[MKT Open Price]])/(Table13[[#This Row],[PM Hi]])</f>
        <v>#DIV/0!</v>
      </c>
      <c r="AK253" s="18" t="e">
        <f>IF(Table13[[#This Row],[PM LO]]&gt;Table13[[#This Row],[Prior day close]],(Table13[[#This Row],[PM Hi]]-Table13[[#This Row],[MKT Open Price]])/(Table13[[#This Row],[PM Hi]]-Table13[[#This Row],[Prior day close]]),(Table13[[#This Row],[PM Hi]]-Table13[[#This Row],[MKT Open Price]])/(Table13[[#This Row],[PM Hi]]-Table13[[#This Row],[PM LO]]))</f>
        <v>#DIV/0!</v>
      </c>
      <c r="AL253" s="48" t="e">
        <f>IF(Table13[[#This Row],[Prior day close]]&lt;Table13[[#This Row],[PM LO]],(J253-L253)/(J253-Table13[[#This Row],[Prior day close]]),(J253-L253)/(J253-Table13[[#This Row],[PM LO]]))</f>
        <v>#DIV/0!</v>
      </c>
      <c r="AM253" s="48">
        <f>Table13[[#This Row],[Spike % on open before drop]]+AN253</f>
        <v>0</v>
      </c>
      <c r="AN253" s="18"/>
      <c r="AO253" s="16"/>
      <c r="AP253" s="48" t="e">
        <f>IF(Table13[[#This Row],[Prior day close]]&lt;=Table13[[#This Row],[PM LO]],IF($K253&gt;=$G253,($K253-$L253)/($K253-Table13[[#This Row],[Prior day close]]),(IF($I253&lt;=$L253,($G253-$I253)/($G253-Table13[[#This Row],[Prior day close]]),(Table13[[#This Row],[PM Hi]]-Table13[[#This Row],[Lowest lo from open to squeeze]])/(Table13[[#This Row],[PM Hi]]-Table13[[#This Row],[Prior day close]])))),IF($K253&gt;=$G253,($K253-$L253)/($K253-Table13[[#This Row],[PM LO]]),(IF($I253&lt;=$L253,($G253-$I253)/($G253-Table13[[#This Row],[PM LO]]),(Table13[[#This Row],[PM Hi]]-Table13[[#This Row],[Lowest lo from open to squeeze]])/(Table13[[#This Row],[PM Hi]]-Table13[[#This Row],[PM LO]])))))</f>
        <v>#DIV/0!</v>
      </c>
      <c r="AQ253" s="18"/>
      <c r="AR253" s="17">
        <f>390+Table13[[#This Row],[Time until ideal entry point (mins) from open]]</f>
        <v>390</v>
      </c>
      <c r="AS253" s="17">
        <f>Table13[[#This Row],[Time until ideal entry + 390 (6:30)]]+Table13[[#This Row],[Duration of frontside (mins)]]</f>
        <v>390</v>
      </c>
    </row>
    <row r="254" spans="1:45" hidden="1" x14ac:dyDescent="0.25">
      <c r="A254" s="24" t="s">
        <v>333</v>
      </c>
      <c r="B254" s="47">
        <v>44222</v>
      </c>
      <c r="C254" s="47" t="s">
        <v>78</v>
      </c>
      <c r="D254" s="46" t="s">
        <v>334</v>
      </c>
      <c r="E254" s="12"/>
      <c r="F254" s="13"/>
      <c r="G254" s="12"/>
      <c r="H254" s="12"/>
      <c r="I254" s="12"/>
      <c r="J254" s="12"/>
      <c r="K254" s="12"/>
      <c r="L254" s="12"/>
      <c r="O254" s="13"/>
      <c r="Q254" s="37"/>
      <c r="R254" s="46"/>
      <c r="S254" s="37"/>
      <c r="T254" s="37"/>
      <c r="U254" s="37"/>
      <c r="V254" s="37"/>
      <c r="W254" s="38"/>
      <c r="X254" s="46"/>
      <c r="Y254" s="37"/>
      <c r="Z254" s="46"/>
      <c r="AA254" s="41">
        <f>Table13[[#This Row],[Time until ideal entry + 390 (6:30)]]/(1440)</f>
        <v>0.27083333333333331</v>
      </c>
      <c r="AB254" s="18"/>
      <c r="AC254" s="18" t="e">
        <f>IF(Table13[[#This Row],[HOD AFTER PM HI]]&gt;=Table13[[#This Row],[PM Hi]],((Table13[[#This Row],[HOD AFTER PM HI]]-Table13[[#This Row],[Prior day close]])/Table13[[#This Row],[Prior day close]]),Table13[[#This Row],[Prior Close to PM Hi %]])</f>
        <v>#DIV/0!</v>
      </c>
      <c r="AD254" s="42" t="e">
        <f>(Table13[[#This Row],[Price at hi of squeeze]]-Table13[[#This Row],[MKT Open Price]])/Table13[[#This Row],[MKT Open Price]]</f>
        <v>#DIV/0!</v>
      </c>
      <c r="AE254" s="18" t="e">
        <f>(Table13[[#This Row],[Price at hi of squeeze]]-Table13[[#This Row],[PM Hi]])/Table13[[#This Row],[PM Hi]]</f>
        <v>#DIV/0!</v>
      </c>
      <c r="AF254" s="18"/>
      <c r="AG254" s="20" t="e">
        <f>Table13[[#This Row],[PM VOL]]/1000000/Table13[[#This Row],[FLOAT(M)]]</f>
        <v>#DIV/0!</v>
      </c>
      <c r="AH254" s="23" t="e">
        <f>(Table13[[#This Row],[Volume]]/1000000)/Table13[[#This Row],[FLOAT(M)]]</f>
        <v>#DIV/0!</v>
      </c>
      <c r="AJ254" s="18" t="e">
        <f>(Table13[[#This Row],[PM Hi]]-Table13[[#This Row],[MKT Open Price]])/(Table13[[#This Row],[PM Hi]])</f>
        <v>#DIV/0!</v>
      </c>
      <c r="AK254" s="18" t="e">
        <f>IF(Table13[[#This Row],[PM LO]]&gt;Table13[[#This Row],[Prior day close]],(Table13[[#This Row],[PM Hi]]-Table13[[#This Row],[MKT Open Price]])/(Table13[[#This Row],[PM Hi]]-Table13[[#This Row],[Prior day close]]),(Table13[[#This Row],[PM Hi]]-Table13[[#This Row],[MKT Open Price]])/(Table13[[#This Row],[PM Hi]]-Table13[[#This Row],[PM LO]]))</f>
        <v>#DIV/0!</v>
      </c>
      <c r="AL254" s="48" t="e">
        <f>IF(Table13[[#This Row],[Prior day close]]&lt;Table13[[#This Row],[PM LO]],(J254-L254)/(J254-Table13[[#This Row],[Prior day close]]),(J254-L254)/(J254-Table13[[#This Row],[PM LO]]))</f>
        <v>#DIV/0!</v>
      </c>
      <c r="AM254" s="48">
        <f>Table13[[#This Row],[Spike % on open before drop]]+AN254</f>
        <v>0</v>
      </c>
      <c r="AN254" s="18"/>
      <c r="AO254" s="16"/>
      <c r="AP254" s="48" t="e">
        <f>IF(Table13[[#This Row],[Prior day close]]&lt;=Table13[[#This Row],[PM LO]],IF($K254&gt;=$G254,($K254-$L254)/($K254-Table13[[#This Row],[Prior day close]]),(IF($I254&lt;=$L254,($G254-$I254)/($G254-Table13[[#This Row],[Prior day close]]),(Table13[[#This Row],[PM Hi]]-Table13[[#This Row],[Lowest lo from open to squeeze]])/(Table13[[#This Row],[PM Hi]]-Table13[[#This Row],[Prior day close]])))),IF($K254&gt;=$G254,($K254-$L254)/($K254-Table13[[#This Row],[PM LO]]),(IF($I254&lt;=$L254,($G254-$I254)/($G254-Table13[[#This Row],[PM LO]]),(Table13[[#This Row],[PM Hi]]-Table13[[#This Row],[Lowest lo from open to squeeze]])/(Table13[[#This Row],[PM Hi]]-Table13[[#This Row],[PM LO]])))))</f>
        <v>#DIV/0!</v>
      </c>
      <c r="AQ254" s="18"/>
      <c r="AR254" s="17">
        <f>390+Table13[[#This Row],[Time until ideal entry point (mins) from open]]</f>
        <v>390</v>
      </c>
      <c r="AS254" s="17">
        <f>Table13[[#This Row],[Time until ideal entry + 390 (6:30)]]+Table13[[#This Row],[Duration of frontside (mins)]]</f>
        <v>390</v>
      </c>
    </row>
    <row r="255" spans="1:45" hidden="1" x14ac:dyDescent="0.25">
      <c r="A255" s="24" t="s">
        <v>335</v>
      </c>
      <c r="B255" s="47">
        <v>44223</v>
      </c>
      <c r="C255" s="47" t="s">
        <v>178</v>
      </c>
      <c r="D255" s="46" t="s">
        <v>331</v>
      </c>
      <c r="E255" s="12"/>
      <c r="F255" s="13"/>
      <c r="G255" s="12"/>
      <c r="H255" s="12"/>
      <c r="I255" s="12"/>
      <c r="J255" s="12"/>
      <c r="K255" s="12"/>
      <c r="L255" s="12"/>
      <c r="O255" s="13"/>
      <c r="Q255" s="37"/>
      <c r="R255" s="46"/>
      <c r="S255" s="37"/>
      <c r="T255" s="37"/>
      <c r="U255" s="37"/>
      <c r="V255" s="37"/>
      <c r="W255" s="38"/>
      <c r="X255" s="46"/>
      <c r="Y255" s="37"/>
      <c r="Z255" s="46"/>
      <c r="AA255" s="41">
        <f>Table13[[#This Row],[Time until ideal entry + 390 (6:30)]]/(1440)</f>
        <v>0.27083333333333331</v>
      </c>
      <c r="AB255" s="18"/>
      <c r="AC255" s="18" t="e">
        <f>IF(Table13[[#This Row],[HOD AFTER PM HI]]&gt;=Table13[[#This Row],[PM Hi]],((Table13[[#This Row],[HOD AFTER PM HI]]-Table13[[#This Row],[Prior day close]])/Table13[[#This Row],[Prior day close]]),Table13[[#This Row],[Prior Close to PM Hi %]])</f>
        <v>#DIV/0!</v>
      </c>
      <c r="AD255" s="42" t="e">
        <f>(Table13[[#This Row],[Price at hi of squeeze]]-Table13[[#This Row],[MKT Open Price]])/Table13[[#This Row],[MKT Open Price]]</f>
        <v>#DIV/0!</v>
      </c>
      <c r="AE255" s="18" t="e">
        <f>(Table13[[#This Row],[Price at hi of squeeze]]-Table13[[#This Row],[PM Hi]])/Table13[[#This Row],[PM Hi]]</f>
        <v>#DIV/0!</v>
      </c>
      <c r="AF255" s="18"/>
      <c r="AG255" s="20" t="e">
        <f>Table13[[#This Row],[PM VOL]]/1000000/Table13[[#This Row],[FLOAT(M)]]</f>
        <v>#DIV/0!</v>
      </c>
      <c r="AH255" s="23" t="e">
        <f>(Table13[[#This Row],[Volume]]/1000000)/Table13[[#This Row],[FLOAT(M)]]</f>
        <v>#DIV/0!</v>
      </c>
      <c r="AJ255" s="18" t="e">
        <f>(Table13[[#This Row],[PM Hi]]-Table13[[#This Row],[MKT Open Price]])/(Table13[[#This Row],[PM Hi]])</f>
        <v>#DIV/0!</v>
      </c>
      <c r="AK255" s="18" t="e">
        <f>IF(Table13[[#This Row],[PM LO]]&gt;Table13[[#This Row],[Prior day close]],(Table13[[#This Row],[PM Hi]]-Table13[[#This Row],[MKT Open Price]])/(Table13[[#This Row],[PM Hi]]-Table13[[#This Row],[Prior day close]]),(Table13[[#This Row],[PM Hi]]-Table13[[#This Row],[MKT Open Price]])/(Table13[[#This Row],[PM Hi]]-Table13[[#This Row],[PM LO]]))</f>
        <v>#DIV/0!</v>
      </c>
      <c r="AL255" s="48" t="e">
        <f>IF(Table13[[#This Row],[Prior day close]]&lt;Table13[[#This Row],[PM LO]],(J255-L255)/(J255-Table13[[#This Row],[Prior day close]]),(J255-L255)/(J255-Table13[[#This Row],[PM LO]]))</f>
        <v>#DIV/0!</v>
      </c>
      <c r="AM255" s="48">
        <f>Table13[[#This Row],[Spike % on open before drop]]+AN255</f>
        <v>0</v>
      </c>
      <c r="AN255" s="18"/>
      <c r="AO255" s="16"/>
      <c r="AP255" s="48" t="e">
        <f>IF(Table13[[#This Row],[Prior day close]]&lt;=Table13[[#This Row],[PM LO]],IF($K255&gt;=$G255,($K255-$L255)/($K255-Table13[[#This Row],[Prior day close]]),(IF($I255&lt;=$L255,($G255-$I255)/($G255-Table13[[#This Row],[Prior day close]]),(Table13[[#This Row],[PM Hi]]-Table13[[#This Row],[Lowest lo from open to squeeze]])/(Table13[[#This Row],[PM Hi]]-Table13[[#This Row],[Prior day close]])))),IF($K255&gt;=$G255,($K255-$L255)/($K255-Table13[[#This Row],[PM LO]]),(IF($I255&lt;=$L255,($G255-$I255)/($G255-Table13[[#This Row],[PM LO]]),(Table13[[#This Row],[PM Hi]]-Table13[[#This Row],[Lowest lo from open to squeeze]])/(Table13[[#This Row],[PM Hi]]-Table13[[#This Row],[PM LO]])))))</f>
        <v>#DIV/0!</v>
      </c>
      <c r="AQ255" s="18"/>
      <c r="AR255" s="17">
        <f>390+Table13[[#This Row],[Time until ideal entry point (mins) from open]]</f>
        <v>390</v>
      </c>
      <c r="AS255" s="17">
        <f>Table13[[#This Row],[Time until ideal entry + 390 (6:30)]]+Table13[[#This Row],[Duration of frontside (mins)]]</f>
        <v>390</v>
      </c>
    </row>
    <row r="256" spans="1:45" hidden="1" x14ac:dyDescent="0.25">
      <c r="A256" s="24" t="s">
        <v>309</v>
      </c>
      <c r="B256" s="47">
        <v>44224</v>
      </c>
      <c r="C256" s="47" t="s">
        <v>178</v>
      </c>
      <c r="D256" s="46" t="s">
        <v>336</v>
      </c>
      <c r="E256" s="12"/>
      <c r="F256" s="13"/>
      <c r="G256" s="12"/>
      <c r="H256" s="12"/>
      <c r="I256" s="12"/>
      <c r="J256" s="12"/>
      <c r="K256" s="12"/>
      <c r="L256" s="12"/>
      <c r="O256" s="13"/>
      <c r="Q256" s="37"/>
      <c r="R256" s="46"/>
      <c r="S256" s="37"/>
      <c r="T256" s="37"/>
      <c r="U256" s="37"/>
      <c r="V256" s="37"/>
      <c r="W256" s="38"/>
      <c r="X256" s="46"/>
      <c r="Y256" s="37"/>
      <c r="Z256" s="46"/>
      <c r="AA256" s="41">
        <f>Table13[[#This Row],[Time until ideal entry + 390 (6:30)]]/(1440)</f>
        <v>0.27083333333333331</v>
      </c>
      <c r="AB256" s="18"/>
      <c r="AC256" s="18" t="e">
        <f>IF(Table13[[#This Row],[HOD AFTER PM HI]]&gt;=Table13[[#This Row],[PM Hi]],((Table13[[#This Row],[HOD AFTER PM HI]]-Table13[[#This Row],[Prior day close]])/Table13[[#This Row],[Prior day close]]),Table13[[#This Row],[Prior Close to PM Hi %]])</f>
        <v>#DIV/0!</v>
      </c>
      <c r="AD256" s="42" t="e">
        <f>(Table13[[#This Row],[Price at hi of squeeze]]-Table13[[#This Row],[MKT Open Price]])/Table13[[#This Row],[MKT Open Price]]</f>
        <v>#DIV/0!</v>
      </c>
      <c r="AE256" s="18" t="e">
        <f>(Table13[[#This Row],[Price at hi of squeeze]]-Table13[[#This Row],[PM Hi]])/Table13[[#This Row],[PM Hi]]</f>
        <v>#DIV/0!</v>
      </c>
      <c r="AF256" s="18"/>
      <c r="AG256" s="20" t="e">
        <f>Table13[[#This Row],[PM VOL]]/1000000/Table13[[#This Row],[FLOAT(M)]]</f>
        <v>#DIV/0!</v>
      </c>
      <c r="AH256" s="23" t="e">
        <f>(Table13[[#This Row],[Volume]]/1000000)/Table13[[#This Row],[FLOAT(M)]]</f>
        <v>#DIV/0!</v>
      </c>
      <c r="AJ256" s="18" t="e">
        <f>(Table13[[#This Row],[PM Hi]]-Table13[[#This Row],[MKT Open Price]])/(Table13[[#This Row],[PM Hi]])</f>
        <v>#DIV/0!</v>
      </c>
      <c r="AK256" s="18" t="e">
        <f>IF(Table13[[#This Row],[PM LO]]&gt;Table13[[#This Row],[Prior day close]],(Table13[[#This Row],[PM Hi]]-Table13[[#This Row],[MKT Open Price]])/(Table13[[#This Row],[PM Hi]]-Table13[[#This Row],[Prior day close]]),(Table13[[#This Row],[PM Hi]]-Table13[[#This Row],[MKT Open Price]])/(Table13[[#This Row],[PM Hi]]-Table13[[#This Row],[PM LO]]))</f>
        <v>#DIV/0!</v>
      </c>
      <c r="AL256" s="48" t="e">
        <f>IF(Table13[[#This Row],[Prior day close]]&lt;Table13[[#This Row],[PM LO]],(J256-L256)/(J256-Table13[[#This Row],[Prior day close]]),(J256-L256)/(J256-Table13[[#This Row],[PM LO]]))</f>
        <v>#DIV/0!</v>
      </c>
      <c r="AM256" s="48">
        <f>Table13[[#This Row],[Spike % on open before drop]]+AN256</f>
        <v>0</v>
      </c>
      <c r="AN256" s="18"/>
      <c r="AO256" s="16"/>
      <c r="AP256" s="48" t="e">
        <f>IF(Table13[[#This Row],[Prior day close]]&lt;=Table13[[#This Row],[PM LO]],IF($K256&gt;=$G256,($K256-$L256)/($K256-Table13[[#This Row],[Prior day close]]),(IF($I256&lt;=$L256,($G256-$I256)/($G256-Table13[[#This Row],[Prior day close]]),(Table13[[#This Row],[PM Hi]]-Table13[[#This Row],[Lowest lo from open to squeeze]])/(Table13[[#This Row],[PM Hi]]-Table13[[#This Row],[Prior day close]])))),IF($K256&gt;=$G256,($K256-$L256)/($K256-Table13[[#This Row],[PM LO]]),(IF($I256&lt;=$L256,($G256-$I256)/($G256-Table13[[#This Row],[PM LO]]),(Table13[[#This Row],[PM Hi]]-Table13[[#This Row],[Lowest lo from open to squeeze]])/(Table13[[#This Row],[PM Hi]]-Table13[[#This Row],[PM LO]])))))</f>
        <v>#DIV/0!</v>
      </c>
      <c r="AQ256" s="18"/>
      <c r="AR256" s="17">
        <f>390+Table13[[#This Row],[Time until ideal entry point (mins) from open]]</f>
        <v>390</v>
      </c>
      <c r="AS256" s="17">
        <f>Table13[[#This Row],[Time until ideal entry + 390 (6:30)]]+Table13[[#This Row],[Duration of frontside (mins)]]</f>
        <v>390</v>
      </c>
    </row>
    <row r="257" spans="1:45" hidden="1" x14ac:dyDescent="0.25">
      <c r="A257" s="24" t="s">
        <v>96</v>
      </c>
      <c r="B257" s="47">
        <v>44225</v>
      </c>
      <c r="C257" s="47" t="s">
        <v>178</v>
      </c>
      <c r="D257" s="46" t="s">
        <v>337</v>
      </c>
      <c r="E257" s="12"/>
      <c r="F257" s="13"/>
      <c r="G257" s="12"/>
      <c r="H257" s="12"/>
      <c r="I257" s="12"/>
      <c r="J257" s="12"/>
      <c r="K257" s="12"/>
      <c r="L257" s="12"/>
      <c r="O257" s="13"/>
      <c r="Q257" s="37"/>
      <c r="R257" s="46"/>
      <c r="S257" s="37"/>
      <c r="T257" s="37"/>
      <c r="U257" s="37"/>
      <c r="V257" s="37"/>
      <c r="W257" s="38"/>
      <c r="X257" s="46"/>
      <c r="Y257" s="37"/>
      <c r="Z257" s="46"/>
      <c r="AA257" s="41">
        <f>Table13[[#This Row],[Time until ideal entry + 390 (6:30)]]/(1440)</f>
        <v>0.27083333333333331</v>
      </c>
      <c r="AB257" s="18"/>
      <c r="AC257" s="18" t="e">
        <f>IF(Table13[[#This Row],[HOD AFTER PM HI]]&gt;=Table13[[#This Row],[PM Hi]],((Table13[[#This Row],[HOD AFTER PM HI]]-Table13[[#This Row],[Prior day close]])/Table13[[#This Row],[Prior day close]]),Table13[[#This Row],[Prior Close to PM Hi %]])</f>
        <v>#DIV/0!</v>
      </c>
      <c r="AD257" s="42" t="e">
        <f>(Table13[[#This Row],[Price at hi of squeeze]]-Table13[[#This Row],[MKT Open Price]])/Table13[[#This Row],[MKT Open Price]]</f>
        <v>#DIV/0!</v>
      </c>
      <c r="AE257" s="18" t="e">
        <f>(Table13[[#This Row],[Price at hi of squeeze]]-Table13[[#This Row],[PM Hi]])/Table13[[#This Row],[PM Hi]]</f>
        <v>#DIV/0!</v>
      </c>
      <c r="AF257" s="18"/>
      <c r="AG257" s="20" t="e">
        <f>Table13[[#This Row],[PM VOL]]/1000000/Table13[[#This Row],[FLOAT(M)]]</f>
        <v>#DIV/0!</v>
      </c>
      <c r="AH257" s="23" t="e">
        <f>(Table13[[#This Row],[Volume]]/1000000)/Table13[[#This Row],[FLOAT(M)]]</f>
        <v>#DIV/0!</v>
      </c>
      <c r="AJ257" s="18" t="e">
        <f>(Table13[[#This Row],[PM Hi]]-Table13[[#This Row],[MKT Open Price]])/(Table13[[#This Row],[PM Hi]])</f>
        <v>#DIV/0!</v>
      </c>
      <c r="AK257" s="18" t="e">
        <f>IF(Table13[[#This Row],[PM LO]]&gt;Table13[[#This Row],[Prior day close]],(Table13[[#This Row],[PM Hi]]-Table13[[#This Row],[MKT Open Price]])/(Table13[[#This Row],[PM Hi]]-Table13[[#This Row],[Prior day close]]),(Table13[[#This Row],[PM Hi]]-Table13[[#This Row],[MKT Open Price]])/(Table13[[#This Row],[PM Hi]]-Table13[[#This Row],[PM LO]]))</f>
        <v>#DIV/0!</v>
      </c>
      <c r="AL257" s="48" t="e">
        <f>IF(Table13[[#This Row],[Prior day close]]&lt;Table13[[#This Row],[PM LO]],(J257-L257)/(J257-Table13[[#This Row],[Prior day close]]),(J257-L257)/(J257-Table13[[#This Row],[PM LO]]))</f>
        <v>#DIV/0!</v>
      </c>
      <c r="AM257" s="48">
        <f>Table13[[#This Row],[Spike % on open before drop]]+AN257</f>
        <v>0</v>
      </c>
      <c r="AN257" s="18"/>
      <c r="AO257" s="16"/>
      <c r="AP257" s="48" t="e">
        <f>IF(Table13[[#This Row],[Prior day close]]&lt;=Table13[[#This Row],[PM LO]],IF($K257&gt;=$G257,($K257-$L257)/($K257-Table13[[#This Row],[Prior day close]]),(IF($I257&lt;=$L257,($G257-$I257)/($G257-Table13[[#This Row],[Prior day close]]),(Table13[[#This Row],[PM Hi]]-Table13[[#This Row],[Lowest lo from open to squeeze]])/(Table13[[#This Row],[PM Hi]]-Table13[[#This Row],[Prior day close]])))),IF($K257&gt;=$G257,($K257-$L257)/($K257-Table13[[#This Row],[PM LO]]),(IF($I257&lt;=$L257,($G257-$I257)/($G257-Table13[[#This Row],[PM LO]]),(Table13[[#This Row],[PM Hi]]-Table13[[#This Row],[Lowest lo from open to squeeze]])/(Table13[[#This Row],[PM Hi]]-Table13[[#This Row],[PM LO]])))))</f>
        <v>#DIV/0!</v>
      </c>
      <c r="AQ257" s="18"/>
      <c r="AR257" s="17">
        <f>390+Table13[[#This Row],[Time until ideal entry point (mins) from open]]</f>
        <v>390</v>
      </c>
      <c r="AS257" s="17">
        <f>Table13[[#This Row],[Time until ideal entry + 390 (6:30)]]+Table13[[#This Row],[Duration of frontside (mins)]]</f>
        <v>390</v>
      </c>
    </row>
    <row r="258" spans="1:45" hidden="1" x14ac:dyDescent="0.25">
      <c r="A258" s="24" t="s">
        <v>338</v>
      </c>
      <c r="B258" s="47">
        <v>44225</v>
      </c>
      <c r="C258" s="47" t="s">
        <v>78</v>
      </c>
      <c r="D258" s="46" t="s">
        <v>339</v>
      </c>
      <c r="E258" s="12"/>
      <c r="F258" s="13"/>
      <c r="G258" s="12"/>
      <c r="H258" s="12"/>
      <c r="I258" s="12"/>
      <c r="J258" s="12"/>
      <c r="K258" s="12"/>
      <c r="L258" s="12"/>
      <c r="O258" s="13"/>
      <c r="Q258" s="37"/>
      <c r="R258" s="46"/>
      <c r="S258" s="37"/>
      <c r="T258" s="37"/>
      <c r="U258" s="37"/>
      <c r="V258" s="37"/>
      <c r="W258" s="38"/>
      <c r="X258" s="46"/>
      <c r="Y258" s="37"/>
      <c r="Z258" s="46"/>
      <c r="AA258" s="41">
        <f>Table13[[#This Row],[Time until ideal entry + 390 (6:30)]]/(1440)</f>
        <v>0.27083333333333331</v>
      </c>
      <c r="AB258" s="18"/>
      <c r="AC258" s="18" t="e">
        <f>IF(Table13[[#This Row],[HOD AFTER PM HI]]&gt;=Table13[[#This Row],[PM Hi]],((Table13[[#This Row],[HOD AFTER PM HI]]-Table13[[#This Row],[Prior day close]])/Table13[[#This Row],[Prior day close]]),Table13[[#This Row],[Prior Close to PM Hi %]])</f>
        <v>#DIV/0!</v>
      </c>
      <c r="AD258" s="42" t="e">
        <f>(Table13[[#This Row],[Price at hi of squeeze]]-Table13[[#This Row],[MKT Open Price]])/Table13[[#This Row],[MKT Open Price]]</f>
        <v>#DIV/0!</v>
      </c>
      <c r="AE258" s="18" t="e">
        <f>(Table13[[#This Row],[Price at hi of squeeze]]-Table13[[#This Row],[PM Hi]])/Table13[[#This Row],[PM Hi]]</f>
        <v>#DIV/0!</v>
      </c>
      <c r="AF258" s="18"/>
      <c r="AG258" s="20" t="e">
        <f>Table13[[#This Row],[PM VOL]]/1000000/Table13[[#This Row],[FLOAT(M)]]</f>
        <v>#DIV/0!</v>
      </c>
      <c r="AH258" s="23" t="e">
        <f>(Table13[[#This Row],[Volume]]/1000000)/Table13[[#This Row],[FLOAT(M)]]</f>
        <v>#DIV/0!</v>
      </c>
      <c r="AJ258" s="18" t="e">
        <f>(Table13[[#This Row],[PM Hi]]-Table13[[#This Row],[MKT Open Price]])/(Table13[[#This Row],[PM Hi]])</f>
        <v>#DIV/0!</v>
      </c>
      <c r="AK258" s="18" t="e">
        <f>IF(Table13[[#This Row],[PM LO]]&gt;Table13[[#This Row],[Prior day close]],(Table13[[#This Row],[PM Hi]]-Table13[[#This Row],[MKT Open Price]])/(Table13[[#This Row],[PM Hi]]-Table13[[#This Row],[Prior day close]]),(Table13[[#This Row],[PM Hi]]-Table13[[#This Row],[MKT Open Price]])/(Table13[[#This Row],[PM Hi]]-Table13[[#This Row],[PM LO]]))</f>
        <v>#DIV/0!</v>
      </c>
      <c r="AL258" s="48" t="e">
        <f>IF(Table13[[#This Row],[Prior day close]]&lt;Table13[[#This Row],[PM LO]],(J258-L258)/(J258-Table13[[#This Row],[Prior day close]]),(J258-L258)/(J258-Table13[[#This Row],[PM LO]]))</f>
        <v>#DIV/0!</v>
      </c>
      <c r="AM258" s="48">
        <f>Table13[[#This Row],[Spike % on open before drop]]+AN258</f>
        <v>0</v>
      </c>
      <c r="AN258" s="18"/>
      <c r="AO258" s="16"/>
      <c r="AP258" s="48" t="e">
        <f>IF(Table13[[#This Row],[Prior day close]]&lt;=Table13[[#This Row],[PM LO]],IF($K258&gt;=$G258,($K258-$L258)/($K258-Table13[[#This Row],[Prior day close]]),(IF($I258&lt;=$L258,($G258-$I258)/($G258-Table13[[#This Row],[Prior day close]]),(Table13[[#This Row],[PM Hi]]-Table13[[#This Row],[Lowest lo from open to squeeze]])/(Table13[[#This Row],[PM Hi]]-Table13[[#This Row],[Prior day close]])))),IF($K258&gt;=$G258,($K258-$L258)/($K258-Table13[[#This Row],[PM LO]]),(IF($I258&lt;=$L258,($G258-$I258)/($G258-Table13[[#This Row],[PM LO]]),(Table13[[#This Row],[PM Hi]]-Table13[[#This Row],[Lowest lo from open to squeeze]])/(Table13[[#This Row],[PM Hi]]-Table13[[#This Row],[PM LO]])))))</f>
        <v>#DIV/0!</v>
      </c>
      <c r="AQ258" s="18"/>
      <c r="AR258" s="17">
        <f>390+Table13[[#This Row],[Time until ideal entry point (mins) from open]]</f>
        <v>390</v>
      </c>
      <c r="AS258" s="17">
        <f>Table13[[#This Row],[Time until ideal entry + 390 (6:30)]]+Table13[[#This Row],[Duration of frontside (mins)]]</f>
        <v>390</v>
      </c>
    </row>
    <row r="259" spans="1:45" hidden="1" x14ac:dyDescent="0.25">
      <c r="A259" s="49"/>
      <c r="B259" s="47"/>
      <c r="C259" s="47"/>
      <c r="D259" s="46"/>
      <c r="E259" s="12"/>
      <c r="F259" s="13"/>
      <c r="G259" s="12"/>
      <c r="H259" s="12"/>
      <c r="I259" s="12"/>
      <c r="J259" s="12"/>
      <c r="K259" s="12"/>
      <c r="L259" s="12"/>
      <c r="O259" s="13"/>
      <c r="Q259" s="37"/>
      <c r="R259" s="46"/>
      <c r="S259" s="37"/>
      <c r="T259" s="37"/>
      <c r="U259" s="37"/>
      <c r="V259" s="37"/>
      <c r="W259" s="38"/>
      <c r="X259" s="46"/>
      <c r="Y259" s="37"/>
      <c r="Z259" s="46"/>
      <c r="AA259" s="41">
        <f>Table13[[#This Row],[Time until ideal entry + 390 (6:30)]]/(1440)</f>
        <v>0.27083333333333331</v>
      </c>
      <c r="AB259" s="18"/>
      <c r="AC259" s="18" t="e">
        <f>IF(Table13[[#This Row],[HOD AFTER PM HI]]&gt;=Table13[[#This Row],[PM Hi]],((Table13[[#This Row],[HOD AFTER PM HI]]-Table13[[#This Row],[Prior day close]])/Table13[[#This Row],[Prior day close]]),Table13[[#This Row],[Prior Close to PM Hi %]])</f>
        <v>#DIV/0!</v>
      </c>
      <c r="AD259" s="42" t="e">
        <f>(Table13[[#This Row],[Price at hi of squeeze]]-Table13[[#This Row],[MKT Open Price]])/Table13[[#This Row],[MKT Open Price]]</f>
        <v>#DIV/0!</v>
      </c>
      <c r="AE259" s="18" t="e">
        <f>(Table13[[#This Row],[Price at hi of squeeze]]-Table13[[#This Row],[PM Hi]])/Table13[[#This Row],[PM Hi]]</f>
        <v>#DIV/0!</v>
      </c>
      <c r="AF259" s="18"/>
      <c r="AG259" s="20" t="e">
        <f>Table13[[#This Row],[PM VOL]]/1000000/Table13[[#This Row],[FLOAT(M)]]</f>
        <v>#DIV/0!</v>
      </c>
      <c r="AH259" s="23" t="e">
        <f>(Table13[[#This Row],[Volume]]/1000000)/Table13[[#This Row],[FLOAT(M)]]</f>
        <v>#DIV/0!</v>
      </c>
      <c r="AJ259" s="18" t="e">
        <f>(Table13[[#This Row],[PM Hi]]-Table13[[#This Row],[MKT Open Price]])/(Table13[[#This Row],[PM Hi]])</f>
        <v>#DIV/0!</v>
      </c>
      <c r="AK259" s="18" t="e">
        <f>IF(Table13[[#This Row],[PM LO]]&gt;Table13[[#This Row],[Prior day close]],(Table13[[#This Row],[PM Hi]]-Table13[[#This Row],[MKT Open Price]])/(Table13[[#This Row],[PM Hi]]-Table13[[#This Row],[Prior day close]]),(Table13[[#This Row],[PM Hi]]-Table13[[#This Row],[MKT Open Price]])/(Table13[[#This Row],[PM Hi]]-Table13[[#This Row],[PM LO]]))</f>
        <v>#DIV/0!</v>
      </c>
      <c r="AL259" s="48" t="e">
        <f>IF(Table13[[#This Row],[Prior day close]]&lt;Table13[[#This Row],[PM LO]],(J259-L259)/(J259-Table13[[#This Row],[Prior day close]]),(J259-L259)/(J259-Table13[[#This Row],[PM LO]]))</f>
        <v>#DIV/0!</v>
      </c>
      <c r="AM259" s="48">
        <f>Table13[[#This Row],[Spike % on open before drop]]+AN259</f>
        <v>0</v>
      </c>
      <c r="AN259" s="18"/>
      <c r="AO259" s="16"/>
      <c r="AP259" s="48" t="e">
        <f>IF(Table13[[#This Row],[Prior day close]]&lt;=Table13[[#This Row],[PM LO]],IF($K259&gt;=$G259,($K259-$L259)/($K259-Table13[[#This Row],[Prior day close]]),(IF($I259&lt;=$L259,($G259-$I259)/($G259-Table13[[#This Row],[Prior day close]]),(Table13[[#This Row],[PM Hi]]-Table13[[#This Row],[Lowest lo from open to squeeze]])/(Table13[[#This Row],[PM Hi]]-Table13[[#This Row],[Prior day close]])))),IF($K259&gt;=$G259,($K259-$L259)/($K259-Table13[[#This Row],[PM LO]]),(IF($I259&lt;=$L259,($G259-$I259)/($G259-Table13[[#This Row],[PM LO]]),(Table13[[#This Row],[PM Hi]]-Table13[[#This Row],[Lowest lo from open to squeeze]])/(Table13[[#This Row],[PM Hi]]-Table13[[#This Row],[PM LO]])))))</f>
        <v>#DIV/0!</v>
      </c>
      <c r="AQ259" s="18"/>
      <c r="AR259" s="17">
        <f>390+Table13[[#This Row],[Time until ideal entry point (mins) from open]]</f>
        <v>390</v>
      </c>
      <c r="AS259" s="17">
        <f>Table13[[#This Row],[Time until ideal entry + 390 (6:30)]]+Table13[[#This Row],[Duration of frontside (mins)]]</f>
        <v>390</v>
      </c>
    </row>
    <row r="260" spans="1:45" hidden="1" x14ac:dyDescent="0.25">
      <c r="A260" s="49"/>
      <c r="B260" s="47"/>
      <c r="C260" s="47"/>
      <c r="D260" s="46"/>
      <c r="E260" s="12"/>
      <c r="F260" s="13"/>
      <c r="G260" s="12"/>
      <c r="H260" s="12"/>
      <c r="I260" s="12"/>
      <c r="J260" s="12"/>
      <c r="K260" s="12"/>
      <c r="L260" s="12"/>
      <c r="O260" s="13"/>
      <c r="Q260" s="37"/>
      <c r="R260" s="46"/>
      <c r="S260" s="37"/>
      <c r="T260" s="37"/>
      <c r="U260" s="37"/>
      <c r="V260" s="37"/>
      <c r="W260" s="38"/>
      <c r="X260" s="46"/>
      <c r="Y260" s="37"/>
      <c r="Z260" s="46"/>
      <c r="AA260" s="41">
        <f>Table13[[#This Row],[Time until ideal entry + 390 (6:30)]]/(1440)</f>
        <v>0.27083333333333331</v>
      </c>
      <c r="AB260" s="18"/>
      <c r="AC260" s="18" t="e">
        <f>IF(Table13[[#This Row],[HOD AFTER PM HI]]&gt;=Table13[[#This Row],[PM Hi]],((Table13[[#This Row],[HOD AFTER PM HI]]-Table13[[#This Row],[Prior day close]])/Table13[[#This Row],[Prior day close]]),Table13[[#This Row],[Prior Close to PM Hi %]])</f>
        <v>#DIV/0!</v>
      </c>
      <c r="AD260" s="42" t="e">
        <f>(Table13[[#This Row],[Price at hi of squeeze]]-Table13[[#This Row],[MKT Open Price]])/Table13[[#This Row],[MKT Open Price]]</f>
        <v>#DIV/0!</v>
      </c>
      <c r="AE260" s="18" t="e">
        <f>(Table13[[#This Row],[Price at hi of squeeze]]-Table13[[#This Row],[PM Hi]])/Table13[[#This Row],[PM Hi]]</f>
        <v>#DIV/0!</v>
      </c>
      <c r="AF260" s="18"/>
      <c r="AG260" s="20" t="e">
        <f>Table13[[#This Row],[PM VOL]]/1000000/Table13[[#This Row],[FLOAT(M)]]</f>
        <v>#DIV/0!</v>
      </c>
      <c r="AH260" s="23" t="e">
        <f>(Table13[[#This Row],[Volume]]/1000000)/Table13[[#This Row],[FLOAT(M)]]</f>
        <v>#DIV/0!</v>
      </c>
      <c r="AJ260" s="18" t="e">
        <f>(Table13[[#This Row],[PM Hi]]-Table13[[#This Row],[MKT Open Price]])/(Table13[[#This Row],[PM Hi]])</f>
        <v>#DIV/0!</v>
      </c>
      <c r="AK260" s="18" t="e">
        <f>IF(Table13[[#This Row],[PM LO]]&gt;Table13[[#This Row],[Prior day close]],(Table13[[#This Row],[PM Hi]]-Table13[[#This Row],[MKT Open Price]])/(Table13[[#This Row],[PM Hi]]-Table13[[#This Row],[Prior day close]]),(Table13[[#This Row],[PM Hi]]-Table13[[#This Row],[MKT Open Price]])/(Table13[[#This Row],[PM Hi]]-Table13[[#This Row],[PM LO]]))</f>
        <v>#DIV/0!</v>
      </c>
      <c r="AL260" s="48" t="e">
        <f>IF(Table13[[#This Row],[Prior day close]]&lt;Table13[[#This Row],[PM LO]],(J260-L260)/(J260-Table13[[#This Row],[Prior day close]]),(J260-L260)/(J260-Table13[[#This Row],[PM LO]]))</f>
        <v>#DIV/0!</v>
      </c>
      <c r="AM260" s="48">
        <f>Table13[[#This Row],[Spike % on open before drop]]+AN260</f>
        <v>0</v>
      </c>
      <c r="AN260" s="18"/>
      <c r="AO260" s="16"/>
      <c r="AP260" s="48" t="e">
        <f>IF(Table13[[#This Row],[Prior day close]]&lt;=Table13[[#This Row],[PM LO]],IF($K260&gt;=$G260,($K260-$L260)/($K260-Table13[[#This Row],[Prior day close]]),(IF($I260&lt;=$L260,($G260-$I260)/($G260-Table13[[#This Row],[Prior day close]]),(Table13[[#This Row],[PM Hi]]-Table13[[#This Row],[Lowest lo from open to squeeze]])/(Table13[[#This Row],[PM Hi]]-Table13[[#This Row],[Prior day close]])))),IF($K260&gt;=$G260,($K260-$L260)/($K260-Table13[[#This Row],[PM LO]]),(IF($I260&lt;=$L260,($G260-$I260)/($G260-Table13[[#This Row],[PM LO]]),(Table13[[#This Row],[PM Hi]]-Table13[[#This Row],[Lowest lo from open to squeeze]])/(Table13[[#This Row],[PM Hi]]-Table13[[#This Row],[PM LO]])))))</f>
        <v>#DIV/0!</v>
      </c>
      <c r="AQ260" s="18"/>
      <c r="AR260" s="17">
        <f>390+Table13[[#This Row],[Time until ideal entry point (mins) from open]]</f>
        <v>390</v>
      </c>
      <c r="AS260" s="17">
        <f>Table13[[#This Row],[Time until ideal entry + 390 (6:30)]]+Table13[[#This Row],[Duration of frontside (mins)]]</f>
        <v>390</v>
      </c>
    </row>
    <row r="261" spans="1:45" hidden="1" x14ac:dyDescent="0.25">
      <c r="A261" s="49"/>
      <c r="B261" s="47"/>
      <c r="C261" s="47"/>
      <c r="D261" s="46"/>
      <c r="E261" s="12"/>
      <c r="F261" s="13"/>
      <c r="G261" s="12"/>
      <c r="H261" s="12"/>
      <c r="I261" s="12"/>
      <c r="J261" s="12"/>
      <c r="K261" s="12"/>
      <c r="L261" s="12"/>
      <c r="O261" s="13"/>
      <c r="Q261" s="37"/>
      <c r="R261" s="46"/>
      <c r="S261" s="37"/>
      <c r="T261" s="37"/>
      <c r="U261" s="37"/>
      <c r="V261" s="37"/>
      <c r="W261" s="38"/>
      <c r="X261" s="46"/>
      <c r="Y261" s="37"/>
      <c r="Z261" s="46"/>
      <c r="AA261" s="41">
        <f>Table13[[#This Row],[Time until ideal entry + 390 (6:30)]]/(1440)</f>
        <v>0.27083333333333331</v>
      </c>
      <c r="AB261" s="18"/>
      <c r="AC261" s="18" t="e">
        <f>IF(Table13[[#This Row],[HOD AFTER PM HI]]&gt;=Table13[[#This Row],[PM Hi]],((Table13[[#This Row],[HOD AFTER PM HI]]-Table13[[#This Row],[Prior day close]])/Table13[[#This Row],[Prior day close]]),Table13[[#This Row],[Prior Close to PM Hi %]])</f>
        <v>#DIV/0!</v>
      </c>
      <c r="AD261" s="42" t="e">
        <f>(Table13[[#This Row],[Price at hi of squeeze]]-Table13[[#This Row],[MKT Open Price]])/Table13[[#This Row],[MKT Open Price]]</f>
        <v>#DIV/0!</v>
      </c>
      <c r="AE261" s="18" t="e">
        <f>(Table13[[#This Row],[Price at hi of squeeze]]-Table13[[#This Row],[PM Hi]])/Table13[[#This Row],[PM Hi]]</f>
        <v>#DIV/0!</v>
      </c>
      <c r="AF261" s="18"/>
      <c r="AG261" s="20" t="e">
        <f>Table13[[#This Row],[PM VOL]]/1000000/Table13[[#This Row],[FLOAT(M)]]</f>
        <v>#DIV/0!</v>
      </c>
      <c r="AH261" s="23" t="e">
        <f>(Table13[[#This Row],[Volume]]/1000000)/Table13[[#This Row],[FLOAT(M)]]</f>
        <v>#DIV/0!</v>
      </c>
      <c r="AJ261" s="18" t="e">
        <f>(Table13[[#This Row],[PM Hi]]-Table13[[#This Row],[MKT Open Price]])/(Table13[[#This Row],[PM Hi]])</f>
        <v>#DIV/0!</v>
      </c>
      <c r="AK261" s="18" t="e">
        <f>IF(Table13[[#This Row],[PM LO]]&gt;Table13[[#This Row],[Prior day close]],(Table13[[#This Row],[PM Hi]]-Table13[[#This Row],[MKT Open Price]])/(Table13[[#This Row],[PM Hi]]-Table13[[#This Row],[Prior day close]]),(Table13[[#This Row],[PM Hi]]-Table13[[#This Row],[MKT Open Price]])/(Table13[[#This Row],[PM Hi]]-Table13[[#This Row],[PM LO]]))</f>
        <v>#DIV/0!</v>
      </c>
      <c r="AL261" s="48" t="e">
        <f>IF(Table13[[#This Row],[Prior day close]]&lt;Table13[[#This Row],[PM LO]],(J261-L261)/(J261-Table13[[#This Row],[Prior day close]]),(J261-L261)/(J261-Table13[[#This Row],[PM LO]]))</f>
        <v>#DIV/0!</v>
      </c>
      <c r="AM261" s="48">
        <f>Table13[[#This Row],[Spike % on open before drop]]+AN261</f>
        <v>0</v>
      </c>
      <c r="AN261" s="18"/>
      <c r="AO261" s="16"/>
      <c r="AP261" s="48" t="e">
        <f>IF(Table13[[#This Row],[Prior day close]]&lt;=Table13[[#This Row],[PM LO]],IF($K261&gt;=$G261,($K261-$L261)/($K261-Table13[[#This Row],[Prior day close]]),(IF($I261&lt;=$L261,($G261-$I261)/($G261-Table13[[#This Row],[Prior day close]]),(Table13[[#This Row],[PM Hi]]-Table13[[#This Row],[Lowest lo from open to squeeze]])/(Table13[[#This Row],[PM Hi]]-Table13[[#This Row],[Prior day close]])))),IF($K261&gt;=$G261,($K261-$L261)/($K261-Table13[[#This Row],[PM LO]]),(IF($I261&lt;=$L261,($G261-$I261)/($G261-Table13[[#This Row],[PM LO]]),(Table13[[#This Row],[PM Hi]]-Table13[[#This Row],[Lowest lo from open to squeeze]])/(Table13[[#This Row],[PM Hi]]-Table13[[#This Row],[PM LO]])))))</f>
        <v>#DIV/0!</v>
      </c>
      <c r="AQ261" s="18"/>
      <c r="AR261" s="17">
        <f>390+Table13[[#This Row],[Time until ideal entry point (mins) from open]]</f>
        <v>390</v>
      </c>
      <c r="AS261" s="17">
        <f>Table13[[#This Row],[Time until ideal entry + 390 (6:30)]]+Table13[[#This Row],[Duration of frontside (mins)]]</f>
        <v>390</v>
      </c>
    </row>
    <row r="262" spans="1:45" hidden="1" x14ac:dyDescent="0.25">
      <c r="A262" s="49"/>
      <c r="B262" s="47"/>
      <c r="C262" s="47"/>
      <c r="D262" s="46"/>
      <c r="E262" s="12"/>
      <c r="F262" s="13"/>
      <c r="G262" s="12"/>
      <c r="H262" s="12"/>
      <c r="I262" s="12"/>
      <c r="J262" s="12"/>
      <c r="K262" s="12"/>
      <c r="L262" s="12"/>
      <c r="O262" s="13"/>
      <c r="Q262" s="37"/>
      <c r="R262" s="46"/>
      <c r="S262" s="37"/>
      <c r="T262" s="37"/>
      <c r="U262" s="37"/>
      <c r="V262" s="37"/>
      <c r="W262" s="38"/>
      <c r="X262" s="46"/>
      <c r="Y262" s="37"/>
      <c r="Z262" s="46"/>
      <c r="AA262" s="41">
        <f>Table13[[#This Row],[Time until ideal entry + 390 (6:30)]]/(1440)</f>
        <v>0.27083333333333331</v>
      </c>
      <c r="AB262" s="18"/>
      <c r="AC262" s="18" t="e">
        <f>IF(Table13[[#This Row],[HOD AFTER PM HI]]&gt;=Table13[[#This Row],[PM Hi]],((Table13[[#This Row],[HOD AFTER PM HI]]-Table13[[#This Row],[Prior day close]])/Table13[[#This Row],[Prior day close]]),Table13[[#This Row],[Prior Close to PM Hi %]])</f>
        <v>#DIV/0!</v>
      </c>
      <c r="AD262" s="42" t="e">
        <f>(Table13[[#This Row],[Price at hi of squeeze]]-Table13[[#This Row],[MKT Open Price]])/Table13[[#This Row],[MKT Open Price]]</f>
        <v>#DIV/0!</v>
      </c>
      <c r="AE262" s="18" t="e">
        <f>(Table13[[#This Row],[Price at hi of squeeze]]-Table13[[#This Row],[PM Hi]])/Table13[[#This Row],[PM Hi]]</f>
        <v>#DIV/0!</v>
      </c>
      <c r="AF262" s="18"/>
      <c r="AG262" s="20" t="e">
        <f>Table13[[#This Row],[PM VOL]]/1000000/Table13[[#This Row],[FLOAT(M)]]</f>
        <v>#DIV/0!</v>
      </c>
      <c r="AH262" s="23" t="e">
        <f>(Table13[[#This Row],[Volume]]/1000000)/Table13[[#This Row],[FLOAT(M)]]</f>
        <v>#DIV/0!</v>
      </c>
      <c r="AJ262" s="18" t="e">
        <f>(Table13[[#This Row],[PM Hi]]-Table13[[#This Row],[MKT Open Price]])/(Table13[[#This Row],[PM Hi]])</f>
        <v>#DIV/0!</v>
      </c>
      <c r="AK262" s="18" t="e">
        <f>IF(Table13[[#This Row],[PM LO]]&gt;Table13[[#This Row],[Prior day close]],(Table13[[#This Row],[PM Hi]]-Table13[[#This Row],[MKT Open Price]])/(Table13[[#This Row],[PM Hi]]-Table13[[#This Row],[Prior day close]]),(Table13[[#This Row],[PM Hi]]-Table13[[#This Row],[MKT Open Price]])/(Table13[[#This Row],[PM Hi]]-Table13[[#This Row],[PM LO]]))</f>
        <v>#DIV/0!</v>
      </c>
      <c r="AL262" s="48" t="e">
        <f>IF(Table13[[#This Row],[Prior day close]]&lt;Table13[[#This Row],[PM LO]],(J262-L262)/(J262-Table13[[#This Row],[Prior day close]]),(J262-L262)/(J262-Table13[[#This Row],[PM LO]]))</f>
        <v>#DIV/0!</v>
      </c>
      <c r="AM262" s="48">
        <f>Table13[[#This Row],[Spike % on open before drop]]+AN262</f>
        <v>0</v>
      </c>
      <c r="AN262" s="18"/>
      <c r="AO262" s="16"/>
      <c r="AP262" s="48" t="e">
        <f>IF(Table13[[#This Row],[Prior day close]]&lt;=Table13[[#This Row],[PM LO]],IF($K262&gt;=$G262,($K262-$L262)/($K262-Table13[[#This Row],[Prior day close]]),(IF($I262&lt;=$L262,($G262-$I262)/($G262-Table13[[#This Row],[Prior day close]]),(Table13[[#This Row],[PM Hi]]-Table13[[#This Row],[Lowest lo from open to squeeze]])/(Table13[[#This Row],[PM Hi]]-Table13[[#This Row],[Prior day close]])))),IF($K262&gt;=$G262,($K262-$L262)/($K262-Table13[[#This Row],[PM LO]]),(IF($I262&lt;=$L262,($G262-$I262)/($G262-Table13[[#This Row],[PM LO]]),(Table13[[#This Row],[PM Hi]]-Table13[[#This Row],[Lowest lo from open to squeeze]])/(Table13[[#This Row],[PM Hi]]-Table13[[#This Row],[PM LO]])))))</f>
        <v>#DIV/0!</v>
      </c>
      <c r="AQ262" s="18"/>
      <c r="AR262" s="17">
        <f>390+Table13[[#This Row],[Time until ideal entry point (mins) from open]]</f>
        <v>390</v>
      </c>
      <c r="AS262" s="17">
        <f>Table13[[#This Row],[Time until ideal entry + 390 (6:30)]]+Table13[[#This Row],[Duration of frontside (mins)]]</f>
        <v>390</v>
      </c>
    </row>
  </sheetData>
  <conditionalFormatting sqref="AF2:AF105">
    <cfRule type="cellIs" dxfId="25" priority="57" operator="between">
      <formula>0.2</formula>
      <formula>0.5</formula>
    </cfRule>
    <cfRule type="cellIs" dxfId="24" priority="69" operator="greaterThan">
      <formula>0.5</formula>
    </cfRule>
  </conditionalFormatting>
  <conditionalFormatting sqref="T85:T88 T91:T95 T2:T81 S172:S1048576">
    <cfRule type="cellIs" dxfId="23" priority="68" operator="greaterThan">
      <formula>10000000</formula>
    </cfRule>
  </conditionalFormatting>
  <conditionalFormatting sqref="Q2:Q105">
    <cfRule type="cellIs" dxfId="22" priority="64" operator="between">
      <formula>15</formula>
      <formula>100</formula>
    </cfRule>
    <cfRule type="cellIs" dxfId="21" priority="65" operator="lessThan">
      <formula>15</formula>
    </cfRule>
  </conditionalFormatting>
  <conditionalFormatting sqref="Q2:Q105 P172:P1048576">
    <cfRule type="cellIs" dxfId="20" priority="63" operator="greaterThan">
      <formula>100</formula>
    </cfRule>
  </conditionalFormatting>
  <conditionalFormatting sqref="AN2:AN262">
    <cfRule type="cellIs" dxfId="19" priority="46" operator="greaterThan">
      <formula>0.15</formula>
    </cfRule>
  </conditionalFormatting>
  <conditionalFormatting sqref="T82:T83">
    <cfRule type="cellIs" dxfId="18" priority="40" operator="greaterThan">
      <formula>10000000</formula>
    </cfRule>
  </conditionalFormatting>
  <conditionalFormatting sqref="T84">
    <cfRule type="cellIs" dxfId="17" priority="34" operator="greaterThan">
      <formula>10000000</formula>
    </cfRule>
  </conditionalFormatting>
  <conditionalFormatting sqref="T89">
    <cfRule type="cellIs" dxfId="16" priority="25" operator="greaterThan">
      <formula>10000000</formula>
    </cfRule>
  </conditionalFormatting>
  <conditionalFormatting sqref="T90">
    <cfRule type="cellIs" dxfId="15" priority="9" operator="greaterThan">
      <formula>10000000</formula>
    </cfRule>
  </conditionalFormatting>
  <conditionalFormatting sqref="AC172:AD1048576">
    <cfRule type="colorScale" priority="4135">
      <colorScale>
        <cfvo type="min"/>
        <cfvo type="percentile" val="50"/>
        <cfvo type="percent" val="100"/>
        <color rgb="FFFF0000"/>
        <color rgb="FFFFEB84"/>
        <color theme="9"/>
      </colorScale>
    </cfRule>
    <cfRule type="cellIs" dxfId="14" priority="4136" operator="greaterThan">
      <formula>1</formula>
    </cfRule>
  </conditionalFormatting>
  <hyperlinks>
    <hyperlink ref="A69" r:id="rId1" xr:uid="{C89814EC-4BBB-42E3-BD7A-3637EA2B97DB}"/>
    <hyperlink ref="A70" r:id="rId2" xr:uid="{6BAED9FE-6FA6-4EDC-8F16-A868BBDFE3EA}"/>
    <hyperlink ref="A7" r:id="rId3" xr:uid="{6350E0FB-ABCC-4F0A-AD36-F92E8C5A8250}"/>
    <hyperlink ref="A31" r:id="rId4" xr:uid="{C1B45D7F-28D2-4C8E-AA56-DE7438DE4E8D}"/>
    <hyperlink ref="A36" r:id="rId5" xr:uid="{575F9066-0142-44B0-8B39-9E8B5A352C3A}"/>
    <hyperlink ref="A35" r:id="rId6" xr:uid="{C2B68415-166C-4054-AFBA-E6958BAF42BA}"/>
    <hyperlink ref="A34" r:id="rId7" xr:uid="{4BABFDC4-8E2C-4CA8-93F4-15372614034E}"/>
    <hyperlink ref="A30" r:id="rId8" xr:uid="{12BA8D82-336A-44D5-A92E-B801F7D02EB1}"/>
    <hyperlink ref="A56" r:id="rId9" xr:uid="{3FF4EF58-0C93-4380-B904-340136E9548D}"/>
    <hyperlink ref="A46" r:id="rId10" xr:uid="{A6A1532C-91EF-48B4-A8F7-5BD9F6D032FE}"/>
    <hyperlink ref="A44" r:id="rId11" xr:uid="{436F7A28-BB99-42DB-98FB-261E9C2A6981}"/>
    <hyperlink ref="A37" r:id="rId12" xr:uid="{EABCB941-BC3E-4B5D-A50E-19B7E95E2A9B}"/>
    <hyperlink ref="A68" r:id="rId13" xr:uid="{5A4F9AF8-4E0F-4E28-A9A5-28C0A1F9D96F}"/>
    <hyperlink ref="A67" r:id="rId14" xr:uid="{7A7B44A5-B5F8-4EC0-A45A-E0F4ACBD70BC}"/>
    <hyperlink ref="A53" r:id="rId15" xr:uid="{D632BD53-3319-4CE7-9581-D39567BB978D}"/>
    <hyperlink ref="A41" r:id="rId16" xr:uid="{C477447E-216A-46F6-8624-6813FB3153A4}"/>
    <hyperlink ref="A66" r:id="rId17" xr:uid="{193896F8-042C-4B83-AE43-7F1A0112DFD6}"/>
    <hyperlink ref="A59" r:id="rId18" xr:uid="{02FED2C7-318C-4328-9BB2-10A67A4753B4}"/>
    <hyperlink ref="B58" r:id="rId19" display="http://tos.mx/cu8M3kQ" xr:uid="{218E4676-D158-4745-A5A3-BC1BB10BE39B}"/>
    <hyperlink ref="A58" r:id="rId20" xr:uid="{2A7DF773-35C5-4B8C-973A-7BA48792DF36}"/>
    <hyperlink ref="A64" r:id="rId21" display="KODK" xr:uid="{21F21B76-47ED-4B42-B510-87B3BCBF7A16}"/>
    <hyperlink ref="A65" r:id="rId22" xr:uid="{D2E1B23D-BBE3-445E-A19B-0AB0D6C89617}"/>
    <hyperlink ref="A61" r:id="rId23" xr:uid="{5ECC44FB-8287-4E9F-AB3D-F24666A13A28}"/>
    <hyperlink ref="A62" r:id="rId24" xr:uid="{B40FC3F8-53FF-4F54-9C0A-77E33989C832}"/>
    <hyperlink ref="A60" r:id="rId25" xr:uid="{1F994A61-1EC5-4095-8842-620495544DF5}"/>
    <hyperlink ref="A55" r:id="rId26" xr:uid="{F3B2EEAD-E9A6-4E4A-9547-93392FE645C1}"/>
    <hyperlink ref="A54" r:id="rId27" xr:uid="{EB5D05EA-3E0C-4DCB-AFD7-027F82A88279}"/>
    <hyperlink ref="A52" r:id="rId28" xr:uid="{8F356276-E946-44A8-8D5D-717C7E598DAF}"/>
    <hyperlink ref="A51" r:id="rId29" xr:uid="{1D8D5D91-3BA8-44FC-A55F-173B343F014E}"/>
    <hyperlink ref="A50" r:id="rId30" xr:uid="{A666CF05-1BB7-49F6-8AF1-5085CD1F85F3}"/>
    <hyperlink ref="A49" r:id="rId31" xr:uid="{12490D7A-A112-444E-9D4E-ABB8816EB796}"/>
    <hyperlink ref="A48" r:id="rId32" xr:uid="{F069EA36-F001-4920-922E-11516E403C60}"/>
    <hyperlink ref="A47" r:id="rId33" xr:uid="{EBD825AE-C693-431B-8B07-ED2799E0DEB0}"/>
    <hyperlink ref="A45" r:id="rId34" xr:uid="{85CB0C11-3754-4755-9C05-B5940D13DA64}"/>
    <hyperlink ref="A43" r:id="rId35" xr:uid="{D5A6D318-AE6F-43DA-A01B-186BE5CE0098}"/>
    <hyperlink ref="A42" r:id="rId36" xr:uid="{06E6ECD4-ED7B-42B5-83A8-B94E950E163C}"/>
    <hyperlink ref="A40" r:id="rId37" xr:uid="{6AB68782-D08B-4DEB-9112-4667AEE079C3}"/>
    <hyperlink ref="A38" r:id="rId38" xr:uid="{D8719E89-629F-4FB6-A613-54B2D530071D}"/>
    <hyperlink ref="A39" r:id="rId39" xr:uid="{5C004849-B550-4ACD-A24D-5A60520D2F44}"/>
    <hyperlink ref="A32" r:id="rId40" xr:uid="{25F999DA-DF35-43A8-9626-D9D06D2AB85A}"/>
    <hyperlink ref="A29" r:id="rId41" xr:uid="{F86519F4-AD5E-4872-B260-EB76A20AE5CF}"/>
    <hyperlink ref="A28" r:id="rId42" xr:uid="{F42B7385-4781-48AB-BDC7-C0579A9F9A0E}"/>
    <hyperlink ref="A33" r:id="rId43" xr:uid="{6FCF5F7D-AFA9-45EB-B1B0-A90D71373710}"/>
    <hyperlink ref="A17" r:id="rId44" xr:uid="{2B426565-CA3E-4D2F-8B51-457E3E14A866}"/>
    <hyperlink ref="A22" r:id="rId45" xr:uid="{67A9A300-9EFA-4D1D-8A5B-7EC7715AD91C}"/>
    <hyperlink ref="A74" r:id="rId46" xr:uid="{80993D0F-5FC7-4890-84A5-96F6C20F30A0}"/>
    <hyperlink ref="A18" r:id="rId47" xr:uid="{343FCF14-5B9E-479B-8F33-4E2D784FC212}"/>
    <hyperlink ref="A19" r:id="rId48" xr:uid="{A57259F9-4F29-41DC-97EE-441271B5DDEB}"/>
    <hyperlink ref="A20" r:id="rId49" xr:uid="{7A80AC33-4118-45E6-A7AF-ED195D01CB5C}"/>
    <hyperlink ref="A21" r:id="rId50" xr:uid="{89A62ACB-5B63-4496-9ABE-6507DBAEFE25}"/>
    <hyperlink ref="A23" r:id="rId51" xr:uid="{E37D3123-76D9-4EC7-A56C-115544749910}"/>
    <hyperlink ref="A24" r:id="rId52" xr:uid="{29A819E3-7E01-4BB6-8AEE-4F60FE61ACAD}"/>
    <hyperlink ref="A25" r:id="rId53" xr:uid="{B984C95F-5A08-4A4D-8ED6-18F52E667762}"/>
    <hyperlink ref="A26" r:id="rId54" xr:uid="{30320AC5-8705-4F6C-BECF-6DFEF04257D5}"/>
    <hyperlink ref="A27" r:id="rId55" xr:uid="{269E514B-2167-4367-97E5-06488640934B}"/>
    <hyperlink ref="A63" r:id="rId56" xr:uid="{F0FD7DE8-E014-4539-9A2C-D1BF2473B364}"/>
    <hyperlink ref="A57" r:id="rId57" xr:uid="{DA1A69F7-8DDE-47D7-A6B0-FC2B428FC8F2}"/>
    <hyperlink ref="B62" r:id="rId58" display="http://tos.mx/ALGx9Y4" xr:uid="{623B96BB-8EF4-42CD-93E9-D9FA3E9471BA}"/>
    <hyperlink ref="B50" r:id="rId59" display="http://tos.mx/r65xX7P" xr:uid="{85BE0BBB-1AEF-4FA6-9C52-37E5D936A2FB}"/>
    <hyperlink ref="A5" r:id="rId60" xr:uid="{4A197EB6-8277-4DC9-8014-B3B703A8A7A4}"/>
    <hyperlink ref="B60" r:id="rId61" display="http://tos.mx/kdyXH11" xr:uid="{9E0870E6-E4DE-4832-BD05-18D895D76D03}"/>
    <hyperlink ref="A8" r:id="rId62" xr:uid="{668B5397-0994-490A-B7F4-14F82FF7EF31}"/>
    <hyperlink ref="B41" r:id="rId63" display="http://tos.mx/tEx3xJB" xr:uid="{43D06DEF-F2DC-4A9B-AEF9-6C1914215633}"/>
    <hyperlink ref="A14" r:id="rId64" xr:uid="{34AE98DF-3F7D-4383-B485-93E88830136F}"/>
    <hyperlink ref="A9" r:id="rId65" xr:uid="{D5D955A7-BBD3-4D5F-AD18-786236DE199D}"/>
    <hyperlink ref="B34" r:id="rId66" display="http://tos.mx/La9CxYF" xr:uid="{D9C1979C-9D3C-44F4-9EDE-7F124A5C70E1}"/>
    <hyperlink ref="B39" r:id="rId67" display="http://tos.mx/3F551mk" xr:uid="{0961F38E-F95F-4F33-97E0-0BDE7C73D073}"/>
    <hyperlink ref="A16" r:id="rId68" xr:uid="{E7793DFD-7A5F-47D8-9223-620CAA54509A}"/>
    <hyperlink ref="B45" r:id="rId69" display="http://tos.mx/5zGutQc" xr:uid="{09A98B42-28D5-4EE3-A914-DE6FF8676E90}"/>
    <hyperlink ref="B66" r:id="rId70" display="http://tos.mx/l0eNXAA" xr:uid="{2259B6C2-CC12-4437-9730-304040A22290}"/>
    <hyperlink ref="A71" r:id="rId71" xr:uid="{83D2BF6C-A9A4-4A9C-9D7D-39DF1AD1E173}"/>
    <hyperlink ref="A72" r:id="rId72" xr:uid="{CD932BE2-02E0-447F-9A1A-AC9E6B3F0711}"/>
    <hyperlink ref="A73" r:id="rId73" xr:uid="{14F20E91-44B6-48B4-9B35-9DC6467394F4}"/>
    <hyperlink ref="B51" r:id="rId74" display="http://tos.mx/9YEwUT9" xr:uid="{6D1EBA38-6B7C-41D1-8A46-D748733CF725}"/>
    <hyperlink ref="A10" r:id="rId75" xr:uid="{9B47BFEC-291E-40E4-B072-27ADE870FDA4}"/>
    <hyperlink ref="A6" r:id="rId76" xr:uid="{79BD26B5-9AB7-4199-B4FE-4011252BB345}"/>
    <hyperlink ref="A11" r:id="rId77" xr:uid="{1E71E8F7-B32F-4974-BE8B-A9318AABB90E}"/>
    <hyperlink ref="B74" r:id="rId78" display="http://tos.mx/bPf3LIq" xr:uid="{E87D8425-091E-40F1-AA94-8EB38C51D57D}"/>
    <hyperlink ref="A76" r:id="rId79" xr:uid="{C2D0EC5F-E1EB-41BC-86A9-EB68832AE622}"/>
    <hyperlink ref="A75" r:id="rId80" xr:uid="{8A5B3183-2FA3-42CC-806D-6659B329DE81}"/>
    <hyperlink ref="A78" r:id="rId81" xr:uid="{9E69AB86-6529-4847-9893-E87505794194}"/>
    <hyperlink ref="A77" r:id="rId82" xr:uid="{6F34BFA0-DAA8-41CB-81BB-7E2644599F7D}"/>
    <hyperlink ref="A79" r:id="rId83" xr:uid="{E402632F-D01B-463C-9D0F-C50B3BE1514A}"/>
    <hyperlink ref="A80" r:id="rId84" xr:uid="{8C843A01-1AAB-4BE8-8F2C-2F781D44BE65}"/>
    <hyperlink ref="A81" r:id="rId85" xr:uid="{D3E5811F-B8CC-4763-BF3E-C7F073D1B860}"/>
    <hyperlink ref="A82" r:id="rId86" xr:uid="{F27C29F1-47A2-47B1-8FE3-672018B76086}"/>
    <hyperlink ref="A83" r:id="rId87" xr:uid="{759D8D29-9431-421F-8238-0039C00D8CF5}"/>
    <hyperlink ref="A84" r:id="rId88" xr:uid="{41213E16-265F-4F8D-945D-FBEE6B9D3DBC}"/>
    <hyperlink ref="A85" r:id="rId89" xr:uid="{D32E8926-9471-43A9-8322-3C8AF734666E}"/>
    <hyperlink ref="A86" r:id="rId90" xr:uid="{B833A52D-FC84-4373-AC5E-186E81F6D2AB}"/>
    <hyperlink ref="A87" r:id="rId91" xr:uid="{445C511B-9D4D-474A-8E8A-AC800187D691}"/>
    <hyperlink ref="A88" r:id="rId92" xr:uid="{F429EB67-FAD8-41E6-A64B-5674653D098E}"/>
    <hyperlink ref="A89" r:id="rId93" xr:uid="{3DFCF8B8-F0A7-4716-A8FB-B5686D32F498}"/>
    <hyperlink ref="A90" r:id="rId94" xr:uid="{0ADECB2C-9E30-423F-8C90-64C7145C9EFB}"/>
    <hyperlink ref="A91" r:id="rId95" xr:uid="{77505A48-D3FF-4544-87FC-0C9CE0A70EAB}"/>
    <hyperlink ref="A92" r:id="rId96" xr:uid="{562F7AAF-5FCE-49FA-B3FB-002594B3A691}"/>
    <hyperlink ref="A93" r:id="rId97" xr:uid="{7B518683-F57C-49AB-8F3C-2CDF8FA1DCA5}"/>
    <hyperlink ref="A94" r:id="rId98" xr:uid="{A8A84D17-DEAF-46AC-9368-84F46426B7A9}"/>
    <hyperlink ref="A95" r:id="rId99" xr:uid="{66CE65AA-0976-4A05-96EB-A48B24929B5B}"/>
    <hyperlink ref="B95" r:id="rId100" display="..\..\..\Broken Down Trading Charts\PPSI_12_4_2020_MARKEDUP.png" xr:uid="{23286A5E-1D00-4EE2-911D-445ABCA408E8}"/>
    <hyperlink ref="B94" r:id="rId101" display="..\..\..\Broken Down Trading Charts\LIZI_12_3_2020_MarkedUp.png" xr:uid="{A4744E7E-85C5-4FBD-AC13-F3FFD55A690D}"/>
    <hyperlink ref="A96" r:id="rId102" xr:uid="{338B34D5-4E56-44A9-AEA4-2C7120AF68CA}"/>
    <hyperlink ref="A97" r:id="rId103" xr:uid="{83CB6E6C-AE76-473A-BDED-D94C2570177A}"/>
    <hyperlink ref="A98" r:id="rId104" xr:uid="{ACC40B63-4159-422D-A0D4-6E621FB4C6C9}"/>
    <hyperlink ref="A99" r:id="rId105" xr:uid="{C00EEFF2-CDDB-497F-B794-445BBB409F9C}"/>
    <hyperlink ref="B96" r:id="rId106" display="..\..\..\Broken Down Trading Charts\GTEC_12_7_20_MARKEDUP.png" xr:uid="{4737428A-3920-43E0-9A7F-D72498F5AF07}"/>
    <hyperlink ref="B97" r:id="rId107" display="..\..\..\Broken Down Trading Charts\CRIS_12_8_2020_MARKEDUP.png" xr:uid="{2A698255-7ACF-4F50-A00F-620CB0B6E197}"/>
    <hyperlink ref="B98" r:id="rId108" display="..\..\..\Broken Down Trading Charts\LXRX_12_8_2020_MARKEDUP.png" xr:uid="{B110E403-7027-4C96-8BB1-B1173B90ED10}"/>
    <hyperlink ref="B99" r:id="rId109" display="..\..\..\Broken Down Trading Charts\XBIO_12_9_2020_MARKEDUP.png" xr:uid="{10EDD760-ADA1-4293-AD4B-27568CF56A3B}"/>
    <hyperlink ref="A101" r:id="rId110" xr:uid="{1DC5B166-267E-41E5-8954-4CA9851D56BC}"/>
    <hyperlink ref="A100" r:id="rId111" xr:uid="{FBE8D5AD-15B5-4D9F-B53D-8B08D4FCA242}"/>
    <hyperlink ref="A102" r:id="rId112" xr:uid="{7C93E082-4784-48ED-82B2-51BBD73E1179}"/>
    <hyperlink ref="A103" r:id="rId113" xr:uid="{3D541843-87EC-4EEA-A0AC-257D70AF3622}"/>
    <hyperlink ref="A104" r:id="rId114" xr:uid="{CF8E9313-A0B7-4AA0-85FD-807C246A74CF}"/>
    <hyperlink ref="A105" r:id="rId115" xr:uid="{922D92FF-25C7-4CB8-879E-C489AB772A1A}"/>
    <hyperlink ref="A106" r:id="rId116" xr:uid="{F511E296-4FE0-41EA-B06B-82E295882FEC}"/>
    <hyperlink ref="A171" r:id="rId117" xr:uid="{E7A0E3FA-AF4D-46C9-850F-3DE6C6C689FD}"/>
    <hyperlink ref="A172" r:id="rId118" xr:uid="{1A10083A-45EC-4A43-94E5-F0F4F9F703DB}"/>
    <hyperlink ref="A173" r:id="rId119" xr:uid="{72518B53-FBF6-4CB0-8BDD-450972E1CC91}"/>
    <hyperlink ref="A174" r:id="rId120" xr:uid="{9FC118F8-CF4A-472C-946E-4BFB7AEA34E0}"/>
    <hyperlink ref="A175" r:id="rId121" xr:uid="{A2407F66-D533-4591-9C0C-E71470EE0C7F}"/>
    <hyperlink ref="A176" r:id="rId122" xr:uid="{73C394DE-0740-4EB6-9AB2-1EB6CE7B9943}"/>
    <hyperlink ref="A177" r:id="rId123" xr:uid="{1E673441-AC9A-404D-BC2E-5F3710D0F8D1}"/>
    <hyperlink ref="A178" r:id="rId124" xr:uid="{B6C750BB-F428-40B6-BDAD-93E02B0E75B9}"/>
    <hyperlink ref="A179" r:id="rId125" xr:uid="{E2A93643-EE5E-4D6F-9F53-A2D8B74D3BCC}"/>
    <hyperlink ref="A180" r:id="rId126" xr:uid="{79A5B9F3-912C-4F34-81EC-40816BE5939A}"/>
    <hyperlink ref="A181" r:id="rId127" xr:uid="{F9787821-7FB9-4DE8-9AA1-B412698938CE}"/>
    <hyperlink ref="A182" r:id="rId128" xr:uid="{7D7C64D8-01ED-4E1C-BDA0-59C29B4D9EA9}"/>
    <hyperlink ref="A183" r:id="rId129" xr:uid="{FA42AACC-2BA1-43D3-A5EF-2D189DC8D526}"/>
    <hyperlink ref="A184" r:id="rId130" xr:uid="{3619537B-6D0C-4DC9-B58A-AE4B8D1199CC}"/>
    <hyperlink ref="A185" r:id="rId131" xr:uid="{01FA2121-2322-47E1-A9BD-6F9B4EB1C8C0}"/>
    <hyperlink ref="A186" r:id="rId132" xr:uid="{674E9A94-DA83-4313-A2A0-4E3C46F38FA9}"/>
    <hyperlink ref="A187" r:id="rId133" xr:uid="{F183E1ED-073B-4085-8B0D-D19B26D1CDEB}"/>
    <hyperlink ref="A188" r:id="rId134" xr:uid="{40913BD2-506D-47E3-B638-FDD511882E02}"/>
    <hyperlink ref="A189" r:id="rId135" xr:uid="{17EAA08B-9A7F-4E23-9496-D8AB1453FD20}"/>
    <hyperlink ref="A190" r:id="rId136" xr:uid="{322F4A75-5966-42AE-BCCF-5E6BBB79DAA9}"/>
    <hyperlink ref="A191" r:id="rId137" xr:uid="{B5EBB12C-5929-4462-AE95-7D95189811FA}"/>
    <hyperlink ref="A192" r:id="rId138" xr:uid="{D9296D40-F11F-48E5-BC90-B6FEB91D6151}"/>
    <hyperlink ref="A193" r:id="rId139" xr:uid="{37ACCBB4-2FBF-405B-8481-1C82F16DDA96}"/>
    <hyperlink ref="A194" r:id="rId140" xr:uid="{9C1A52F2-D23B-46FB-95A3-7F2C346BE9B0}"/>
    <hyperlink ref="A195" r:id="rId141" xr:uid="{3621CA3B-C4CE-46A8-8747-77F3C75AB275}"/>
    <hyperlink ref="A196" r:id="rId142" xr:uid="{81B4289E-A5BD-49CC-8F16-8E4E215E6826}"/>
    <hyperlink ref="A197" r:id="rId143" xr:uid="{E2F2EFFB-3E76-44CE-B8D7-EB38AA8BA000}"/>
    <hyperlink ref="A198" r:id="rId144" xr:uid="{A8D9D7B4-E245-4180-A4BE-144BA9AA17F4}"/>
    <hyperlink ref="A199" r:id="rId145" xr:uid="{5D89147B-18E6-4BDC-BAD5-EA84B55FD326}"/>
    <hyperlink ref="A200" r:id="rId146" xr:uid="{345F8843-10C6-43A5-9BF0-4A26F515F595}"/>
    <hyperlink ref="A201" r:id="rId147" xr:uid="{316DBBE0-0A7B-496C-B5FB-6F9E0DC305D9}"/>
    <hyperlink ref="A202" r:id="rId148" xr:uid="{CCEC94B4-B280-4A22-ACE0-BE0EB23F1C8D}"/>
    <hyperlink ref="A203" r:id="rId149" xr:uid="{167BE4F2-5B98-44AC-A44F-67AAFF6741ED}"/>
    <hyperlink ref="A204" r:id="rId150" xr:uid="{6EA87093-45CA-4684-A70A-D23EA6F5C9F4}"/>
    <hyperlink ref="A205" r:id="rId151" xr:uid="{4E630D58-F0AC-4289-92C2-55FAC3C015CE}"/>
    <hyperlink ref="A206" r:id="rId152" xr:uid="{E6C3C475-3B3F-49F1-80FF-D935B9F1CCF2}"/>
    <hyperlink ref="A207" r:id="rId153" xr:uid="{79D5BC0F-69B7-42A7-97B3-1D77DE22D8BE}"/>
    <hyperlink ref="A208" r:id="rId154" xr:uid="{15E1CBF4-0E1B-496A-A5D7-1A082B497656}"/>
    <hyperlink ref="A209" r:id="rId155" xr:uid="{8F428E1F-5683-41EE-8252-412977C5DE73}"/>
    <hyperlink ref="A210" r:id="rId156" xr:uid="{49813E19-FADF-4ECD-A75C-46D169B0833D}"/>
    <hyperlink ref="A211" r:id="rId157" xr:uid="{5CF9480A-C096-46E9-9399-78849FB040DE}"/>
    <hyperlink ref="A212" r:id="rId158" xr:uid="{B35B6422-7821-4052-BDB1-E2509B46A3E3}"/>
    <hyperlink ref="A213" r:id="rId159" xr:uid="{154BAE3E-1476-4045-B751-DD63716D8613}"/>
    <hyperlink ref="A214" r:id="rId160" xr:uid="{C4A60C7B-6E65-4144-B986-5CC5864CFC38}"/>
    <hyperlink ref="A215" r:id="rId161" xr:uid="{D30B4269-3FF3-4D70-B685-BD67D9AABE58}"/>
    <hyperlink ref="A216" r:id="rId162" xr:uid="{5FFE1AFC-8216-4A16-B419-E8D12B429DFC}"/>
    <hyperlink ref="A217" r:id="rId163" xr:uid="{3B4D522F-B1A2-414B-87CC-9CD6A32D117D}"/>
    <hyperlink ref="A218" r:id="rId164" xr:uid="{84DC53EE-3F0F-46E0-B167-E32D0967444F}"/>
    <hyperlink ref="A219" r:id="rId165" xr:uid="{967823B3-F1FC-4BEA-BC02-C3C44DA89DA9}"/>
    <hyperlink ref="A220" r:id="rId166" xr:uid="{F440BCCC-A00A-40D9-A2AD-38478C205DEF}"/>
    <hyperlink ref="A221" r:id="rId167" xr:uid="{F703A53D-23BE-45EF-85F8-F2AFDAF6676E}"/>
    <hyperlink ref="A222" r:id="rId168" xr:uid="{D019E62F-6A04-403C-B4C2-EFEF8610A748}"/>
    <hyperlink ref="A223" r:id="rId169" xr:uid="{A1FFFD6E-F40F-4813-8626-F6013BF19EFB}"/>
    <hyperlink ref="A224" r:id="rId170" xr:uid="{A99E7EAD-3E67-4999-BB5C-ACA2479636B0}"/>
    <hyperlink ref="A225" r:id="rId171" xr:uid="{746EA6E8-77F1-4377-8D05-210782632D35}"/>
    <hyperlink ref="A226" r:id="rId172" xr:uid="{D52B1A2C-EA9E-470A-85F7-E221517498E3}"/>
    <hyperlink ref="A227" r:id="rId173" xr:uid="{E9B04CC8-56B6-4056-8826-B14F75623C16}"/>
    <hyperlink ref="A228" r:id="rId174" xr:uid="{CF7353E4-3283-41F9-8D42-273E80A8B987}"/>
    <hyperlink ref="A229" r:id="rId175" xr:uid="{BD5E8FE2-CC1F-4DE5-9559-2863908F058B}"/>
    <hyperlink ref="A230" r:id="rId176" xr:uid="{57543D4C-8B17-4918-977E-158BF90EA225}"/>
    <hyperlink ref="A231" r:id="rId177" xr:uid="{07667CD3-01EA-4C12-B3FB-29DC3E299F64}"/>
    <hyperlink ref="A232" r:id="rId178" xr:uid="{BB0538F7-9E1E-41AD-A45E-2B2EA3BC8F26}"/>
    <hyperlink ref="A233" r:id="rId179" xr:uid="{A519E2A8-D3A9-4CB7-AC98-738443DFA1D0}"/>
    <hyperlink ref="A235" r:id="rId180" xr:uid="{AAC32C4E-95FF-41BA-8341-AACA8E2F7983}"/>
    <hyperlink ref="A234" r:id="rId181" xr:uid="{1C58023D-8E4B-4E6F-8422-0532E82E63B4}"/>
    <hyperlink ref="A236" r:id="rId182" xr:uid="{FA91EA6A-595C-4747-A182-2DC7730B8AD5}"/>
    <hyperlink ref="A237" r:id="rId183" xr:uid="{36A0FB56-4536-495B-9F9D-F890E74DF0C0}"/>
    <hyperlink ref="A238" r:id="rId184" xr:uid="{1502090D-8B16-4C53-810E-03659CB4CB76}"/>
    <hyperlink ref="A239" r:id="rId185" xr:uid="{1B3C12BA-4161-453B-9B9C-B74EE59AECEB}"/>
    <hyperlink ref="A240" r:id="rId186" xr:uid="{541D3A27-ECB3-434A-B580-CCDD5EFB5DB3}"/>
    <hyperlink ref="A241" r:id="rId187" xr:uid="{DC893074-4AA6-44DD-8A0B-029F1FE62939}"/>
    <hyperlink ref="A242" r:id="rId188" xr:uid="{7FE20469-539E-4BF2-B473-E44D3AB2799B}"/>
    <hyperlink ref="A243" r:id="rId189" xr:uid="{59532FDC-2D95-4E62-B1AB-6102519357B8}"/>
    <hyperlink ref="B243" r:id="rId190" display="http://tos.mx/i2pFAZK" xr:uid="{11F613D2-49B1-41DA-AD48-304B5AC4AFBF}"/>
    <hyperlink ref="A244" r:id="rId191" xr:uid="{F6E7E8F9-E64F-4AE3-B91C-011C28D5963E}"/>
    <hyperlink ref="A245" r:id="rId192" xr:uid="{F6CB57DB-567F-4B72-9D2B-85FB8AE6B5C9}"/>
    <hyperlink ref="A246" r:id="rId193" xr:uid="{17D0B2E2-C887-4DBD-9F05-614F240CF97A}"/>
    <hyperlink ref="A247" r:id="rId194" xr:uid="{BE672C71-B56D-4719-A3B4-BCBE8A61C315}"/>
    <hyperlink ref="B247" r:id="rId195" display="http://tos.mx/Iw7F8j1" xr:uid="{F7E89E25-9625-4CDD-B783-3BAB9DE2439F}"/>
    <hyperlink ref="A248" r:id="rId196" xr:uid="{42177869-35A9-4C79-A998-C8F942ED4585}"/>
    <hyperlink ref="A249" r:id="rId197" xr:uid="{B132C106-9B9C-4D79-99B2-21734C38F7D7}"/>
    <hyperlink ref="A250" r:id="rId198" xr:uid="{659C697B-891D-4283-8B4A-6F8E56259652}"/>
    <hyperlink ref="A251" r:id="rId199" xr:uid="{2EB596F9-B585-493F-BCE6-0D920B4B4DC3}"/>
    <hyperlink ref="A112" r:id="rId200" xr:uid="{0F52D32A-30D6-42C6-A834-1889E70BEF0D}"/>
    <hyperlink ref="A111" r:id="rId201" xr:uid="{CC190A87-EB19-4F41-859E-C064FDACB35A}"/>
    <hyperlink ref="A120" r:id="rId202" xr:uid="{898E20C9-54F0-4896-B9EC-EB80EFE076D4}"/>
    <hyperlink ref="A252" r:id="rId203" xr:uid="{C26A1457-9B6F-4BB2-A014-14EA3490044E}"/>
    <hyperlink ref="A253" r:id="rId204" xr:uid="{E3900861-F77E-4FD2-9CAD-5F51A8CE08E5}"/>
    <hyperlink ref="A254" r:id="rId205" xr:uid="{BD5FFAFC-E05E-455D-B31E-72BA439A5E95}"/>
    <hyperlink ref="A255" r:id="rId206" xr:uid="{FF9B427E-9C40-4D31-9427-585355ADDD4E}"/>
    <hyperlink ref="A256" r:id="rId207" xr:uid="{0882B430-710D-49E0-A2D4-13FFF260EB61}"/>
    <hyperlink ref="A257" r:id="rId208" xr:uid="{E7CA6D70-4186-4C88-ADA1-BE158A5DA8B5}"/>
    <hyperlink ref="A258" r:id="rId209" xr:uid="{BF908BE3-CA51-456B-8181-C2F4EF18169A}"/>
    <hyperlink ref="A107" r:id="rId210" xr:uid="{9769CBD0-FFC0-4AD0-823B-D62E95DC6FB5}"/>
    <hyperlink ref="A108" r:id="rId211" xr:uid="{401E821E-FCD4-4CCF-972E-2D2EE10B1C46}"/>
    <hyperlink ref="A109" r:id="rId212" xr:uid="{2FDCBFF3-6191-4F93-9644-FBC424E1C64C}"/>
    <hyperlink ref="A110" r:id="rId213" xr:uid="{E823B73E-117D-49F7-A0CA-470C2A4D841E}"/>
    <hyperlink ref="A113" r:id="rId214" xr:uid="{DC0B4245-C385-406C-BE6C-C9514EA66AC1}"/>
    <hyperlink ref="A114" r:id="rId215" xr:uid="{3BC202EA-328E-4855-80BB-A1098A405718}"/>
    <hyperlink ref="A115" r:id="rId216" xr:uid="{CF3EA105-06AC-4C16-82F2-CFB15F60E0C4}"/>
    <hyperlink ref="A116" r:id="rId217" xr:uid="{D0C03E36-6E04-42F0-89B3-08A9C7616432}"/>
    <hyperlink ref="A117" r:id="rId218" xr:uid="{9A6A71DA-D625-407E-AE58-4864E265CA8D}"/>
    <hyperlink ref="A118" r:id="rId219" xr:uid="{5AD4A877-6B2A-4656-A413-8E6001D89D2C}"/>
    <hyperlink ref="A119" r:id="rId220" xr:uid="{36861AC0-B28E-45A9-A2CB-D48B087A9FCC}"/>
    <hyperlink ref="B119" r:id="rId221" display="http://tos.mx/kLCW3jI" xr:uid="{549CCF94-3768-4DDF-B0CC-6570161F2094}"/>
    <hyperlink ref="A121" r:id="rId222" xr:uid="{DED8FF65-EAE0-42C0-9D7D-6461369C28E1}"/>
    <hyperlink ref="A123" r:id="rId223" xr:uid="{77DB7C18-1DA8-441D-A310-C2E59919A121}"/>
    <hyperlink ref="A124" r:id="rId224" xr:uid="{00B84FC1-EF27-4CE1-B56D-A1421D32DF2C}"/>
    <hyperlink ref="A125" r:id="rId225" xr:uid="{39EB5A2F-7716-4623-BBA7-F6B549A3ADCE}"/>
    <hyperlink ref="A126" r:id="rId226" xr:uid="{0D0BD3B9-29B3-4172-891F-25708E7C04DB}"/>
    <hyperlink ref="A127" r:id="rId227" xr:uid="{9EAC3CF9-B0F3-4481-BA67-0ED7596692BC}"/>
    <hyperlink ref="A128" r:id="rId228" xr:uid="{50AFDDB6-4202-4B3C-94CC-20F84FD326A3}"/>
    <hyperlink ref="A129" r:id="rId229" xr:uid="{E3EB2090-70DA-4697-A379-89836B6DD63B}"/>
    <hyperlink ref="A130" r:id="rId230" xr:uid="{2F09135A-65F1-4A93-9C11-7F09AD423B25}"/>
    <hyperlink ref="A131" r:id="rId231" xr:uid="{B6CFBDD9-A41E-498E-BAEF-6153E2A11FB2}"/>
    <hyperlink ref="A132" r:id="rId232" xr:uid="{5A8102EA-A131-41E7-9D31-C21791B317BC}"/>
    <hyperlink ref="A133" r:id="rId233" xr:uid="{315B8C93-664B-4228-9C48-09FFD2D12176}"/>
    <hyperlink ref="A134" r:id="rId234" xr:uid="{37601899-0D08-4ED1-9226-6AB8C0857A88}"/>
    <hyperlink ref="A135" r:id="rId235" xr:uid="{61C27949-7CDF-4F76-B833-8FBBD98B8C3D}"/>
    <hyperlink ref="A136" r:id="rId236" xr:uid="{549EB13F-4667-4465-91D2-4BEB1047B03B}"/>
    <hyperlink ref="A137" r:id="rId237" xr:uid="{DBDCEC3A-C2E5-4AA4-B88B-1F598A90D840}"/>
    <hyperlink ref="A138" r:id="rId238" xr:uid="{B87CFFFB-CE83-4FD5-B859-B2A3F00E2AED}"/>
    <hyperlink ref="A139" r:id="rId239" xr:uid="{9EF7FDF6-42A5-4A2B-B14A-516C09E197DC}"/>
    <hyperlink ref="A140" r:id="rId240" xr:uid="{2F2B336A-4966-414D-A49F-61386A9EE8D3}"/>
    <hyperlink ref="A141" r:id="rId241" xr:uid="{618F60BC-C501-4417-B993-4EEB5A8BA406}"/>
    <hyperlink ref="A142" r:id="rId242" xr:uid="{66447C84-AC9F-4185-BDBC-5902D93EBA3E}"/>
    <hyperlink ref="A143" r:id="rId243" xr:uid="{C5D0F996-7CD3-4F70-B8EB-D659A6F62660}"/>
    <hyperlink ref="A144" r:id="rId244" xr:uid="{FB072521-EC6E-4EFE-8BDF-731B42F95E05}"/>
    <hyperlink ref="A145" r:id="rId245" xr:uid="{49C6303F-9D15-4348-A93E-2A7C5EA4162A}"/>
    <hyperlink ref="A146" r:id="rId246" xr:uid="{DAD3BFD2-3677-4F2D-A2B5-CFF1F656FBC5}"/>
    <hyperlink ref="A147" r:id="rId247" xr:uid="{F87A79E3-B6DD-46AE-8143-10DCB3AB6397}"/>
    <hyperlink ref="A148" r:id="rId248" xr:uid="{422F26CD-7B9A-49A2-AB23-7E651A9A97D0}"/>
    <hyperlink ref="A149" r:id="rId249" xr:uid="{784BEC8C-EFCE-4A40-B0E3-CBCD881DA4AF}"/>
    <hyperlink ref="A150" r:id="rId250" xr:uid="{E59EC3D2-DA9D-43BC-9A6C-16A667763774}"/>
    <hyperlink ref="A151" r:id="rId251" xr:uid="{098DCE53-8188-4097-8A7C-91732BCD2E3D}"/>
    <hyperlink ref="A152" r:id="rId252" xr:uid="{3ABB1C76-F09C-4330-AE71-1D4C9CCB96EA}"/>
    <hyperlink ref="A153" r:id="rId253" xr:uid="{20B4A272-2C8B-40C6-A230-AC8ED645AA23}"/>
    <hyperlink ref="B153" r:id="rId254" display="http://tos.mx/VBRqEFz" xr:uid="{E06B4751-6198-4CEB-8117-8219F58BDB00}"/>
    <hyperlink ref="A154" r:id="rId255" xr:uid="{B9E72C42-96CA-4C23-B395-B3F094442B19}"/>
    <hyperlink ref="A155" r:id="rId256" xr:uid="{FD07C202-60BB-4960-BB67-F62BB2FF60CE}"/>
    <hyperlink ref="A156" r:id="rId257" xr:uid="{E54C8BFD-696F-47F9-8C76-50002F1FDB1B}"/>
    <hyperlink ref="A157" r:id="rId258" xr:uid="{169A1EB6-F94A-4A53-A64C-B124286074A2}"/>
    <hyperlink ref="A158" r:id="rId259" xr:uid="{FCB1F982-A021-4211-8753-49447196BB64}"/>
    <hyperlink ref="A159" r:id="rId260" xr:uid="{C6F598BE-75C4-4FC0-84F7-F917F1BDB26A}"/>
    <hyperlink ref="A160" r:id="rId261" xr:uid="{03110158-26BA-4165-A448-70668D7E8432}"/>
    <hyperlink ref="A161" r:id="rId262" xr:uid="{CE5E0CBB-7BC1-48F0-9C1C-C29EA784E6A2}"/>
    <hyperlink ref="A162" r:id="rId263" xr:uid="{451EECF4-4972-4C54-90DB-DF3F3CFE47C6}"/>
    <hyperlink ref="A163" r:id="rId264" xr:uid="{43599905-2C43-478A-B04C-FC11A50E76D8}"/>
    <hyperlink ref="A164" r:id="rId265" xr:uid="{CD8D9971-B48E-4FA8-A5FF-B21966E15A82}"/>
    <hyperlink ref="A165" r:id="rId266" xr:uid="{B639149F-FA4C-4427-9D9D-8D3414907748}"/>
    <hyperlink ref="A166" r:id="rId267" xr:uid="{E6769EA7-4666-4413-A20C-44AE53A3ED6B}"/>
    <hyperlink ref="A167" r:id="rId268" xr:uid="{D07FF6B5-AB0E-486B-B390-E3DEE2B5BE46}"/>
    <hyperlink ref="A168" r:id="rId269" xr:uid="{D1D0B1FE-A91D-41DD-B06D-A5C2A6F4AE89}"/>
    <hyperlink ref="A169" r:id="rId270" xr:uid="{73B56FFC-1BB7-40ED-A42D-4D4BEA6FAF09}"/>
    <hyperlink ref="A170" r:id="rId271" xr:uid="{023A2983-EFD0-4BE4-9E16-55DBBE19110A}"/>
    <hyperlink ref="A12" r:id="rId272" xr:uid="{568FD768-1BE9-4EE6-AFAE-9CCCDDDC00CA}"/>
  </hyperlinks>
  <pageMargins left="0.7" right="0.7" top="0.75" bottom="0.75" header="0.3" footer="0.3"/>
  <pageSetup orientation="portrait" r:id="rId273"/>
  <legacyDrawing r:id="rId274"/>
  <tableParts count="1">
    <tablePart r:id="rId275"/>
  </tableParts>
  <extLst>
    <ext xmlns:x14="http://schemas.microsoft.com/office/spreadsheetml/2009/9/main" uri="{CCE6A557-97BC-4b89-ADB6-D9C93CAAB3DF}">
      <x14:dataValidations xmlns:xm="http://schemas.microsoft.com/office/excel/2006/main" count="1">
        <x14:dataValidation type="list" allowBlank="1" showInputMessage="1" showErrorMessage="1" xr:uid="{1931E997-8963-46AA-BAAC-57A5A1C4D02F}">
          <x14:formula1>
            <xm:f>'F:\Trading Review\Trading Review\Trading Study\[TNS Dashboard.xlsx]Misc. WKTSHT DATA'!#REF!</xm:f>
          </x14:formula1>
          <xm:sqref>S5:S7 S9:S13 S15:S77 S2:S3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DAB1D-23EE-45D5-B800-FE064C9F4B4B}">
  <sheetPr>
    <tabColor rgb="FFA365D1"/>
  </sheetPr>
  <dimension ref="A1:AQ174"/>
  <sheetViews>
    <sheetView tabSelected="1" zoomScale="95" zoomScaleNormal="95" workbookViewId="0">
      <pane ySplit="1" topLeftCell="A49" activePane="bottomLeft" state="frozen"/>
      <selection activeCell="J1" sqref="J1"/>
      <selection pane="bottomLeft" activeCell="D1" sqref="D1:D1048576"/>
    </sheetView>
  </sheetViews>
  <sheetFormatPr defaultRowHeight="15" x14ac:dyDescent="0.25"/>
  <cols>
    <col min="1" max="1" width="11" style="10" customWidth="1"/>
    <col min="2" max="2" width="13.5703125" style="11" bestFit="1" customWidth="1"/>
    <col min="3" max="3" width="10.5703125" style="11" bestFit="1" customWidth="1"/>
    <col min="4" max="4" width="23.140625" style="17" customWidth="1"/>
    <col min="5" max="5" width="25" customWidth="1"/>
    <col min="6" max="6" width="8.85546875" style="18" customWidth="1"/>
    <col min="7" max="7" width="10.28515625" bestFit="1" customWidth="1"/>
    <col min="8" max="8" width="21" style="18" bestFit="1" customWidth="1"/>
    <col min="9" max="9" width="23.140625" style="18" customWidth="1"/>
    <col min="10" max="10" width="17.28515625" style="13" customWidth="1"/>
    <col min="11" max="11" width="18.28515625" style="18" customWidth="1"/>
    <col min="12" max="12" width="18.85546875" style="12" customWidth="1"/>
    <col min="13" max="13" width="21.7109375" style="12" customWidth="1"/>
    <col min="14" max="14" width="19.5703125" style="12" customWidth="1"/>
    <col min="15" max="15" width="20.42578125" style="12" customWidth="1"/>
    <col min="16" max="16" width="13.5703125" style="12" bestFit="1" customWidth="1"/>
    <col min="17" max="17" width="23.140625" style="18" customWidth="1"/>
    <col min="18" max="19" width="20.85546875" style="18" customWidth="1"/>
    <col min="20" max="20" width="23.140625" style="13" customWidth="1"/>
    <col min="21" max="21" width="30.28515625" style="12" customWidth="1"/>
    <col min="22" max="22" width="24.140625" style="12" customWidth="1"/>
    <col min="23" max="23" width="16.140625" style="13" customWidth="1"/>
    <col min="24" max="24" width="19.140625" style="13" customWidth="1"/>
    <col min="25" max="25" width="30.42578125" style="19" customWidth="1"/>
    <col min="26" max="26" width="16.85546875" style="13" customWidth="1"/>
    <col min="27" max="28" width="25" style="13" customWidth="1"/>
    <col min="29" max="29" width="26.42578125" style="13" customWidth="1"/>
    <col min="30" max="30" width="30.85546875" style="13" customWidth="1"/>
    <col min="31" max="33" width="23.140625" style="18" customWidth="1"/>
    <col min="34" max="34" width="36.28515625" style="18" customWidth="1"/>
    <col min="35" max="36" width="29.7109375" style="17" customWidth="1"/>
    <col min="37" max="37" width="26.140625" style="17" customWidth="1"/>
    <col min="38" max="38" width="17.140625" style="22" customWidth="1"/>
    <col min="39" max="39" width="28.7109375" customWidth="1"/>
    <col min="40" max="40" width="28.42578125" customWidth="1"/>
    <col min="41" max="41" width="19.42578125" customWidth="1"/>
    <col min="42" max="42" width="18.42578125" customWidth="1"/>
    <col min="43" max="43" width="13.7109375" customWidth="1"/>
  </cols>
  <sheetData>
    <row r="1" spans="1:43" s="3" customFormat="1" ht="60" x14ac:dyDescent="0.25">
      <c r="A1" s="1" t="s">
        <v>0</v>
      </c>
      <c r="B1" s="2" t="s">
        <v>1</v>
      </c>
      <c r="C1" s="2" t="s">
        <v>177</v>
      </c>
      <c r="D1" s="4" t="s">
        <v>3</v>
      </c>
      <c r="E1" s="5" t="s">
        <v>4</v>
      </c>
      <c r="F1" s="6" t="s">
        <v>5</v>
      </c>
      <c r="G1" s="6" t="s">
        <v>6</v>
      </c>
      <c r="H1" s="6" t="s">
        <v>7</v>
      </c>
      <c r="I1" s="6" t="s">
        <v>8</v>
      </c>
      <c r="J1" s="6" t="s">
        <v>9</v>
      </c>
      <c r="K1" s="6" t="s">
        <v>10</v>
      </c>
      <c r="L1" s="6" t="s">
        <v>11</v>
      </c>
      <c r="M1" s="6" t="s">
        <v>12</v>
      </c>
      <c r="N1" s="5" t="s">
        <v>13</v>
      </c>
      <c r="O1" s="6" t="s">
        <v>14</v>
      </c>
      <c r="P1" s="5" t="s">
        <v>15</v>
      </c>
      <c r="Q1" s="5" t="s">
        <v>16</v>
      </c>
      <c r="R1" s="5" t="s">
        <v>18</v>
      </c>
      <c r="S1" s="5" t="s">
        <v>19</v>
      </c>
      <c r="T1" s="3" t="s">
        <v>20</v>
      </c>
      <c r="U1" s="3" t="s">
        <v>21</v>
      </c>
      <c r="V1" s="3" t="s">
        <v>22</v>
      </c>
      <c r="W1" s="3" t="s">
        <v>23</v>
      </c>
      <c r="X1" s="3" t="s">
        <v>24</v>
      </c>
      <c r="Y1" s="7" t="s">
        <v>25</v>
      </c>
      <c r="Z1" s="4" t="s">
        <v>26</v>
      </c>
      <c r="AA1" s="4" t="s">
        <v>27</v>
      </c>
      <c r="AB1" s="6" t="s">
        <v>28</v>
      </c>
      <c r="AC1" s="6" t="s">
        <v>29</v>
      </c>
      <c r="AD1" s="4" t="s">
        <v>30</v>
      </c>
      <c r="AE1" s="9" t="s">
        <v>31</v>
      </c>
      <c r="AF1" s="5" t="s">
        <v>32</v>
      </c>
      <c r="AG1" s="4" t="s">
        <v>33</v>
      </c>
      <c r="AH1" s="4" t="s">
        <v>200</v>
      </c>
      <c r="AI1" s="4" t="s">
        <v>201</v>
      </c>
      <c r="AJ1" s="4" t="s">
        <v>202</v>
      </c>
      <c r="AK1" s="4" t="s">
        <v>34</v>
      </c>
      <c r="AL1" s="4" t="s">
        <v>35</v>
      </c>
      <c r="AM1" s="4" t="s">
        <v>36</v>
      </c>
      <c r="AN1" s="4" t="s">
        <v>37</v>
      </c>
      <c r="AO1" s="4" t="s">
        <v>38</v>
      </c>
      <c r="AP1" s="8" t="s">
        <v>39</v>
      </c>
      <c r="AQ1" s="8" t="s">
        <v>40</v>
      </c>
    </row>
    <row r="2" spans="1:43" x14ac:dyDescent="0.25">
      <c r="A2" s="24" t="s">
        <v>238</v>
      </c>
      <c r="B2" s="47">
        <v>43986</v>
      </c>
      <c r="C2" s="47" t="s">
        <v>78</v>
      </c>
      <c r="D2" s="12">
        <v>0.27</v>
      </c>
      <c r="E2" s="13">
        <f>Table133[[#This Row],[Prior day close]]</f>
        <v>0.27</v>
      </c>
      <c r="F2" s="12">
        <v>0.96</v>
      </c>
      <c r="G2" s="12">
        <v>0.27</v>
      </c>
      <c r="H2" s="12">
        <v>0.65</v>
      </c>
      <c r="I2" s="12">
        <v>0.68</v>
      </c>
      <c r="J2" s="12">
        <v>0.72</v>
      </c>
      <c r="K2" s="12">
        <v>0.56999999999999995</v>
      </c>
      <c r="L2" s="12">
        <v>1.57</v>
      </c>
      <c r="M2" s="12">
        <v>1.1100000000000001</v>
      </c>
      <c r="N2" s="13">
        <v>87489244</v>
      </c>
      <c r="O2" s="12">
        <v>118985371</v>
      </c>
      <c r="P2" s="37">
        <v>16.59</v>
      </c>
      <c r="Q2" s="46">
        <v>56.31</v>
      </c>
      <c r="R2" s="37">
        <v>10028179</v>
      </c>
      <c r="S2" s="37" t="s">
        <v>42</v>
      </c>
      <c r="T2" s="37" t="s">
        <v>44</v>
      </c>
      <c r="U2" s="38">
        <v>14</v>
      </c>
      <c r="V2" s="46">
        <v>14</v>
      </c>
      <c r="W2" s="37">
        <v>0.59</v>
      </c>
      <c r="X2" s="46">
        <v>44</v>
      </c>
      <c r="Y2" s="41">
        <f>Table133[[#This Row],[Time until ideal entry + 390 (6:30)]]/(1440)</f>
        <v>0.28055555555555556</v>
      </c>
      <c r="Z2" s="18">
        <f>(F2-D2)/D2</f>
        <v>2.5555555555555554</v>
      </c>
      <c r="AA2" s="18">
        <f>IF(Table133[[#This Row],[HOD AFTER PM HI]]&gt;=Table133[[#This Row],[PM Hi]],((Table133[[#This Row],[HOD AFTER PM HI]]-Table133[[#This Row],[Prior day close]])/Table133[[#This Row],[Prior day close]]),Table133[[#This Row],[Prior Close to PM Hi %]])</f>
        <v>4.8148148148148149</v>
      </c>
      <c r="AB2" s="42">
        <f>(Table133[[#This Row],[Price at hi of squeeze]]-Table133[[#This Row],[MKT Open Price]])/Table133[[#This Row],[MKT Open Price]]</f>
        <v>0.63235294117647056</v>
      </c>
      <c r="AC2" s="18">
        <f>(Table133[[#This Row],[Price at hi of squeeze]]-Table133[[#This Row],[PM Hi]])/Table133[[#This Row],[PM Hi]]</f>
        <v>0.15625000000000014</v>
      </c>
      <c r="AD2" s="18"/>
      <c r="AE2" s="20">
        <f>Table133[[#This Row],[PM VOL]]/1000000/Table133[[#This Row],[FLOAT(M)]]</f>
        <v>0.17808877641626708</v>
      </c>
      <c r="AF2" s="23">
        <f>(Table133[[#This Row],[Volume]]/1000000)/Table133[[#This Row],[FLOAT(M)]]</f>
        <v>1.553707050257503</v>
      </c>
      <c r="AH2" s="18">
        <f>(Table133[[#This Row],[PM Hi]]-Table133[[#This Row],[MKT Open Price]])/(Table133[[#This Row],[PM Hi]])</f>
        <v>0.29166666666666657</v>
      </c>
      <c r="AI2" s="18">
        <f>IF(Table133[[#This Row],[PM LO]]&gt;Table133[[#This Row],[Prior day close]],(Table133[[#This Row],[PM Hi]]-Table133[[#This Row],[MKT Open Price]])/(Table133[[#This Row],[PM Hi]]-Table133[[#This Row],[Prior day close]]),(Table133[[#This Row],[PM Hi]]-Table133[[#This Row],[MKT Open Price]])/(Table133[[#This Row],[PM Hi]]-Table133[[#This Row],[PM LO]]))</f>
        <v>0.40579710144927528</v>
      </c>
      <c r="AJ2" s="48">
        <f>IF(Table133[[#This Row],[Prior day close]]&lt;Table133[[#This Row],[PM LO]],(I2-K2)/(I2-Table133[[#This Row],[Prior day close]]),(I2-K2)/(I2-Table133[[#This Row],[PM LO]]))</f>
        <v>0.26829268292682951</v>
      </c>
      <c r="AK2" s="48">
        <f>Table133[[#This Row],[Spike % on open before drop]]+AL2</f>
        <v>0.16176470588235306</v>
      </c>
      <c r="AL2" s="16">
        <f>(I2-K2)/I2</f>
        <v>0.16176470588235306</v>
      </c>
      <c r="AM2" s="18">
        <f>IF($J2&gt;=$F2,($J2-$K2)/($J2),(IF($H2&lt;=$K2,($F2-$H2)/($F2),(Table133[[#This Row],[PM Hi]]-Table133[[#This Row],[Lowest lo from open to squeeze]])/(Table133[[#This Row],[PM Hi]]))))</f>
        <v>0.40625000000000006</v>
      </c>
      <c r="AN2" s="48">
        <f>IF(Table133[[#This Row],[Prior day close]]&lt;=Table133[[#This Row],[PM LO]],IF($J2&gt;=$F2,($J2-$K2)/($J2-Table133[[#This Row],[Prior day close]]),(IF($H2&lt;=$K2,($F2-$H2)/($F2-Table133[[#This Row],[Prior day close]]),(Table133[[#This Row],[PM Hi]]-Table133[[#This Row],[Lowest lo from open to squeeze]])/(Table133[[#This Row],[PM Hi]]-Table133[[#This Row],[Prior day close]])))),IF($J2&gt;=$F2,($J2-$K2)/($J2-Table133[[#This Row],[PM LO]]),(IF($H2&lt;=$K2,($F2-$H2)/($F2-Table133[[#This Row],[PM LO]]),(Table133[[#This Row],[PM Hi]]-Table133[[#This Row],[Lowest lo from open to squeeze]])/(Table133[[#This Row],[PM Hi]]-Table133[[#This Row],[PM LO]])))))</f>
        <v>0.56521739130434789</v>
      </c>
      <c r="AO2" s="18">
        <f>IF(J2&gt;=F2,(J2-K2)/(J2-D2),(IF(H2&lt;=K2,(F2-H2)/(F2-D2),(Table133[[#This Row],[PM Hi]]-Table133[[#This Row],[Lowest lo from open to squeeze]])/(Table133[[#This Row],[PM Hi]]-Table133[[#This Row],[Prior day close]]))))</f>
        <v>0.56521739130434789</v>
      </c>
      <c r="AP2" s="17">
        <f>390+Table133[[#This Row],[Time until ideal entry point (mins) from open]]</f>
        <v>404</v>
      </c>
      <c r="AQ2" s="17">
        <f>Table133[[#This Row],[Time until ideal entry + 390 (6:30)]]+Table133[[#This Row],[Duration of frontside (mins)]]</f>
        <v>448</v>
      </c>
    </row>
    <row r="3" spans="1:43" s="36" customFormat="1" x14ac:dyDescent="0.25">
      <c r="A3" s="24" t="s">
        <v>212</v>
      </c>
      <c r="B3" s="47">
        <v>43887</v>
      </c>
      <c r="C3" s="47" t="s">
        <v>78</v>
      </c>
      <c r="D3" s="12">
        <v>0.4</v>
      </c>
      <c r="E3" s="13">
        <f>Table133[[#This Row],[Prior day close]]</f>
        <v>0.4</v>
      </c>
      <c r="F3" s="12">
        <v>0.87</v>
      </c>
      <c r="G3" s="12">
        <v>0.44</v>
      </c>
      <c r="H3" s="12">
        <v>0.73</v>
      </c>
      <c r="I3" s="12">
        <v>0.84</v>
      </c>
      <c r="J3" s="12">
        <v>0.9</v>
      </c>
      <c r="K3" s="12">
        <v>0.75</v>
      </c>
      <c r="L3" s="12">
        <v>1.23</v>
      </c>
      <c r="M3" s="12">
        <v>1.23</v>
      </c>
      <c r="N3" s="13">
        <v>145240330</v>
      </c>
      <c r="O3" s="12">
        <v>130571056</v>
      </c>
      <c r="P3" s="37">
        <v>9.33</v>
      </c>
      <c r="Q3" s="46">
        <v>21.66</v>
      </c>
      <c r="R3" s="37">
        <v>16276394</v>
      </c>
      <c r="S3" s="37" t="s">
        <v>42</v>
      </c>
      <c r="T3" s="37" t="s">
        <v>44</v>
      </c>
      <c r="U3" s="38">
        <v>15</v>
      </c>
      <c r="V3" s="46">
        <v>15</v>
      </c>
      <c r="W3" s="37">
        <v>0.75</v>
      </c>
      <c r="X3" s="46">
        <v>99</v>
      </c>
      <c r="Y3" s="41">
        <f>Table133[[#This Row],[Time until ideal entry + 390 (6:30)]]/(1440)</f>
        <v>0.28125</v>
      </c>
      <c r="Z3" s="18">
        <f>(F3-D3)/D3</f>
        <v>1.1749999999999998</v>
      </c>
      <c r="AA3" s="18">
        <f>IF(Table133[[#This Row],[HOD AFTER PM HI]]&gt;=Table133[[#This Row],[PM Hi]],((Table133[[#This Row],[HOD AFTER PM HI]]-Table133[[#This Row],[Prior day close]])/Table133[[#This Row],[Prior day close]]),Table133[[#This Row],[Prior Close to PM Hi %]])</f>
        <v>2.0749999999999997</v>
      </c>
      <c r="AB3" s="42">
        <f>(Table133[[#This Row],[Price at hi of squeeze]]-Table133[[#This Row],[MKT Open Price]])/Table133[[#This Row],[MKT Open Price]]</f>
        <v>0.4642857142857143</v>
      </c>
      <c r="AC3" s="18">
        <f>(Table133[[#This Row],[Price at hi of squeeze]]-Table133[[#This Row],[PM Hi]])/Table133[[#This Row],[PM Hi]]</f>
        <v>0.41379310344827586</v>
      </c>
      <c r="AD3" s="18"/>
      <c r="AE3" s="20">
        <f>Table133[[#This Row],[PM VOL]]/1000000/Table133[[#This Row],[FLOAT(M)]]</f>
        <v>0.75144939981532777</v>
      </c>
      <c r="AF3" s="23">
        <f>(Table133[[#This Row],[Volume]]/1000000)/Table133[[#This Row],[FLOAT(M)]]</f>
        <v>6.7054630655586331</v>
      </c>
      <c r="AG3" s="18"/>
      <c r="AH3" s="18">
        <f>(Table133[[#This Row],[PM Hi]]-Table133[[#This Row],[MKT Open Price]])/(Table133[[#This Row],[PM Hi]])</f>
        <v>3.4482758620689689E-2</v>
      </c>
      <c r="AI3" s="18">
        <f>IF(Table133[[#This Row],[PM LO]]&gt;Table133[[#This Row],[Prior day close]],(Table133[[#This Row],[PM Hi]]-Table133[[#This Row],[MKT Open Price]])/(Table133[[#This Row],[PM Hi]]-Table133[[#This Row],[Prior day close]]),(Table133[[#This Row],[PM Hi]]-Table133[[#This Row],[MKT Open Price]])/(Table133[[#This Row],[PM Hi]]-Table133[[#This Row],[PM LO]]))</f>
        <v>6.3829787234042618E-2</v>
      </c>
      <c r="AJ3" s="48">
        <f>IF(Table133[[#This Row],[Prior day close]]&lt;Table133[[#This Row],[PM LO]],(I3-K3)/(I3-Table133[[#This Row],[Prior day close]]),(I3-K3)/(I3-Table133[[#This Row],[PM LO]]))</f>
        <v>0.2045454545454545</v>
      </c>
      <c r="AK3" s="48">
        <f>Table133[[#This Row],[Spike % on open before drop]]+AL3</f>
        <v>0.10714285714285711</v>
      </c>
      <c r="AL3" s="16">
        <f>(I3-K3)/I3</f>
        <v>0.10714285714285711</v>
      </c>
      <c r="AM3" s="18">
        <f>IF($J3&gt;=$F3,($J3-$K3)/($J3),(IF($H3&lt;=$K3,($F3-$H3)/($F3),(Table133[[#This Row],[PM Hi]]-Table133[[#This Row],[Lowest lo from open to squeeze]])/(Table133[[#This Row],[PM Hi]]))))</f>
        <v>0.16666666666666669</v>
      </c>
      <c r="AN3" s="48">
        <f>IF(Table133[[#This Row],[Prior day close]]&lt;=Table133[[#This Row],[PM LO]],IF($J3&gt;=$F3,($J3-$K3)/($J3-Table133[[#This Row],[Prior day close]]),(IF($H3&lt;=$K3,($F3-$H3)/($F3-Table133[[#This Row],[Prior day close]]),(Table133[[#This Row],[PM Hi]]-Table133[[#This Row],[Lowest lo from open to squeeze]])/(Table133[[#This Row],[PM Hi]]-Table133[[#This Row],[Prior day close]])))),IF($J3&gt;=$F3,($J3-$K3)/($J3-Table133[[#This Row],[PM LO]]),(IF($H3&lt;=$K3,($F3-$H3)/($F3-Table133[[#This Row],[PM LO]]),(Table133[[#This Row],[PM Hi]]-Table133[[#This Row],[Lowest lo from open to squeeze]])/(Table133[[#This Row],[PM Hi]]-Table133[[#This Row],[PM LO]])))))</f>
        <v>0.30000000000000004</v>
      </c>
      <c r="AO3" s="18">
        <f>IF(J3&gt;=F3,(J3-K3)/(J3-D3),(IF(H3&lt;=K3,(F3-H3)/(F3-D3),(Table133[[#This Row],[PM Hi]]-Table133[[#This Row],[Lowest lo from open to squeeze]])/(Table133[[#This Row],[PM Hi]]-Table133[[#This Row],[Prior day close]]))))</f>
        <v>0.30000000000000004</v>
      </c>
      <c r="AP3" s="17">
        <f>390+Table133[[#This Row],[Time until ideal entry point (mins) from open]]</f>
        <v>405</v>
      </c>
      <c r="AQ3" s="17">
        <f>Table133[[#This Row],[Time until ideal entry + 390 (6:30)]]+Table133[[#This Row],[Duration of frontside (mins)]]</f>
        <v>504</v>
      </c>
    </row>
    <row r="4" spans="1:43" x14ac:dyDescent="0.25">
      <c r="A4" s="25" t="s">
        <v>62</v>
      </c>
      <c r="B4" s="11">
        <v>43914</v>
      </c>
      <c r="C4" s="47" t="s">
        <v>78</v>
      </c>
      <c r="D4" s="12">
        <v>0.44</v>
      </c>
      <c r="E4" s="13">
        <v>0.5</v>
      </c>
      <c r="F4" s="12">
        <v>2.1800000000000002</v>
      </c>
      <c r="G4" s="12">
        <v>0.5</v>
      </c>
      <c r="H4" s="12">
        <v>1.86</v>
      </c>
      <c r="I4" s="12">
        <v>2</v>
      </c>
      <c r="J4" s="12">
        <v>2.2000000000000002</v>
      </c>
      <c r="K4" s="12">
        <v>1.55</v>
      </c>
      <c r="L4" s="12">
        <v>4.95</v>
      </c>
      <c r="M4" s="12">
        <v>3.75</v>
      </c>
      <c r="N4" s="13">
        <v>30671611</v>
      </c>
      <c r="O4" s="12">
        <v>143357092</v>
      </c>
      <c r="P4" s="13">
        <v>42.12</v>
      </c>
      <c r="Q4" s="13">
        <v>4.01</v>
      </c>
      <c r="R4" s="13">
        <v>3621815</v>
      </c>
      <c r="S4" s="13" t="s">
        <v>44</v>
      </c>
      <c r="T4" t="s">
        <v>44</v>
      </c>
      <c r="U4">
        <v>37</v>
      </c>
      <c r="V4">
        <v>38</v>
      </c>
      <c r="W4">
        <v>1.61</v>
      </c>
      <c r="X4">
        <v>166</v>
      </c>
      <c r="Y4" s="15">
        <f>Table133[[#This Row],[Time until ideal entry + 390 (6:30)]]/(1440)</f>
        <v>0.29722222222222222</v>
      </c>
      <c r="Z4" s="18">
        <f>(F4-D4)/D4</f>
        <v>3.954545454545455</v>
      </c>
      <c r="AA4" s="18">
        <f>IF(Table133[[#This Row],[HOD AFTER PM HI]]&gt;=Table133[[#This Row],[PM Hi]],((Table133[[#This Row],[HOD AFTER PM HI]]-Table133[[#This Row],[Prior day close]])/Table133[[#This Row],[Prior day close]]),Table133[[#This Row],[Prior Close to PM Hi %]])</f>
        <v>10.25</v>
      </c>
      <c r="AB4" s="18">
        <f>(Table133[[#This Row],[Price at hi of squeeze]]-Table133[[#This Row],[MKT Open Price]])/Table133[[#This Row],[MKT Open Price]]</f>
        <v>0.875</v>
      </c>
      <c r="AC4" s="18">
        <f>(Table133[[#This Row],[Price at hi of squeeze]]-Table133[[#This Row],[PM Hi]])/Table133[[#This Row],[PM Hi]]</f>
        <v>0.72018348623853201</v>
      </c>
      <c r="AD4" s="18">
        <f>(M4-K4)/K4</f>
        <v>1.4193548387096775</v>
      </c>
      <c r="AE4" s="20">
        <f>Table133[[#This Row],[PM VOL]]/1000000/Table133[[#This Row],[FLOAT(M)]]</f>
        <v>0.90319576059850371</v>
      </c>
      <c r="AF4" s="23">
        <f>(Table133[[#This Row],[Volume]]/1000000)/Table133[[#This Row],[FLOAT(M)]]</f>
        <v>7.6487807980049878</v>
      </c>
      <c r="AG4" s="18">
        <f>(Table133[[#This Row],[Hi of Spike after open before drop]]-Table133[[#This Row],[MKT Open Price]])/Table133[[#This Row],[MKT Open Price]]</f>
        <v>0.10000000000000009</v>
      </c>
      <c r="AH4" s="18">
        <f>(Table133[[#This Row],[PM Hi]]-Table133[[#This Row],[MKT Open Price]])/(Table133[[#This Row],[PM Hi]])</f>
        <v>8.2568807339449615E-2</v>
      </c>
      <c r="AI4" s="16">
        <f>IF(Table133[[#This Row],[PM LO]]&gt;Table133[[#This Row],[Prior day close]],(Table133[[#This Row],[PM Hi]]-Table133[[#This Row],[MKT Open Price]])/(Table133[[#This Row],[PM Hi]]-Table133[[#This Row],[Prior day close]]),(Table133[[#This Row],[PM Hi]]-Table133[[#This Row],[MKT Open Price]])/(Table133[[#This Row],[PM Hi]]-Table133[[#This Row],[PM LO]]))</f>
        <v>0.10344827586206905</v>
      </c>
      <c r="AJ4" s="16">
        <f>IF(Table133[[#This Row],[Prior day close]]&lt;Table133[[#This Row],[PM LO]],(I4-K4)/(I4-Table133[[#This Row],[Prior day close]]),(I4-K4)/(I4-Table133[[#This Row],[PM LO]]))</f>
        <v>0.28846153846153844</v>
      </c>
      <c r="AK4" s="16">
        <f>Table133[[#This Row],[Spike % on open before drop]]+AL4</f>
        <v>0.32500000000000007</v>
      </c>
      <c r="AL4" s="16">
        <f>(I4-K4)/I4</f>
        <v>0.22499999999999998</v>
      </c>
      <c r="AM4" s="18">
        <f>IF($J4&gt;=$F4,($J4-$K4)/($J4-$D4),(IF($H4&lt;=$K4,($F4-$H4)/($F4-$D4),(Table133[[#This Row],[PM Hi]]-Table133[[#This Row],[Lowest lo from open to squeeze]])/(Table133[[#This Row],[PM Hi]]-Table133[[#This Row],[Prior day close]]))))</f>
        <v>0.36931818181818182</v>
      </c>
      <c r="AN4" s="18">
        <f>IF(Table133[[#This Row],[Prior day close]]&lt;=Table133[[#This Row],[PM LO]],IF($J4&gt;=$F4,($J4-$K4)/($J4-Table133[[#This Row],[Prior day close]]),(IF($H4&lt;=$K4,($F4-$H4)/($F4-Table133[[#This Row],[Prior day close]]),(Table133[[#This Row],[PM Hi]]-Table133[[#This Row],[Lowest lo from open to squeeze]])/(Table133[[#This Row],[PM Hi]]-Table133[[#This Row],[Prior day close]])))),IF($J4&gt;=$F4,($J4-$K4)/($J4-Table133[[#This Row],[PM LO]]),(IF($H4&lt;=$K4,($F4-$H4)/($F4-Table133[[#This Row],[PM LO]]),(Table133[[#This Row],[PM Hi]]-Table133[[#This Row],[Lowest lo from open to squeeze]])/(Table133[[#This Row],[PM Hi]]-Table133[[#This Row],[PM LO]])))))</f>
        <v>0.36931818181818182</v>
      </c>
      <c r="AO4" s="18">
        <f>0.65/1.76</f>
        <v>0.36931818181818182</v>
      </c>
      <c r="AP4" s="17">
        <f>390+Table133[[#This Row],[Time until ideal entry point (mins) from open]]</f>
        <v>428</v>
      </c>
      <c r="AQ4" s="51">
        <f>(Table133[[#This Row],[Time until ideal entry + 390 (6:30)]]+Table133[[#This Row],[Duration of frontside (mins)]])/1440</f>
        <v>0.41249999999999998</v>
      </c>
    </row>
    <row r="5" spans="1:43" x14ac:dyDescent="0.25">
      <c r="A5" s="25" t="s">
        <v>68</v>
      </c>
      <c r="B5" s="11">
        <v>43920</v>
      </c>
      <c r="C5" s="47" t="s">
        <v>78</v>
      </c>
      <c r="D5" s="12">
        <v>0.52</v>
      </c>
      <c r="E5" s="13">
        <v>0.5</v>
      </c>
      <c r="F5" s="12">
        <v>1.25</v>
      </c>
      <c r="G5" s="12">
        <v>0.5</v>
      </c>
      <c r="H5" s="12">
        <v>0.95</v>
      </c>
      <c r="I5" s="12">
        <v>1</v>
      </c>
      <c r="J5" s="12">
        <v>1</v>
      </c>
      <c r="K5" s="12">
        <v>0.92</v>
      </c>
      <c r="L5" s="12">
        <v>1.91</v>
      </c>
      <c r="M5" s="12">
        <v>1.91</v>
      </c>
      <c r="N5" s="13">
        <v>62858519</v>
      </c>
      <c r="O5" s="12">
        <v>67735425</v>
      </c>
      <c r="P5" s="13">
        <v>15.75</v>
      </c>
      <c r="Q5" s="13">
        <v>11.7</v>
      </c>
      <c r="R5" s="13">
        <v>4158637</v>
      </c>
      <c r="S5" s="13" t="s">
        <v>44</v>
      </c>
      <c r="T5" t="s">
        <v>44</v>
      </c>
      <c r="U5">
        <v>2</v>
      </c>
      <c r="V5">
        <v>3</v>
      </c>
      <c r="W5">
        <v>0.97</v>
      </c>
      <c r="X5">
        <v>44</v>
      </c>
      <c r="Y5" s="15">
        <f>Table133[[#This Row],[Time until ideal entry + 390 (6:30)]]/(1440)</f>
        <v>0.27291666666666664</v>
      </c>
      <c r="Z5" s="18">
        <f>(F5-D5)/D5</f>
        <v>1.4038461538461537</v>
      </c>
      <c r="AA5" s="18">
        <f>IF(Table133[[#This Row],[HOD AFTER PM HI]]&gt;=Table133[[#This Row],[PM Hi]],((Table133[[#This Row],[HOD AFTER PM HI]]-Table133[[#This Row],[Prior day close]])/Table133[[#This Row],[Prior day close]]),Table133[[#This Row],[Prior Close to PM Hi %]])</f>
        <v>2.6730769230769229</v>
      </c>
      <c r="AB5" s="18">
        <f>(Table133[[#This Row],[Price at hi of squeeze]]-Table133[[#This Row],[MKT Open Price]])/Table133[[#This Row],[MKT Open Price]]</f>
        <v>0.90999999999999992</v>
      </c>
      <c r="AC5" s="18">
        <f>(Table133[[#This Row],[Price at hi of squeeze]]-Table133[[#This Row],[PM Hi]])/Table133[[#This Row],[PM Hi]]</f>
        <v>0.52799999999999991</v>
      </c>
      <c r="AD5" s="18">
        <f>(M5-K5)/K5</f>
        <v>1.076086956521739</v>
      </c>
      <c r="AE5" s="20">
        <f>Table133[[#This Row],[PM VOL]]/1000000/Table133[[#This Row],[FLOAT(M)]]</f>
        <v>0.35543905982905982</v>
      </c>
      <c r="AF5" s="23">
        <f>(Table133[[#This Row],[Volume]]/1000000)/Table133[[#This Row],[FLOAT(M)]]</f>
        <v>5.3725229914529917</v>
      </c>
      <c r="AG5" s="18">
        <f>(Table133[[#This Row],[Hi of Spike after open before drop]]-Table133[[#This Row],[MKT Open Price]])/Table133[[#This Row],[MKT Open Price]]</f>
        <v>0</v>
      </c>
      <c r="AH5" s="18">
        <f>(Table133[[#This Row],[PM Hi]]-Table133[[#This Row],[MKT Open Price]])/(Table133[[#This Row],[PM Hi]])</f>
        <v>0.2</v>
      </c>
      <c r="AI5" s="16">
        <f>IF(Table133[[#This Row],[PM LO]]&gt;Table133[[#This Row],[Prior day close]],(Table133[[#This Row],[PM Hi]]-Table133[[#This Row],[MKT Open Price]])/(Table133[[#This Row],[PM Hi]]-Table133[[#This Row],[Prior day close]]),(Table133[[#This Row],[PM Hi]]-Table133[[#This Row],[MKT Open Price]])/(Table133[[#This Row],[PM Hi]]-Table133[[#This Row],[PM LO]]))</f>
        <v>0.33333333333333331</v>
      </c>
      <c r="AJ5" s="16">
        <f>IF(Table133[[#This Row],[Prior day close]]&lt;Table133[[#This Row],[PM LO]],(I5-K5)/(I5-Table133[[#This Row],[Prior day close]]),(I5-K5)/(I5-Table133[[#This Row],[PM LO]]))</f>
        <v>0.15999999999999992</v>
      </c>
      <c r="AK5" s="16">
        <f>Table133[[#This Row],[Spike % on open before drop]]+AL5</f>
        <v>7.999999999999996E-2</v>
      </c>
      <c r="AL5" s="16">
        <f>(I5-K5)/I5</f>
        <v>7.999999999999996E-2</v>
      </c>
      <c r="AM5" s="18">
        <f>IF($J5&gt;=$F5,($J5-$K5)/($J5-$D5),(IF($H5&lt;=$K5,($F5-$H5)/($F5-$D5),(Table133[[#This Row],[PM Hi]]-Table133[[#This Row],[Lowest lo from open to squeeze]])/(Table133[[#This Row],[PM Hi]]-Table133[[#This Row],[Prior day close]]))))</f>
        <v>0.45205479452054792</v>
      </c>
      <c r="AN5" s="18">
        <f>IF(Table133[[#This Row],[Prior day close]]&lt;=Table133[[#This Row],[PM LO]],IF($J5&gt;=$F5,($J5-$K5)/($J5-Table133[[#This Row],[Prior day close]]),(IF($H5&lt;=$K5,($F5-$H5)/($F5-Table133[[#This Row],[Prior day close]]),(Table133[[#This Row],[PM Hi]]-Table133[[#This Row],[Lowest lo from open to squeeze]])/(Table133[[#This Row],[PM Hi]]-Table133[[#This Row],[Prior day close]])))),IF($J5&gt;=$F5,($J5-$K5)/($J5-Table133[[#This Row],[PM LO]]),(IF($H5&lt;=$K5,($F5-$H5)/($F5-Table133[[#This Row],[PM LO]]),(Table133[[#This Row],[PM Hi]]-Table133[[#This Row],[Lowest lo from open to squeeze]])/(Table133[[#This Row],[PM Hi]]-Table133[[#This Row],[PM LO]])))))</f>
        <v>0.43999999999999995</v>
      </c>
      <c r="AO5" s="18">
        <f>0.33/0.73</f>
        <v>0.45205479452054798</v>
      </c>
      <c r="AP5" s="17">
        <f>390+Table133[[#This Row],[Time until ideal entry point (mins) from open]]</f>
        <v>393</v>
      </c>
      <c r="AQ5" s="51">
        <f>(Table133[[#This Row],[Time until ideal entry + 390 (6:30)]]+Table133[[#This Row],[Duration of frontside (mins)]])/1440</f>
        <v>0.3034722222222222</v>
      </c>
    </row>
    <row r="6" spans="1:43" x14ac:dyDescent="0.25">
      <c r="A6" s="25" t="s">
        <v>66</v>
      </c>
      <c r="B6" s="11">
        <v>43917</v>
      </c>
      <c r="C6" s="47" t="s">
        <v>178</v>
      </c>
      <c r="D6" s="12">
        <v>0.54</v>
      </c>
      <c r="E6" s="13">
        <v>0.59</v>
      </c>
      <c r="F6" s="12">
        <v>2.4500000000000002</v>
      </c>
      <c r="G6" s="12">
        <v>0.59</v>
      </c>
      <c r="H6" s="12">
        <v>1.96</v>
      </c>
      <c r="I6" s="12">
        <v>2.1</v>
      </c>
      <c r="J6" s="12">
        <v>2.29</v>
      </c>
      <c r="K6" s="12">
        <v>1.77</v>
      </c>
      <c r="L6" s="12">
        <v>2.58</v>
      </c>
      <c r="M6" s="12">
        <v>2.58</v>
      </c>
      <c r="N6" s="13">
        <v>52904773</v>
      </c>
      <c r="O6" s="12">
        <v>55298227</v>
      </c>
      <c r="P6" s="13">
        <v>10.1</v>
      </c>
      <c r="Q6" s="13">
        <v>6.89</v>
      </c>
      <c r="R6" s="13">
        <v>4672620</v>
      </c>
      <c r="S6" s="13" t="s">
        <v>44</v>
      </c>
      <c r="T6" t="s">
        <v>44</v>
      </c>
      <c r="U6">
        <v>53</v>
      </c>
      <c r="V6">
        <v>54</v>
      </c>
      <c r="W6">
        <v>1.87</v>
      </c>
      <c r="X6">
        <v>30</v>
      </c>
      <c r="Y6" s="15">
        <f>Table133[[#This Row],[Time until ideal entry + 390 (6:30)]]/(1440)</f>
        <v>0.30833333333333335</v>
      </c>
      <c r="Z6" s="18">
        <f>(L6-D6)/D6</f>
        <v>3.7777777777777777</v>
      </c>
      <c r="AA6" s="18">
        <f>IF(Table133[[#This Row],[HOD AFTER PM HI]]&gt;=Table133[[#This Row],[PM Hi]],((Table133[[#This Row],[HOD AFTER PM HI]]-Table133[[#This Row],[Prior day close]])/Table133[[#This Row],[Prior day close]]),Table133[[#This Row],[Prior Close to PM Hi %]])</f>
        <v>3.7777777777777777</v>
      </c>
      <c r="AB6" s="18">
        <f>(Table133[[#This Row],[Price at hi of squeeze]]-Table133[[#This Row],[MKT Open Price]])/Table133[[#This Row],[MKT Open Price]]</f>
        <v>0.22857142857142856</v>
      </c>
      <c r="AC6" s="18">
        <f>(Table133[[#This Row],[Price at hi of squeeze]]-Table133[[#This Row],[PM Hi]])/Table133[[#This Row],[PM Hi]]</f>
        <v>5.3061224489795868E-2</v>
      </c>
      <c r="AD6" s="18">
        <f>(M6-K6)/K6</f>
        <v>0.4576271186440678</v>
      </c>
      <c r="AE6" s="20">
        <f>Table133[[#This Row],[PM VOL]]/1000000/Table133[[#This Row],[FLOAT(M)]]</f>
        <v>0.67817416545718434</v>
      </c>
      <c r="AF6" s="23">
        <f>(Table133[[#This Row],[Volume]]/1000000)/Table133[[#This Row],[FLOAT(M)]]</f>
        <v>7.6784866473149496</v>
      </c>
      <c r="AG6" s="18">
        <f>(Table133[[#This Row],[Hi of Spike after open before drop]]-Table133[[#This Row],[MKT Open Price]])/Table133[[#This Row],[MKT Open Price]]</f>
        <v>9.0476190476190446E-2</v>
      </c>
      <c r="AH6" s="18">
        <f>(Table133[[#This Row],[PM Hi]]-Table133[[#This Row],[MKT Open Price]])/(Table133[[#This Row],[PM Hi]])</f>
        <v>0.14285714285714288</v>
      </c>
      <c r="AI6" s="16">
        <f>IF(Table133[[#This Row],[PM LO]]&gt;Table133[[#This Row],[Prior day close]],(Table133[[#This Row],[PM Hi]]-Table133[[#This Row],[MKT Open Price]])/(Table133[[#This Row],[PM Hi]]-Table133[[#This Row],[Prior day close]]),(Table133[[#This Row],[PM Hi]]-Table133[[#This Row],[MKT Open Price]])/(Table133[[#This Row],[PM Hi]]-Table133[[#This Row],[PM LO]]))</f>
        <v>0.18324607329842935</v>
      </c>
      <c r="AJ6" s="16">
        <f>IF(Table133[[#This Row],[Prior day close]]&lt;Table133[[#This Row],[PM LO]],(I6-K6)/(I6-Table133[[#This Row],[Prior day close]]),(I6-K6)/(I6-Table133[[#This Row],[PM LO]]))</f>
        <v>0.21153846153846156</v>
      </c>
      <c r="AK6" s="16">
        <f>Table133[[#This Row],[Spike % on open before drop]]+AL6</f>
        <v>0.24761904761904763</v>
      </c>
      <c r="AL6" s="16">
        <f>(I6-K6)/I6</f>
        <v>0.15714285714285717</v>
      </c>
      <c r="AM6" s="18">
        <f>IF($J6&gt;=$F6,($J6-$K6)/($J6-$D6),(IF($H6&lt;=$K6,($F6-$H6)/($F6-$D6),(Table133[[#This Row],[PM Hi]]-Table133[[#This Row],[Lowest lo from open to squeeze]])/(Table133[[#This Row],[PM Hi]]-Table133[[#This Row],[Prior day close]]))))</f>
        <v>0.35602094240837701</v>
      </c>
      <c r="AN6" s="18">
        <f>IF(Table133[[#This Row],[Prior day close]]&lt;=Table133[[#This Row],[PM LO]],IF($J6&gt;=$F6,($J6-$K6)/($J6-Table133[[#This Row],[Prior day close]]),(IF($H6&lt;=$K6,($F6-$H6)/($F6-Table133[[#This Row],[Prior day close]]),(Table133[[#This Row],[PM Hi]]-Table133[[#This Row],[Lowest lo from open to squeeze]])/(Table133[[#This Row],[PM Hi]]-Table133[[#This Row],[Prior day close]])))),IF($J6&gt;=$F6,($J6-$K6)/($J6-Table133[[#This Row],[PM LO]]),(IF($H6&lt;=$K6,($F6-$H6)/($F6-Table133[[#This Row],[PM LO]]),(Table133[[#This Row],[PM Hi]]-Table133[[#This Row],[Lowest lo from open to squeeze]])/(Table133[[#This Row],[PM Hi]]-Table133[[#This Row],[PM LO]])))))</f>
        <v>0.35602094240837701</v>
      </c>
      <c r="AO6" s="18">
        <f>0.68/1.92</f>
        <v>0.35416666666666669</v>
      </c>
      <c r="AP6" s="17">
        <f>390+Table133[[#This Row],[Time until ideal entry point (mins) from open]]</f>
        <v>444</v>
      </c>
      <c r="AQ6" s="51">
        <f>(Table133[[#This Row],[Time until ideal entry + 390 (6:30)]]+Table133[[#This Row],[Duration of frontside (mins)]])/1440</f>
        <v>0.32916666666666666</v>
      </c>
    </row>
    <row r="7" spans="1:43" x14ac:dyDescent="0.25">
      <c r="A7" s="24" t="s">
        <v>229</v>
      </c>
      <c r="B7" s="47">
        <v>43952</v>
      </c>
      <c r="C7" s="47" t="s">
        <v>78</v>
      </c>
      <c r="D7" s="12">
        <v>0.63</v>
      </c>
      <c r="E7" s="13">
        <f>Table133[[#This Row],[Prior day close]]</f>
        <v>0.63</v>
      </c>
      <c r="F7" s="12">
        <v>1.64</v>
      </c>
      <c r="G7" s="12">
        <v>0.75</v>
      </c>
      <c r="H7" s="12">
        <v>1.36</v>
      </c>
      <c r="I7" s="12">
        <v>1.49</v>
      </c>
      <c r="J7" s="12">
        <v>1.5</v>
      </c>
      <c r="K7" s="12">
        <v>1.32</v>
      </c>
      <c r="L7" s="12">
        <v>1.65</v>
      </c>
      <c r="M7" s="12">
        <v>1.65</v>
      </c>
      <c r="N7" s="13">
        <v>20041685</v>
      </c>
      <c r="O7" s="12">
        <v>20041685</v>
      </c>
      <c r="P7" s="37">
        <v>22</v>
      </c>
      <c r="Q7" s="46"/>
      <c r="R7" s="37">
        <v>1918823</v>
      </c>
      <c r="S7" s="37" t="s">
        <v>42</v>
      </c>
      <c r="T7" s="37" t="s">
        <v>44</v>
      </c>
      <c r="U7" s="38">
        <v>5</v>
      </c>
      <c r="V7" s="46">
        <v>5</v>
      </c>
      <c r="W7" s="37">
        <v>1.37</v>
      </c>
      <c r="X7" s="46">
        <v>4</v>
      </c>
      <c r="Y7" s="41">
        <f>Table133[[#This Row],[Time until ideal entry + 390 (6:30)]]/(1440)</f>
        <v>0.27430555555555558</v>
      </c>
      <c r="Z7" s="18">
        <f>(F7-D7)/D7</f>
        <v>1.6031746031746028</v>
      </c>
      <c r="AA7" s="18">
        <f>IF(Table133[[#This Row],[HOD AFTER PM HI]]&gt;=Table133[[#This Row],[PM Hi]],((Table133[[#This Row],[HOD AFTER PM HI]]-Table133[[#This Row],[Prior day close]])/Table133[[#This Row],[Prior day close]]),Table133[[#This Row],[Prior Close to PM Hi %]])</f>
        <v>1.6190476190476191</v>
      </c>
      <c r="AB7" s="42">
        <f>(Table133[[#This Row],[Price at hi of squeeze]]-Table133[[#This Row],[MKT Open Price]])/Table133[[#This Row],[MKT Open Price]]</f>
        <v>0.10738255033557041</v>
      </c>
      <c r="AC7" s="18">
        <f>(Table133[[#This Row],[Price at hi of squeeze]]-Table133[[#This Row],[PM Hi]])/Table133[[#This Row],[PM Hi]]</f>
        <v>6.0975609756097615E-3</v>
      </c>
      <c r="AD7" s="18"/>
      <c r="AE7" s="20" t="e">
        <f>Table133[[#This Row],[PM VOL]]/1000000/Table133[[#This Row],[FLOAT(M)]]</f>
        <v>#DIV/0!</v>
      </c>
      <c r="AF7" s="23" t="e">
        <f>(Table133[[#This Row],[Volume]]/1000000)/Table133[[#This Row],[FLOAT(M)]]</f>
        <v>#DIV/0!</v>
      </c>
      <c r="AH7" s="18">
        <f>(Table133[[#This Row],[PM Hi]]-Table133[[#This Row],[MKT Open Price]])/(Table133[[#This Row],[PM Hi]])</f>
        <v>9.1463414634146298E-2</v>
      </c>
      <c r="AI7" s="18">
        <f>IF(Table133[[#This Row],[PM LO]]&gt;Table133[[#This Row],[Prior day close]],(Table133[[#This Row],[PM Hi]]-Table133[[#This Row],[MKT Open Price]])/(Table133[[#This Row],[PM Hi]]-Table133[[#This Row],[Prior day close]]),(Table133[[#This Row],[PM Hi]]-Table133[[#This Row],[MKT Open Price]])/(Table133[[#This Row],[PM Hi]]-Table133[[#This Row],[PM LO]]))</f>
        <v>0.14851485148514845</v>
      </c>
      <c r="AJ7" s="48">
        <f>IF(Table133[[#This Row],[Prior day close]]&lt;Table133[[#This Row],[PM LO]],(I7-K7)/(I7-Table133[[#This Row],[Prior day close]]),(I7-K7)/(I7-Table133[[#This Row],[PM LO]]))</f>
        <v>0.19767441860465107</v>
      </c>
      <c r="AK7" s="48">
        <f>Table133[[#This Row],[Spike % on open before drop]]+AL7</f>
        <v>0.11409395973154357</v>
      </c>
      <c r="AL7" s="16">
        <f>(I7-K7)/I7</f>
        <v>0.11409395973154357</v>
      </c>
      <c r="AM7" s="18">
        <f>IF($J7&gt;=$F7,($J7-$K7)/($J7),(IF($H7&lt;=$K7,($F7-$H7)/($F7),(Table133[[#This Row],[PM Hi]]-Table133[[#This Row],[Lowest lo from open to squeeze]])/(Table133[[#This Row],[PM Hi]]))))</f>
        <v>0.19512195121951212</v>
      </c>
      <c r="AN7" s="48">
        <f>IF(Table133[[#This Row],[Prior day close]]&lt;=Table133[[#This Row],[PM LO]],IF($J7&gt;=$F7,($J7-$K7)/($J7-Table133[[#This Row],[Prior day close]]),(IF($H7&lt;=$K7,($F7-$H7)/($F7-Table133[[#This Row],[Prior day close]]),(Table133[[#This Row],[PM Hi]]-Table133[[#This Row],[Lowest lo from open to squeeze]])/(Table133[[#This Row],[PM Hi]]-Table133[[#This Row],[Prior day close]])))),IF($J7&gt;=$F7,($J7-$K7)/($J7-Table133[[#This Row],[PM LO]]),(IF($H7&lt;=$K7,($F7-$H7)/($F7-Table133[[#This Row],[PM LO]]),(Table133[[#This Row],[PM Hi]]-Table133[[#This Row],[Lowest lo from open to squeeze]])/(Table133[[#This Row],[PM Hi]]-Table133[[#This Row],[PM LO]])))))</f>
        <v>0.31683168316831672</v>
      </c>
      <c r="AO7" s="18">
        <f>IF(J7&gt;=F7,(J7-K7)/(J7-D7),(IF(H7&lt;=K7,(F7-H7)/(F7-D7),(Table133[[#This Row],[PM Hi]]-Table133[[#This Row],[Lowest lo from open to squeeze]])/(Table133[[#This Row],[PM Hi]]-Table133[[#This Row],[Prior day close]]))))</f>
        <v>0.31683168316831672</v>
      </c>
      <c r="AP7" s="17">
        <f>390+Table133[[#This Row],[Time until ideal entry point (mins) from open]]</f>
        <v>395</v>
      </c>
      <c r="AQ7" s="17">
        <f>Table133[[#This Row],[Time until ideal entry + 390 (6:30)]]+Table133[[#This Row],[Duration of frontside (mins)]]</f>
        <v>399</v>
      </c>
    </row>
    <row r="8" spans="1:43" x14ac:dyDescent="0.25">
      <c r="A8" s="24" t="s">
        <v>235</v>
      </c>
      <c r="B8" s="45">
        <v>43971</v>
      </c>
      <c r="C8" s="47" t="s">
        <v>78</v>
      </c>
      <c r="D8" s="12">
        <v>0.68</v>
      </c>
      <c r="E8" s="13">
        <f>Table133[[#This Row],[Prior day close]]</f>
        <v>0.68</v>
      </c>
      <c r="F8" s="12">
        <v>1.2</v>
      </c>
      <c r="G8" s="12">
        <v>0.68</v>
      </c>
      <c r="H8" s="12">
        <v>0.88</v>
      </c>
      <c r="I8" s="12">
        <v>1</v>
      </c>
      <c r="J8" s="12">
        <v>1</v>
      </c>
      <c r="K8" s="12">
        <v>0.97</v>
      </c>
      <c r="L8" s="12">
        <v>3</v>
      </c>
      <c r="M8" s="12">
        <v>3</v>
      </c>
      <c r="N8" s="13">
        <v>74751087</v>
      </c>
      <c r="O8" s="12">
        <v>107267809</v>
      </c>
      <c r="P8" s="37">
        <v>27</v>
      </c>
      <c r="Q8" s="46">
        <v>25</v>
      </c>
      <c r="R8" s="37">
        <v>3299520</v>
      </c>
      <c r="S8" s="37" t="s">
        <v>42</v>
      </c>
      <c r="T8" s="37" t="s">
        <v>44</v>
      </c>
      <c r="U8" s="38">
        <v>1</v>
      </c>
      <c r="V8" s="46">
        <v>1</v>
      </c>
      <c r="W8" s="37">
        <v>0.97</v>
      </c>
      <c r="X8" s="46">
        <v>52</v>
      </c>
      <c r="Y8" s="41">
        <f>Table133[[#This Row],[Time until ideal entry + 390 (6:30)]]/(1440)</f>
        <v>0.27152777777777776</v>
      </c>
      <c r="Z8" s="18">
        <f>(F8-D8)/D8</f>
        <v>0.76470588235294101</v>
      </c>
      <c r="AA8" s="18">
        <f>IF(Table133[[#This Row],[HOD AFTER PM HI]]&gt;=Table133[[#This Row],[PM Hi]],((Table133[[#This Row],[HOD AFTER PM HI]]-Table133[[#This Row],[Prior day close]])/Table133[[#This Row],[Prior day close]]),Table133[[#This Row],[Prior Close to PM Hi %]])</f>
        <v>3.4117647058823524</v>
      </c>
      <c r="AB8" s="42">
        <f>(Table133[[#This Row],[Price at hi of squeeze]]-Table133[[#This Row],[MKT Open Price]])/Table133[[#This Row],[MKT Open Price]]</f>
        <v>2</v>
      </c>
      <c r="AC8" s="18">
        <f>(Table133[[#This Row],[Price at hi of squeeze]]-Table133[[#This Row],[PM Hi]])/Table133[[#This Row],[PM Hi]]</f>
        <v>1.5</v>
      </c>
      <c r="AD8" s="18"/>
      <c r="AE8" s="20">
        <f>Table133[[#This Row],[PM VOL]]/1000000/Table133[[#This Row],[FLOAT(M)]]</f>
        <v>0.13198079999999998</v>
      </c>
      <c r="AF8" s="23">
        <f>(Table133[[#This Row],[Volume]]/1000000)/Table133[[#This Row],[FLOAT(M)]]</f>
        <v>2.9900434799999998</v>
      </c>
      <c r="AH8" s="18">
        <f>(Table133[[#This Row],[PM Hi]]-Table133[[#This Row],[MKT Open Price]])/(Table133[[#This Row],[PM Hi]])</f>
        <v>0.16666666666666663</v>
      </c>
      <c r="AI8" s="18">
        <f>IF(Table133[[#This Row],[PM LO]]&gt;Table133[[#This Row],[Prior day close]],(Table133[[#This Row],[PM Hi]]-Table133[[#This Row],[MKT Open Price]])/(Table133[[#This Row],[PM Hi]]-Table133[[#This Row],[Prior day close]]),(Table133[[#This Row],[PM Hi]]-Table133[[#This Row],[MKT Open Price]])/(Table133[[#This Row],[PM Hi]]-Table133[[#This Row],[PM LO]]))</f>
        <v>0.38461538461538458</v>
      </c>
      <c r="AJ8" s="48">
        <f>IF(Table133[[#This Row],[Prior day close]]&lt;Table133[[#This Row],[PM LO]],(I8-K8)/(I8-Table133[[#This Row],[Prior day close]]),(I8-K8)/(I8-Table133[[#This Row],[PM LO]]))</f>
        <v>9.3750000000000097E-2</v>
      </c>
      <c r="AK8" s="48">
        <f>Table133[[#This Row],[Spike % on open before drop]]+AL8</f>
        <v>3.0000000000000027E-2</v>
      </c>
      <c r="AL8" s="16">
        <f>(I8-K8)/I8</f>
        <v>3.0000000000000027E-2</v>
      </c>
      <c r="AM8" s="18">
        <f>IF($J8&gt;=$F8,($J8-$K8)/($J8),(IF($H8&lt;=$K8,($F8-$H8)/($F8),(Table133[[#This Row],[PM Hi]]-Table133[[#This Row],[Lowest lo from open to squeeze]])/(Table133[[#This Row],[PM Hi]]))))</f>
        <v>0.26666666666666666</v>
      </c>
      <c r="AN8" s="48">
        <f>IF(Table133[[#This Row],[Prior day close]]&lt;=Table133[[#This Row],[PM LO]],IF($J8&gt;=$F8,($J8-$K8)/($J8-Table133[[#This Row],[Prior day close]]),(IF($H8&lt;=$K8,($F8-$H8)/($F8-Table133[[#This Row],[Prior day close]]),(Table133[[#This Row],[PM Hi]]-Table133[[#This Row],[Lowest lo from open to squeeze]])/(Table133[[#This Row],[PM Hi]]-Table133[[#This Row],[Prior day close]])))),IF($J8&gt;=$F8,($J8-$K8)/($J8-Table133[[#This Row],[PM LO]]),(IF($H8&lt;=$K8,($F8-$H8)/($F8-Table133[[#This Row],[PM LO]]),(Table133[[#This Row],[PM Hi]]-Table133[[#This Row],[Lowest lo from open to squeeze]])/(Table133[[#This Row],[PM Hi]]-Table133[[#This Row],[PM LO]])))))</f>
        <v>0.61538461538461542</v>
      </c>
      <c r="AO8" s="18">
        <f>IF(J8&gt;=F8,(J8-K8)/(J8-D8),(IF(H8&lt;=K8,(F8-H8)/(F8-D8),(Table133[[#This Row],[PM Hi]]-Table133[[#This Row],[Lowest lo from open to squeeze]])/(Table133[[#This Row],[PM Hi]]-Table133[[#This Row],[Prior day close]]))))</f>
        <v>0.61538461538461542</v>
      </c>
      <c r="AP8" s="17">
        <f>390+Table133[[#This Row],[Time until ideal entry point (mins) from open]]</f>
        <v>391</v>
      </c>
      <c r="AQ8" s="17">
        <f>Table133[[#This Row],[Time until ideal entry + 390 (6:30)]]+Table133[[#This Row],[Duration of frontside (mins)]]</f>
        <v>443</v>
      </c>
    </row>
    <row r="9" spans="1:43" x14ac:dyDescent="0.25">
      <c r="A9" s="10" t="s">
        <v>92</v>
      </c>
      <c r="B9" s="11">
        <v>43991</v>
      </c>
      <c r="C9" s="47" t="s">
        <v>78</v>
      </c>
      <c r="D9" s="12">
        <v>0.69</v>
      </c>
      <c r="E9" s="13">
        <v>0.69</v>
      </c>
      <c r="F9" s="12">
        <v>1.1499999999999999</v>
      </c>
      <c r="G9" s="12">
        <v>0.65</v>
      </c>
      <c r="H9" s="12">
        <v>0.9</v>
      </c>
      <c r="I9" s="12">
        <v>0.94</v>
      </c>
      <c r="J9" s="12">
        <v>0.94</v>
      </c>
      <c r="K9" s="12">
        <v>0.85</v>
      </c>
      <c r="L9" s="12">
        <v>2.62</v>
      </c>
      <c r="M9" s="12">
        <v>2.62</v>
      </c>
      <c r="N9" s="13">
        <v>155918020</v>
      </c>
      <c r="O9" s="12">
        <v>249468832</v>
      </c>
      <c r="P9" s="13">
        <v>4.92</v>
      </c>
      <c r="Q9">
        <v>6.72</v>
      </c>
      <c r="R9" s="13">
        <v>7151620</v>
      </c>
      <c r="S9" s="13" t="s">
        <v>44</v>
      </c>
      <c r="T9" t="s">
        <v>44</v>
      </c>
      <c r="U9">
        <v>3</v>
      </c>
      <c r="V9">
        <v>4</v>
      </c>
      <c r="W9">
        <v>0.87</v>
      </c>
      <c r="X9">
        <v>297</v>
      </c>
      <c r="Y9" s="15">
        <f>Table133[[#This Row],[Time until ideal entry + 390 (6:30)]]/(1440)</f>
        <v>0.27361111111111114</v>
      </c>
      <c r="Z9" s="18">
        <f>(F9-D9)/D9</f>
        <v>0.66666666666666663</v>
      </c>
      <c r="AA9" s="18">
        <f>IF(Table133[[#This Row],[HOD AFTER PM HI]]&gt;=Table133[[#This Row],[PM Hi]],((Table133[[#This Row],[HOD AFTER PM HI]]-Table133[[#This Row],[Prior day close]])/Table133[[#This Row],[Prior day close]]),Table133[[#This Row],[Prior Close to PM Hi %]])</f>
        <v>2.7971014492753628</v>
      </c>
      <c r="AB9" s="18">
        <f>(Table133[[#This Row],[Price at hi of squeeze]]-Table133[[#This Row],[MKT Open Price]])/Table133[[#This Row],[MKT Open Price]]</f>
        <v>1.7872340425531918</v>
      </c>
      <c r="AC9" s="18">
        <f>(Table133[[#This Row],[Price at hi of squeeze]]-Table133[[#This Row],[PM Hi]])/Table133[[#This Row],[PM Hi]]</f>
        <v>1.2782608695652176</v>
      </c>
      <c r="AD9" s="18">
        <f>(M9-K9)/K9</f>
        <v>2.0823529411764707</v>
      </c>
      <c r="AE9" s="20">
        <f>Table133[[#This Row],[PM VOL]]/1000000/Table133[[#This Row],[FLOAT(M)]]</f>
        <v>1.0642291666666668</v>
      </c>
      <c r="AF9" s="21">
        <f>(Table133[[#This Row],[Volume]]/1000000)/Table133[[#This Row],[FLOAT(M)]]</f>
        <v>23.202086309523811</v>
      </c>
      <c r="AG9" s="18">
        <f>(Table133[[#This Row],[Hi of Spike after open before drop]]-Table133[[#This Row],[MKT Open Price]])/Table133[[#This Row],[MKT Open Price]]</f>
        <v>0</v>
      </c>
      <c r="AH9" s="18">
        <f>(Table133[[#This Row],[PM Hi]]-Table133[[#This Row],[MKT Open Price]])/(Table133[[#This Row],[PM Hi]])</f>
        <v>0.18260869565217389</v>
      </c>
      <c r="AI9" s="16">
        <f>IF(Table133[[#This Row],[PM LO]]&gt;Table133[[#This Row],[Prior day close]],(Table133[[#This Row],[PM Hi]]-Table133[[#This Row],[MKT Open Price]])/(Table133[[#This Row],[PM Hi]]-Table133[[#This Row],[Prior day close]]),(Table133[[#This Row],[PM Hi]]-Table133[[#This Row],[MKT Open Price]])/(Table133[[#This Row],[PM Hi]]-Table133[[#This Row],[PM LO]]))</f>
        <v>0.42000000000000004</v>
      </c>
      <c r="AJ9" s="16">
        <f>IF(Table133[[#This Row],[Prior day close]]&lt;Table133[[#This Row],[PM LO]],(I9-K9)/(I9-Table133[[#This Row],[Prior day close]]),(I9-K9)/(I9-Table133[[#This Row],[PM LO]]))</f>
        <v>0.31034482758620685</v>
      </c>
      <c r="AK9" s="16">
        <f>Table133[[#This Row],[Spike % on open before drop]]+AL9</f>
        <v>9.5744680851063801E-2</v>
      </c>
      <c r="AL9" s="16">
        <f>(I9-K9)/I9</f>
        <v>9.5744680851063801E-2</v>
      </c>
      <c r="AM9" s="18">
        <f>IF($J9&gt;=$F9,($J9-$K9)/($J9),(IF($H9&lt;=$K9,($F9-$H9)/($F9),(Table133[[#This Row],[PM Hi]]-Table133[[#This Row],[Lowest lo from open to squeeze]])/(Table133[[#This Row],[PM Hi]]))))</f>
        <v>0.26086956521739124</v>
      </c>
      <c r="AN9" s="18">
        <f>IF(Table133[[#This Row],[Prior day close]]&lt;=Table133[[#This Row],[PM LO]],IF($J9&gt;=$F9,($J9-$K9)/($J9-Table133[[#This Row],[Prior day close]]),(IF($H9&lt;=$K9,($F9-$H9)/($F9-Table133[[#This Row],[Prior day close]]),(Table133[[#This Row],[PM Hi]]-Table133[[#This Row],[Lowest lo from open to squeeze]])/(Table133[[#This Row],[PM Hi]]-Table133[[#This Row],[Prior day close]])))),IF($J9&gt;=$F9,($J9-$K9)/($J9-Table133[[#This Row],[PM LO]]),(IF($H9&lt;=$K9,($F9-$H9)/($F9-Table133[[#This Row],[PM LO]]),(Table133[[#This Row],[PM Hi]]-Table133[[#This Row],[Lowest lo from open to squeeze]])/(Table133[[#This Row],[PM Hi]]-Table133[[#This Row],[PM LO]])))))</f>
        <v>0.6</v>
      </c>
      <c r="AO9" s="18">
        <f>IF(J9&gt;=F9,(J9-K9)/(J9-D9),(IF(H9&lt;=K9,(F9-H9)/(F9-D9),(Table133[[#This Row],[PM Hi]]-Table133[[#This Row],[Lowest lo from open to squeeze]])/(Table133[[#This Row],[PM Hi]]-Table133[[#This Row],[Prior day close]]))))</f>
        <v>0.65217391304347816</v>
      </c>
      <c r="AP9" s="17">
        <f>390+Table133[[#This Row],[Time until ideal entry point (mins) from open]]</f>
        <v>394</v>
      </c>
      <c r="AQ9" s="51">
        <f>(Table133[[#This Row],[Time until ideal entry + 390 (6:30)]]+Table133[[#This Row],[Duration of frontside (mins)]])/1440</f>
        <v>0.47986111111111113</v>
      </c>
    </row>
    <row r="10" spans="1:43" x14ac:dyDescent="0.25">
      <c r="A10" s="10" t="s">
        <v>77</v>
      </c>
      <c r="B10" s="11">
        <v>43970</v>
      </c>
      <c r="C10" s="47" t="s">
        <v>78</v>
      </c>
      <c r="D10" s="12">
        <v>0.75</v>
      </c>
      <c r="E10" s="13">
        <v>0.8</v>
      </c>
      <c r="F10" s="12">
        <v>1.5</v>
      </c>
      <c r="G10" s="12">
        <v>0.8</v>
      </c>
      <c r="H10" s="12">
        <v>1.17</v>
      </c>
      <c r="I10" s="12">
        <v>1.24</v>
      </c>
      <c r="J10" s="12">
        <v>1.29</v>
      </c>
      <c r="K10" s="12">
        <v>1.1399999999999999</v>
      </c>
      <c r="L10" s="12">
        <v>3.97</v>
      </c>
      <c r="M10" s="12">
        <v>3.97</v>
      </c>
      <c r="N10" s="13">
        <v>299097818</v>
      </c>
      <c r="O10" s="12">
        <v>1039156204</v>
      </c>
      <c r="P10" s="13">
        <v>6.28</v>
      </c>
      <c r="Q10">
        <v>7.73</v>
      </c>
      <c r="R10" s="13">
        <v>5868098</v>
      </c>
      <c r="S10" s="13" t="s">
        <v>44</v>
      </c>
      <c r="T10" t="s">
        <v>44</v>
      </c>
      <c r="U10">
        <v>3</v>
      </c>
      <c r="V10">
        <v>4</v>
      </c>
      <c r="W10">
        <v>1.17</v>
      </c>
      <c r="X10">
        <v>214</v>
      </c>
      <c r="Y10" s="15">
        <f>Table133[[#This Row],[Time until ideal entry + 390 (6:30)]]/(1440)</f>
        <v>0.27361111111111114</v>
      </c>
      <c r="Z10" s="18">
        <f>(F10-D10)/D10</f>
        <v>1</v>
      </c>
      <c r="AA10" s="18">
        <f>IF(Table133[[#This Row],[HOD AFTER PM HI]]&gt;=Table133[[#This Row],[PM Hi]],((Table133[[#This Row],[HOD AFTER PM HI]]-Table133[[#This Row],[Prior day close]])/Table133[[#This Row],[Prior day close]]),Table133[[#This Row],[Prior Close to PM Hi %]])</f>
        <v>4.2933333333333339</v>
      </c>
      <c r="AB10" s="18">
        <f>(Table133[[#This Row],[Price at hi of squeeze]]-Table133[[#This Row],[MKT Open Price]])/Table133[[#This Row],[MKT Open Price]]</f>
        <v>2.2016129032258069</v>
      </c>
      <c r="AC10" s="18">
        <f>(Table133[[#This Row],[Price at hi of squeeze]]-Table133[[#This Row],[PM Hi]])/Table133[[#This Row],[PM Hi]]</f>
        <v>1.6466666666666667</v>
      </c>
      <c r="AD10" s="18">
        <f>(M10-K10)/K10</f>
        <v>2.4824561403508776</v>
      </c>
      <c r="AE10" s="20">
        <f>Table133[[#This Row],[PM VOL]]/1000000/Table133[[#This Row],[FLOAT(M)]]</f>
        <v>0.75913298835705034</v>
      </c>
      <c r="AF10" s="21">
        <f>(Table133[[#This Row],[Volume]]/1000000)/Table133[[#This Row],[FLOAT(M)]]</f>
        <v>38.69312005174644</v>
      </c>
      <c r="AG10" s="18">
        <f>(Table133[[#This Row],[Hi of Spike after open before drop]]-Table133[[#This Row],[MKT Open Price]])/Table133[[#This Row],[MKT Open Price]]</f>
        <v>4.0322580645161324E-2</v>
      </c>
      <c r="AH10" s="18">
        <f>(Table133[[#This Row],[PM Hi]]-Table133[[#This Row],[MKT Open Price]])/(Table133[[#This Row],[PM Hi]])</f>
        <v>0.17333333333333334</v>
      </c>
      <c r="AI10" s="16">
        <f>IF(Table133[[#This Row],[PM LO]]&gt;Table133[[#This Row],[Prior day close]],(Table133[[#This Row],[PM Hi]]-Table133[[#This Row],[MKT Open Price]])/(Table133[[#This Row],[PM Hi]]-Table133[[#This Row],[Prior day close]]),(Table133[[#This Row],[PM Hi]]-Table133[[#This Row],[MKT Open Price]])/(Table133[[#This Row],[PM Hi]]-Table133[[#This Row],[PM LO]]))</f>
        <v>0.34666666666666668</v>
      </c>
      <c r="AJ10" s="16">
        <f>IF(Table133[[#This Row],[Prior day close]]&lt;Table133[[#This Row],[PM LO]],(I10-K10)/(I10-Table133[[#This Row],[Prior day close]]),(I10-K10)/(I10-Table133[[#This Row],[PM LO]]))</f>
        <v>0.20408163265306142</v>
      </c>
      <c r="AK10" s="16">
        <f>Table133[[#This Row],[Spike % on open before drop]]+AL10</f>
        <v>0.12096774193548397</v>
      </c>
      <c r="AL10" s="16">
        <f>(I10-K10)/I10</f>
        <v>8.0645161290322648E-2</v>
      </c>
      <c r="AM10" s="18">
        <f>IF($J10&gt;=$F10,($J10-$K10)/($J10),(IF($H10&lt;=$K10,($F10-$H10)/($F10),(Table133[[#This Row],[PM Hi]]-Table133[[#This Row],[Lowest lo from open to squeeze]])/(Table133[[#This Row],[PM Hi]]))))</f>
        <v>0.24000000000000007</v>
      </c>
      <c r="AN10" s="18">
        <f>IF(Table133[[#This Row],[Prior day close]]&lt;=Table133[[#This Row],[PM LO]],IF($J10&gt;=$F10,($J10-$K10)/($J10-Table133[[#This Row],[Prior day close]]),(IF($H10&lt;=$K10,($F10-$H10)/($F10-Table133[[#This Row],[Prior day close]]),(Table133[[#This Row],[PM Hi]]-Table133[[#This Row],[Lowest lo from open to squeeze]])/(Table133[[#This Row],[PM Hi]]-Table133[[#This Row],[Prior day close]])))),IF($J10&gt;=$F10,($J10-$K10)/($J10-Table133[[#This Row],[PM LO]]),(IF($H10&lt;=$K10,($F10-$H10)/($F10-Table133[[#This Row],[PM LO]]),(Table133[[#This Row],[PM Hi]]-Table133[[#This Row],[Lowest lo from open to squeeze]])/(Table133[[#This Row],[PM Hi]]-Table133[[#This Row],[PM LO]])))))</f>
        <v>0.48000000000000015</v>
      </c>
      <c r="AO10" s="18">
        <f>IF(J10&gt;=F10,(J10-K10)/(J10-D10),(IF(H10&lt;=K10,(F10-H10)/(F10-D10),(Table133[[#This Row],[PM Hi]]-Table133[[#This Row],[Lowest lo from open to squeeze]])/(Table133[[#This Row],[PM Hi]]-Table133[[#This Row],[Prior day close]]))))</f>
        <v>0.48000000000000015</v>
      </c>
      <c r="AP10" s="17">
        <f>390+Table133[[#This Row],[Time until ideal entry point (mins) from open]]</f>
        <v>394</v>
      </c>
      <c r="AQ10" s="51">
        <f>(Table133[[#This Row],[Time until ideal entry + 390 (6:30)]]+Table133[[#This Row],[Duration of frontside (mins)]])/1440</f>
        <v>0.42222222222222222</v>
      </c>
    </row>
    <row r="11" spans="1:43" x14ac:dyDescent="0.25">
      <c r="A11" s="24" t="s">
        <v>176</v>
      </c>
      <c r="B11" s="47">
        <v>44202</v>
      </c>
      <c r="C11" s="47" t="s">
        <v>78</v>
      </c>
      <c r="D11" s="12">
        <v>0.87</v>
      </c>
      <c r="E11" s="13">
        <v>0.87</v>
      </c>
      <c r="F11" s="12">
        <v>1.6</v>
      </c>
      <c r="G11" s="12">
        <v>0.84</v>
      </c>
      <c r="H11" s="12">
        <v>1.35</v>
      </c>
      <c r="I11" s="12">
        <v>1.45</v>
      </c>
      <c r="J11" s="12">
        <v>1.45</v>
      </c>
      <c r="K11" s="12">
        <v>1.32</v>
      </c>
      <c r="L11" s="12">
        <v>1.75</v>
      </c>
      <c r="M11" s="12">
        <v>1.75</v>
      </c>
      <c r="N11" s="13">
        <v>188372580</v>
      </c>
      <c r="O11" s="12">
        <v>195907483</v>
      </c>
      <c r="P11" s="37">
        <v>36</v>
      </c>
      <c r="Q11" s="46">
        <v>35</v>
      </c>
      <c r="R11" s="37">
        <v>43836888</v>
      </c>
      <c r="S11" s="37" t="s">
        <v>42</v>
      </c>
      <c r="T11" s="37" t="s">
        <v>44</v>
      </c>
      <c r="U11" s="38">
        <v>2</v>
      </c>
      <c r="V11" s="46">
        <v>2</v>
      </c>
      <c r="W11" s="39">
        <v>1.34</v>
      </c>
      <c r="X11" s="46">
        <v>14</v>
      </c>
      <c r="Y11" s="40">
        <f>Table133[[#This Row],[Time until ideal entry + 390 (6:30)]]/(1440)</f>
        <v>0.2722222222222222</v>
      </c>
      <c r="Z11" s="18">
        <f>(F11-D11)/D11</f>
        <v>0.83908045977011503</v>
      </c>
      <c r="AA11" s="18">
        <f>IF(Table133[[#This Row],[HOD AFTER PM HI]]&gt;=Table133[[#This Row],[PM Hi]],((Table133[[#This Row],[HOD AFTER PM HI]]-Table133[[#This Row],[Prior day close]])/Table133[[#This Row],[Prior day close]]),Table133[[#This Row],[Prior Close to PM Hi %]])</f>
        <v>1.0114942528735633</v>
      </c>
      <c r="AB11" s="42">
        <f>(Table133[[#This Row],[Price at hi of squeeze]]-Table133[[#This Row],[MKT Open Price]])/Table133[[#This Row],[MKT Open Price]]</f>
        <v>0.20689655172413796</v>
      </c>
      <c r="AC11" s="18">
        <f>(Table133[[#This Row],[Price at hi of squeeze]]-Table133[[#This Row],[PM Hi]])/Table133[[#This Row],[PM Hi]]</f>
        <v>9.3749999999999944E-2</v>
      </c>
      <c r="AD11" s="18"/>
      <c r="AE11" s="20">
        <f>Table133[[#This Row],[PM VOL]]/1000000/Table133[[#This Row],[FLOAT(M)]]</f>
        <v>1.2524825142857143</v>
      </c>
      <c r="AF11" s="23">
        <f>(Table133[[#This Row],[Volume]]/1000000)/Table133[[#This Row],[FLOAT(M)]]</f>
        <v>5.3820737142857142</v>
      </c>
      <c r="AH11" s="18">
        <f>(Table133[[#This Row],[PM Hi]]-Table133[[#This Row],[MKT Open Price]])/(Table133[[#This Row],[PM Hi]])</f>
        <v>9.3750000000000083E-2</v>
      </c>
      <c r="AI11" s="16">
        <f>IF(Table133[[#This Row],[PM LO]]&gt;Table133[[#This Row],[Prior day close]],(Table133[[#This Row],[PM Hi]]-Table133[[#This Row],[MKT Open Price]])/(Table133[[#This Row],[PM Hi]]-Table133[[#This Row],[Prior day close]]),(Table133[[#This Row],[PM Hi]]-Table133[[#This Row],[MKT Open Price]])/(Table133[[#This Row],[PM Hi]]-Table133[[#This Row],[PM LO]]))</f>
        <v>0.19736842105263172</v>
      </c>
      <c r="AJ11" s="48">
        <f>IF(Table133[[#This Row],[Prior day close]]&lt;Table133[[#This Row],[PM LO]],(I11-K11)/(I11-Table133[[#This Row],[Prior day close]]),(I11-K11)/(I11-Table133[[#This Row],[PM LO]]))</f>
        <v>0.21311475409836048</v>
      </c>
      <c r="AK11" s="48">
        <f>Table133[[#This Row],[Spike % on open before drop]]+AL11</f>
        <v>8.9655172413793033E-2</v>
      </c>
      <c r="AL11" s="16">
        <f>(I11-K11)/I11</f>
        <v>8.9655172413793033E-2</v>
      </c>
      <c r="AM11" s="16"/>
      <c r="AN11" s="48">
        <f>IF(Table133[[#This Row],[Prior day close]]&lt;=Table133[[#This Row],[PM LO]],IF($J11&gt;=$F11,($J11-$K11)/($J11-Table133[[#This Row],[Prior day close]]),(IF($H11&lt;=$K11,($F11-$H11)/($F11-Table133[[#This Row],[Prior day close]]),(Table133[[#This Row],[PM Hi]]-Table133[[#This Row],[Lowest lo from open to squeeze]])/(Table133[[#This Row],[PM Hi]]-Table133[[#This Row],[Prior day close]])))),IF($J11&gt;=$F11,($J11-$K11)/($J11-Table133[[#This Row],[PM LO]]),(IF($H11&lt;=$K11,($F11-$H11)/($F11-Table133[[#This Row],[PM LO]]),(Table133[[#This Row],[PM Hi]]-Table133[[#This Row],[Lowest lo from open to squeeze]])/(Table133[[#This Row],[PM Hi]]-Table133[[#This Row],[PM LO]])))))</f>
        <v>0.36842105263157893</v>
      </c>
      <c r="AO11" s="18"/>
      <c r="AP11" s="17">
        <f>390+Table133[[#This Row],[Time until ideal entry point (mins) from open]]</f>
        <v>392</v>
      </c>
      <c r="AQ11" s="51">
        <f>(Table133[[#This Row],[Time until ideal entry + 390 (6:30)]]+Table133[[#This Row],[Duration of frontside (mins)]])/1440</f>
        <v>0.28194444444444444</v>
      </c>
    </row>
    <row r="12" spans="1:43" x14ac:dyDescent="0.25">
      <c r="A12" s="24" t="s">
        <v>153</v>
      </c>
      <c r="B12" s="11">
        <v>44125</v>
      </c>
      <c r="C12" s="47" t="s">
        <v>78</v>
      </c>
      <c r="D12" s="12">
        <v>0.97</v>
      </c>
      <c r="E12" s="13">
        <v>1.05</v>
      </c>
      <c r="F12" s="12">
        <v>4</v>
      </c>
      <c r="G12" s="12">
        <v>1.05</v>
      </c>
      <c r="H12" s="12">
        <v>2.69</v>
      </c>
      <c r="I12" s="12">
        <v>2.94</v>
      </c>
      <c r="J12" s="12">
        <v>3.79</v>
      </c>
      <c r="K12" s="12">
        <v>2.52</v>
      </c>
      <c r="L12" s="12">
        <v>4.3600000000000003</v>
      </c>
      <c r="M12" s="12">
        <v>4.3600000000000003</v>
      </c>
      <c r="N12" s="13">
        <v>68920093</v>
      </c>
      <c r="O12" s="12">
        <v>97177331</v>
      </c>
      <c r="P12" s="37">
        <v>9.8000000000000007</v>
      </c>
      <c r="Q12">
        <v>10.47</v>
      </c>
      <c r="R12" s="37">
        <v>8870117</v>
      </c>
      <c r="S12" s="37" t="s">
        <v>42</v>
      </c>
      <c r="T12" s="37" t="s">
        <v>44</v>
      </c>
      <c r="U12" s="38">
        <v>6</v>
      </c>
      <c r="V12">
        <v>7</v>
      </c>
      <c r="W12" s="39">
        <v>2.63</v>
      </c>
      <c r="X12">
        <v>19</v>
      </c>
      <c r="Y12" s="40">
        <f>Table133[[#This Row],[Time until ideal entry + 390 (6:30)]]/(1440)</f>
        <v>0.27569444444444446</v>
      </c>
      <c r="Z12" s="18">
        <f>(F12-D12)/D12</f>
        <v>3.123711340206186</v>
      </c>
      <c r="AA12" s="18">
        <f>IF(Table133[[#This Row],[HOD AFTER PM HI]]&gt;=Table133[[#This Row],[PM Hi]],((Table133[[#This Row],[HOD AFTER PM HI]]-Table133[[#This Row],[Prior day close]])/Table133[[#This Row],[Prior day close]]),Table133[[#This Row],[Prior Close to PM Hi %]])</f>
        <v>3.4948453608247427</v>
      </c>
      <c r="AB12" s="42">
        <f>(Table133[[#This Row],[Price at hi of squeeze]]-Table133[[#This Row],[MKT Open Price]])/Table133[[#This Row],[MKT Open Price]]</f>
        <v>0.48299319727891171</v>
      </c>
      <c r="AC12" s="18">
        <f>(Table133[[#This Row],[Price at hi of squeeze]]-Table133[[#This Row],[PM Hi]])/Table133[[#This Row],[PM Hi]]</f>
        <v>9.000000000000008E-2</v>
      </c>
      <c r="AD12" s="18">
        <f>(M12-K12)/K12</f>
        <v>0.73015873015873023</v>
      </c>
      <c r="AE12" s="20">
        <f>Table133[[#This Row],[PM VOL]]/1000000/Table133[[#This Row],[FLOAT(M)]]</f>
        <v>0.8471936007640879</v>
      </c>
      <c r="AF12" s="23">
        <f>(Table133[[#This Row],[Volume]]/1000000)/Table133[[#This Row],[FLOAT(M)]]</f>
        <v>6.5826258834765987</v>
      </c>
      <c r="AH12" s="18">
        <f>(Table133[[#This Row],[PM Hi]]-Table133[[#This Row],[MKT Open Price]])/(Table133[[#This Row],[PM Hi]])</f>
        <v>0.26500000000000001</v>
      </c>
      <c r="AI12" s="16">
        <f>IF(Table133[[#This Row],[PM LO]]&gt;Table133[[#This Row],[Prior day close]],(Table133[[#This Row],[PM Hi]]-Table133[[#This Row],[MKT Open Price]])/(Table133[[#This Row],[PM Hi]]-Table133[[#This Row],[Prior day close]]),(Table133[[#This Row],[PM Hi]]-Table133[[#This Row],[MKT Open Price]])/(Table133[[#This Row],[PM Hi]]-Table133[[#This Row],[PM LO]]))</f>
        <v>0.34983498349834985</v>
      </c>
      <c r="AJ12" s="18">
        <f>IF(Table133[[#This Row],[Prior day close]]&lt;Table133[[#This Row],[PM LO]],(I12-K12)/(I12-Table133[[#This Row],[Prior day close]]),(I12-K12)/(I12-Table133[[#This Row],[PM LO]]))</f>
        <v>0.21319796954314718</v>
      </c>
      <c r="AK12" s="18">
        <f>Table133[[#This Row],[Spike % on open before drop]]+AL12</f>
        <v>0.14285714285714285</v>
      </c>
      <c r="AL12" s="16">
        <f>(I12-K12)/I12</f>
        <v>0.14285714285714285</v>
      </c>
      <c r="AM12" s="18">
        <f>IF($J12&gt;=$F12,($J12-$K12)/($J12),(IF($H12&lt;=$K12,($F12-$H12)/($F12),(Table133[[#This Row],[PM Hi]]-Table133[[#This Row],[Lowest lo from open to squeeze]])/(Table133[[#This Row],[PM Hi]]))))</f>
        <v>0.37</v>
      </c>
      <c r="AN12" s="18">
        <f>IF(Table133[[#This Row],[Prior day close]]&lt;=Table133[[#This Row],[PM LO]],IF($J12&gt;=$F12,($J12-$K12)/($J12-Table133[[#This Row],[Prior day close]]),(IF($H12&lt;=$K12,($F12-$H12)/($F12-Table133[[#This Row],[Prior day close]]),(Table133[[#This Row],[PM Hi]]-Table133[[#This Row],[Lowest lo from open to squeeze]])/(Table133[[#This Row],[PM Hi]]-Table133[[#This Row],[Prior day close]])))),IF($J12&gt;=$F12,($J12-$K12)/($J12-Table133[[#This Row],[PM LO]]),(IF($H12&lt;=$K12,($F12-$H12)/($F12-Table133[[#This Row],[PM LO]]),(Table133[[#This Row],[PM Hi]]-Table133[[#This Row],[Lowest lo from open to squeeze]])/(Table133[[#This Row],[PM Hi]]-Table133[[#This Row],[PM LO]])))))</f>
        <v>0.48844884488448842</v>
      </c>
      <c r="AO12" s="18">
        <f>IF(J12&gt;=F12,(J12-K12)/(J12-D12),(IF(H12&lt;=K12,(F12-H12)/(F12-D12),(Table133[[#This Row],[PM Hi]]-Table133[[#This Row],[Lowest lo from open to squeeze]])/(Table133[[#This Row],[PM Hi]]-Table133[[#This Row],[Prior day close]]))))</f>
        <v>0.48844884488448842</v>
      </c>
      <c r="AP12" s="17">
        <f>390+Table133[[#This Row],[Time until ideal entry point (mins) from open]]</f>
        <v>397</v>
      </c>
      <c r="AQ12" s="51">
        <f>(Table133[[#This Row],[Time until ideal entry + 390 (6:30)]]+Table133[[#This Row],[Duration of frontside (mins)]])/1440</f>
        <v>0.28888888888888886</v>
      </c>
    </row>
    <row r="13" spans="1:43" x14ac:dyDescent="0.25">
      <c r="A13" s="24" t="s">
        <v>225</v>
      </c>
      <c r="B13" s="47">
        <v>43942</v>
      </c>
      <c r="C13" s="47" t="s">
        <v>78</v>
      </c>
      <c r="D13" s="12">
        <v>1.03</v>
      </c>
      <c r="E13" s="13">
        <f>Table133[[#This Row],[Prior day close]]</f>
        <v>1.03</v>
      </c>
      <c r="F13" s="12">
        <v>2.9</v>
      </c>
      <c r="G13" s="12">
        <v>1.04</v>
      </c>
      <c r="H13" s="12">
        <v>2.27</v>
      </c>
      <c r="I13" s="12">
        <v>2.73</v>
      </c>
      <c r="J13" s="12">
        <v>2.8</v>
      </c>
      <c r="K13" s="12">
        <v>2.4500000000000002</v>
      </c>
      <c r="L13" s="12">
        <v>4.17</v>
      </c>
      <c r="M13" s="12">
        <v>3.8</v>
      </c>
      <c r="N13" s="13">
        <v>123036411</v>
      </c>
      <c r="O13" s="12">
        <v>314358030</v>
      </c>
      <c r="P13" s="37">
        <v>36.25</v>
      </c>
      <c r="Q13" s="46">
        <v>28.3</v>
      </c>
      <c r="R13" s="37">
        <v>10865984</v>
      </c>
      <c r="S13" s="37" t="s">
        <v>42</v>
      </c>
      <c r="T13" s="37" t="s">
        <v>44</v>
      </c>
      <c r="U13" s="38">
        <v>2</v>
      </c>
      <c r="V13" s="46">
        <v>2</v>
      </c>
      <c r="W13" s="37">
        <v>2.4700000000000002</v>
      </c>
      <c r="X13" s="46">
        <v>8</v>
      </c>
      <c r="Y13" s="41">
        <f>Table133[[#This Row],[Time until ideal entry + 390 (6:30)]]/(1440)</f>
        <v>0.2722222222222222</v>
      </c>
      <c r="Z13" s="18">
        <f>(F13-D13)/D13</f>
        <v>1.8155339805825241</v>
      </c>
      <c r="AA13" s="18">
        <f>IF(Table133[[#This Row],[HOD AFTER PM HI]]&gt;=Table133[[#This Row],[PM Hi]],((Table133[[#This Row],[HOD AFTER PM HI]]-Table133[[#This Row],[Prior day close]])/Table133[[#This Row],[Prior day close]]),Table133[[#This Row],[Prior Close to PM Hi %]])</f>
        <v>3.0485436893203879</v>
      </c>
      <c r="AB13" s="42">
        <f>(Table133[[#This Row],[Price at hi of squeeze]]-Table133[[#This Row],[MKT Open Price]])/Table133[[#This Row],[MKT Open Price]]</f>
        <v>0.39194139194139188</v>
      </c>
      <c r="AC13" s="18">
        <f>(Table133[[#This Row],[Price at hi of squeeze]]-Table133[[#This Row],[PM Hi]])/Table133[[#This Row],[PM Hi]]</f>
        <v>0.31034482758620685</v>
      </c>
      <c r="AD13" s="18"/>
      <c r="AE13" s="20">
        <f>Table133[[#This Row],[PM VOL]]/1000000/Table133[[#This Row],[FLOAT(M)]]</f>
        <v>0.3839570318021201</v>
      </c>
      <c r="AF13" s="23">
        <f>(Table133[[#This Row],[Volume]]/1000000)/Table133[[#This Row],[FLOAT(M)]]</f>
        <v>4.3475763604240285</v>
      </c>
      <c r="AH13" s="18">
        <f>(Table133[[#This Row],[PM Hi]]-Table133[[#This Row],[MKT Open Price]])/(Table133[[#This Row],[PM Hi]])</f>
        <v>5.8620689655172392E-2</v>
      </c>
      <c r="AI13" s="18">
        <f>IF(Table133[[#This Row],[PM LO]]&gt;Table133[[#This Row],[Prior day close]],(Table133[[#This Row],[PM Hi]]-Table133[[#This Row],[MKT Open Price]])/(Table133[[#This Row],[PM Hi]]-Table133[[#This Row],[Prior day close]]),(Table133[[#This Row],[PM Hi]]-Table133[[#This Row],[MKT Open Price]])/(Table133[[#This Row],[PM Hi]]-Table133[[#This Row],[PM LO]]))</f>
        <v>9.090909090909087E-2</v>
      </c>
      <c r="AJ13" s="48">
        <f>IF(Table133[[#This Row],[Prior day close]]&lt;Table133[[#This Row],[PM LO]],(I13-K13)/(I13-Table133[[#This Row],[Prior day close]]),(I13-K13)/(I13-Table133[[#This Row],[PM LO]]))</f>
        <v>0.16470588235294106</v>
      </c>
      <c r="AK13" s="48">
        <f>Table133[[#This Row],[Spike % on open before drop]]+AL13</f>
        <v>0.10256410256410249</v>
      </c>
      <c r="AL13" s="16">
        <f>(I13-K13)/I13</f>
        <v>0.10256410256410249</v>
      </c>
      <c r="AM13" s="18">
        <f>IF($J13&gt;=$F13,($J13-$K13)/($J13),(IF($H13&lt;=$K13,($F13-$H13)/($F13),(Table133[[#This Row],[PM Hi]]-Table133[[#This Row],[Lowest lo from open to squeeze]])/(Table133[[#This Row],[PM Hi]]))))</f>
        <v>0.21724137931034479</v>
      </c>
      <c r="AN13" s="48">
        <f>IF(Table133[[#This Row],[Prior day close]]&lt;=Table133[[#This Row],[PM LO]],IF($J13&gt;=$F13,($J13-$K13)/($J13-Table133[[#This Row],[Prior day close]]),(IF($H13&lt;=$K13,($F13-$H13)/($F13-Table133[[#This Row],[Prior day close]]),(Table133[[#This Row],[PM Hi]]-Table133[[#This Row],[Lowest lo from open to squeeze]])/(Table133[[#This Row],[PM Hi]]-Table133[[#This Row],[Prior day close]])))),IF($J13&gt;=$F13,($J13-$K13)/($J13-Table133[[#This Row],[PM LO]]),(IF($H13&lt;=$K13,($F13-$H13)/($F13-Table133[[#This Row],[PM LO]]),(Table133[[#This Row],[PM Hi]]-Table133[[#This Row],[Lowest lo from open to squeeze]])/(Table133[[#This Row],[PM Hi]]-Table133[[#This Row],[PM LO]])))))</f>
        <v>0.33689839572192509</v>
      </c>
      <c r="AO13" s="18">
        <f>IF(J13&gt;=F13,(J13-K13)/(J13-D13),(IF(H13&lt;=K13,(F13-H13)/(F13-D13),(Table133[[#This Row],[PM Hi]]-Table133[[#This Row],[Lowest lo from open to squeeze]])/(Table133[[#This Row],[PM Hi]]-Table133[[#This Row],[Prior day close]]))))</f>
        <v>0.33689839572192509</v>
      </c>
      <c r="AP13" s="17">
        <f>390+Table133[[#This Row],[Time until ideal entry point (mins) from open]]</f>
        <v>392</v>
      </c>
      <c r="AQ13" s="17">
        <f>Table133[[#This Row],[Time until ideal entry + 390 (6:30)]]+Table133[[#This Row],[Duration of frontside (mins)]]</f>
        <v>400</v>
      </c>
    </row>
    <row r="14" spans="1:43" x14ac:dyDescent="0.25">
      <c r="A14" s="24" t="s">
        <v>127</v>
      </c>
      <c r="B14" s="11">
        <v>44082</v>
      </c>
      <c r="C14" s="47" t="s">
        <v>78</v>
      </c>
      <c r="D14" s="12">
        <v>1.05</v>
      </c>
      <c r="E14" s="13">
        <v>1.0900000000000001</v>
      </c>
      <c r="F14" s="12">
        <v>2.02</v>
      </c>
      <c r="G14" s="12">
        <v>1.0900000000000001</v>
      </c>
      <c r="H14" s="12">
        <v>1.9</v>
      </c>
      <c r="I14" s="12">
        <v>1.91</v>
      </c>
      <c r="J14" s="12">
        <v>2.09</v>
      </c>
      <c r="K14" s="12">
        <v>1.65</v>
      </c>
      <c r="L14" s="12">
        <v>2.33</v>
      </c>
      <c r="M14" s="12">
        <v>2.2200000000000002</v>
      </c>
      <c r="N14" s="13">
        <v>165232990</v>
      </c>
      <c r="O14" s="12">
        <v>356903258</v>
      </c>
      <c r="P14" s="37">
        <v>31.5</v>
      </c>
      <c r="Q14">
        <v>19.649999999999999</v>
      </c>
      <c r="R14" s="13">
        <v>6903199</v>
      </c>
      <c r="S14" s="13" t="s">
        <v>42</v>
      </c>
      <c r="T14" t="s">
        <v>44</v>
      </c>
      <c r="U14" s="17">
        <v>14</v>
      </c>
      <c r="V14">
        <v>15</v>
      </c>
      <c r="W14">
        <v>1.7</v>
      </c>
      <c r="X14">
        <v>33</v>
      </c>
      <c r="Y14" s="15">
        <f>Table133[[#This Row],[Time until ideal entry + 390 (6:30)]]/(1440)</f>
        <v>0.28125</v>
      </c>
      <c r="Z14" s="18">
        <f>(F14-D14)/D14</f>
        <v>0.92380952380952375</v>
      </c>
      <c r="AA14" s="18">
        <f>IF(Table133[[#This Row],[HOD AFTER PM HI]]&gt;=Table133[[#This Row],[PM Hi]],((Table133[[#This Row],[HOD AFTER PM HI]]-Table133[[#This Row],[Prior day close]])/Table133[[#This Row],[Prior day close]]),Table133[[#This Row],[Prior Close to PM Hi %]])</f>
        <v>1.2190476190476189</v>
      </c>
      <c r="AB14" s="18">
        <f>(Table133[[#This Row],[Price at hi of squeeze]]-Table133[[#This Row],[MKT Open Price]])/Table133[[#This Row],[MKT Open Price]]</f>
        <v>0.16230366492146611</v>
      </c>
      <c r="AC14" s="18">
        <f>(Table133[[#This Row],[Price at hi of squeeze]]-Table133[[#This Row],[PM Hi]])/Table133[[#This Row],[PM Hi]]</f>
        <v>9.9009900990099098E-2</v>
      </c>
      <c r="AD14" s="18">
        <f>(M14-K14)/K14</f>
        <v>0.34545454545454563</v>
      </c>
      <c r="AE14" s="20">
        <f>Table133[[#This Row],[PM VOL]]/1000000/Table133[[#This Row],[FLOAT(M)]]</f>
        <v>0.35130783715012726</v>
      </c>
      <c r="AF14" s="23">
        <f>(Table133[[#This Row],[Volume]]/1000000)/Table133[[#This Row],[FLOAT(M)]]</f>
        <v>8.4088035623409674</v>
      </c>
      <c r="AG14" s="18">
        <f>(Table133[[#This Row],[Hi of Spike after open before drop]]-Table133[[#This Row],[MKT Open Price]])/Table133[[#This Row],[MKT Open Price]]</f>
        <v>9.4240837696335053E-2</v>
      </c>
      <c r="AH14" s="18">
        <f>(Table133[[#This Row],[PM Hi]]-Table133[[#This Row],[MKT Open Price]])/(Table133[[#This Row],[PM Hi]])</f>
        <v>5.4455445544554504E-2</v>
      </c>
      <c r="AI14" s="16">
        <f>IF(Table133[[#This Row],[PM LO]]&gt;Table133[[#This Row],[Prior day close]],(Table133[[#This Row],[PM Hi]]-Table133[[#This Row],[MKT Open Price]])/(Table133[[#This Row],[PM Hi]]-Table133[[#This Row],[Prior day close]]),(Table133[[#This Row],[PM Hi]]-Table133[[#This Row],[MKT Open Price]])/(Table133[[#This Row],[PM Hi]]-Table133[[#This Row],[PM LO]]))</f>
        <v>0.11340206185567021</v>
      </c>
      <c r="AJ14" s="16">
        <f>IF(Table133[[#This Row],[Prior day close]]&lt;Table133[[#This Row],[PM LO]],(I14-K14)/(I14-Table133[[#This Row],[Prior day close]]),(I14-K14)/(I14-Table133[[#This Row],[PM LO]]))</f>
        <v>0.30232558139534887</v>
      </c>
      <c r="AK14" s="16">
        <f>Table133[[#This Row],[Spike % on open before drop]]+AL14</f>
        <v>0.23036649214659682</v>
      </c>
      <c r="AL14" s="16">
        <f>(I14-K14)/I14</f>
        <v>0.13612565445026178</v>
      </c>
      <c r="AM14" s="18">
        <f>IF($J14&gt;=$F14,($J14-$K14)/($J14),(IF($H14&lt;=$K14,($F14-$H14)/($F14),(Table133[[#This Row],[PM Hi]]-Table133[[#This Row],[Lowest lo from open to squeeze]])/(Table133[[#This Row],[PM Hi]]))))</f>
        <v>0.21052631578947367</v>
      </c>
      <c r="AN14" s="18">
        <f>IF(Table133[[#This Row],[Prior day close]]&lt;=Table133[[#This Row],[PM LO]],IF($J14&gt;=$F14,($J14-$K14)/($J14-Table133[[#This Row],[Prior day close]]),(IF($H14&lt;=$K14,($F14-$H14)/($F14-Table133[[#This Row],[Prior day close]]),(Table133[[#This Row],[PM Hi]]-Table133[[#This Row],[Lowest lo from open to squeeze]])/(Table133[[#This Row],[PM Hi]]-Table133[[#This Row],[Prior day close]])))),IF($J14&gt;=$F14,($J14-$K14)/($J14-Table133[[#This Row],[PM LO]]),(IF($H14&lt;=$K14,($F14-$H14)/($F14-Table133[[#This Row],[PM LO]]),(Table133[[#This Row],[PM Hi]]-Table133[[#This Row],[Lowest lo from open to squeeze]])/(Table133[[#This Row],[PM Hi]]-Table133[[#This Row],[PM LO]])))))</f>
        <v>0.42307692307692313</v>
      </c>
      <c r="AO14" s="18">
        <f>IF(J14&gt;=F14,(J14-K14)/(J14-D14),(IF(H14&lt;=K14,(F14-H14)/(F14-D14),(Table133[[#This Row],[PM Hi]]-Table133[[#This Row],[Lowest lo from open to squeeze]])/(Table133[[#This Row],[PM Hi]]-Table133[[#This Row],[Prior day close]]))))</f>
        <v>0.42307692307692313</v>
      </c>
      <c r="AP14" s="17">
        <f>390+Table133[[#This Row],[Time until ideal entry point (mins) from open]]</f>
        <v>405</v>
      </c>
      <c r="AQ14" s="51">
        <f>(Table133[[#This Row],[Time until ideal entry + 390 (6:30)]]+Table133[[#This Row],[Duration of frontside (mins)]])/1440</f>
        <v>0.30416666666666664</v>
      </c>
    </row>
    <row r="15" spans="1:43" x14ac:dyDescent="0.25">
      <c r="A15" s="24" t="s">
        <v>129</v>
      </c>
      <c r="B15" s="45">
        <v>44097</v>
      </c>
      <c r="C15" s="47" t="s">
        <v>78</v>
      </c>
      <c r="D15" s="12">
        <v>1.07</v>
      </c>
      <c r="E15" s="13">
        <v>1.0900000000000001</v>
      </c>
      <c r="F15" s="12">
        <v>4.03</v>
      </c>
      <c r="G15" s="12">
        <v>1.0900000000000001</v>
      </c>
      <c r="H15" s="12">
        <v>2.88</v>
      </c>
      <c r="I15" s="12">
        <v>3.54</v>
      </c>
      <c r="J15" s="12">
        <v>4.2300000000000004</v>
      </c>
      <c r="K15" s="12">
        <v>3.3</v>
      </c>
      <c r="L15" s="12">
        <v>46.67</v>
      </c>
      <c r="M15" s="12">
        <v>46.67</v>
      </c>
      <c r="N15" s="13">
        <v>339000000</v>
      </c>
      <c r="O15" s="12">
        <v>5222888908</v>
      </c>
      <c r="P15" s="37">
        <v>15.44</v>
      </c>
      <c r="Q15">
        <v>7.2</v>
      </c>
      <c r="R15" s="13">
        <v>23432797</v>
      </c>
      <c r="S15" s="13" t="s">
        <v>44</v>
      </c>
      <c r="T15" t="s">
        <v>44</v>
      </c>
      <c r="U15" s="17">
        <v>26</v>
      </c>
      <c r="V15">
        <v>27</v>
      </c>
      <c r="W15">
        <v>3.38</v>
      </c>
      <c r="X15">
        <v>248</v>
      </c>
      <c r="Y15" s="15">
        <f>Table133[[#This Row],[Time until ideal entry + 390 (6:30)]]/(1440)</f>
        <v>0.28958333333333336</v>
      </c>
      <c r="Z15" s="18">
        <f>(F15-D15)/D15</f>
        <v>2.7663551401869158</v>
      </c>
      <c r="AA15" s="18">
        <f>IF(Table133[[#This Row],[HOD AFTER PM HI]]&gt;=Table133[[#This Row],[PM Hi]],((Table133[[#This Row],[HOD AFTER PM HI]]-Table133[[#This Row],[Prior day close]])/Table133[[#This Row],[Prior day close]]),Table133[[#This Row],[Prior Close to PM Hi %]])</f>
        <v>42.616822429906541</v>
      </c>
      <c r="AB15" s="18">
        <f>(Table133[[#This Row],[Price at hi of squeeze]]-Table133[[#This Row],[MKT Open Price]])/Table133[[#This Row],[MKT Open Price]]</f>
        <v>12.18361581920904</v>
      </c>
      <c r="AC15" s="18">
        <f>(Table133[[#This Row],[Price at hi of squeeze]]-Table133[[#This Row],[PM Hi]])/Table133[[#This Row],[PM Hi]]</f>
        <v>10.580645161290322</v>
      </c>
      <c r="AD15" s="18">
        <f>(M15-K15)/K15</f>
        <v>13.142424242424244</v>
      </c>
      <c r="AE15" s="20">
        <f>Table133[[#This Row],[PM VOL]]/1000000/Table133[[#This Row],[FLOAT(M)]]</f>
        <v>3.2545551388888887</v>
      </c>
      <c r="AF15" s="23">
        <f>(Table133[[#This Row],[Volume]]/1000000)/Table133[[#This Row],[FLOAT(M)]]</f>
        <v>47.083333333333336</v>
      </c>
      <c r="AG15" s="18">
        <f>(Table133[[#This Row],[Hi of Spike after open before drop]]-Table133[[#This Row],[MKT Open Price]])/Table133[[#This Row],[MKT Open Price]]</f>
        <v>0.19491525423728825</v>
      </c>
      <c r="AH15" s="18">
        <f>(Table133[[#This Row],[PM Hi]]-Table133[[#This Row],[MKT Open Price]])/(Table133[[#This Row],[PM Hi]])</f>
        <v>0.12158808933002486</v>
      </c>
      <c r="AI15" s="16">
        <f>IF(Table133[[#This Row],[PM LO]]&gt;Table133[[#This Row],[Prior day close]],(Table133[[#This Row],[PM Hi]]-Table133[[#This Row],[MKT Open Price]])/(Table133[[#This Row],[PM Hi]]-Table133[[#This Row],[Prior day close]]),(Table133[[#This Row],[PM Hi]]-Table133[[#This Row],[MKT Open Price]])/(Table133[[#This Row],[PM Hi]]-Table133[[#This Row],[PM LO]]))</f>
        <v>0.16554054054054063</v>
      </c>
      <c r="AJ15" s="18">
        <f>IF(Table133[[#This Row],[Prior day close]]&lt;Table133[[#This Row],[PM LO]],(I15-K15)/(I15-Table133[[#This Row],[Prior day close]]),(I15-K15)/(I15-Table133[[#This Row],[PM LO]]))</f>
        <v>9.7165991902834106E-2</v>
      </c>
      <c r="AK15" s="18">
        <f>Table133[[#This Row],[Spike % on open before drop]]+AL15</f>
        <v>0.26271186440677985</v>
      </c>
      <c r="AL15" s="16">
        <f>(I15-K15)/I15</f>
        <v>6.7796610169491581E-2</v>
      </c>
      <c r="AM15" s="18">
        <f>IF($J15&gt;=$F15,($J15-$K15)/($J15),(IF($H15&lt;=$K15,($F15-$H15)/($F15),(Table133[[#This Row],[PM Hi]]-Table133[[#This Row],[Lowest lo from open to squeeze]])/(Table133[[#This Row],[PM Hi]]))))</f>
        <v>0.21985815602836892</v>
      </c>
      <c r="AN15" s="18">
        <f>IF(Table133[[#This Row],[Prior day close]]&lt;=Table133[[#This Row],[PM LO]],IF($J15&gt;=$F15,($J15-$K15)/($J15-Table133[[#This Row],[Prior day close]]),(IF($H15&lt;=$K15,($F15-$H15)/($F15-Table133[[#This Row],[Prior day close]]),(Table133[[#This Row],[PM Hi]]-Table133[[#This Row],[Lowest lo from open to squeeze]])/(Table133[[#This Row],[PM Hi]]-Table133[[#This Row],[Prior day close]])))),IF($J15&gt;=$F15,($J15-$K15)/($J15-Table133[[#This Row],[PM LO]]),(IF($H15&lt;=$K15,($F15-$H15)/($F15-Table133[[#This Row],[PM LO]]),(Table133[[#This Row],[PM Hi]]-Table133[[#This Row],[Lowest lo from open to squeeze]])/(Table133[[#This Row],[PM Hi]]-Table133[[#This Row],[PM LO]])))))</f>
        <v>0.29430379746835461</v>
      </c>
      <c r="AO15" s="18">
        <f>IF(J15&gt;=F15,(J15-K15)/(J15-D15),(IF(H15&lt;=K15,(F15-H15)/(F15-D15),(Table133[[#This Row],[PM Hi]]-Table133[[#This Row],[Lowest lo from open to squeeze]])/(Table133[[#This Row],[PM Hi]]-Table133[[#This Row],[Prior day close]]))))</f>
        <v>0.29430379746835461</v>
      </c>
      <c r="AP15" s="17">
        <f>390+Table133[[#This Row],[Time until ideal entry point (mins) from open]]</f>
        <v>417</v>
      </c>
      <c r="AQ15" s="51">
        <f>(Table133[[#This Row],[Time until ideal entry + 390 (6:30)]]+Table133[[#This Row],[Duration of frontside (mins)]])/1440</f>
        <v>0.46180555555555558</v>
      </c>
    </row>
    <row r="16" spans="1:43" x14ac:dyDescent="0.25">
      <c r="A16" s="25" t="s">
        <v>70</v>
      </c>
      <c r="B16" s="11">
        <v>43930</v>
      </c>
      <c r="C16" s="47" t="s">
        <v>78</v>
      </c>
      <c r="D16" s="12">
        <v>1.1100000000000001</v>
      </c>
      <c r="E16" s="13">
        <v>1.25</v>
      </c>
      <c r="F16" s="12">
        <v>3.61</v>
      </c>
      <c r="G16" s="12">
        <v>1.25</v>
      </c>
      <c r="H16" s="12">
        <v>3.39</v>
      </c>
      <c r="I16" s="12">
        <v>3.5</v>
      </c>
      <c r="J16" s="12">
        <v>4.1500000000000004</v>
      </c>
      <c r="K16" s="12">
        <v>3.05</v>
      </c>
      <c r="L16" s="12">
        <v>4.1100000000000003</v>
      </c>
      <c r="M16" s="12">
        <v>4.1100000000000003</v>
      </c>
      <c r="N16" s="13">
        <v>19795485</v>
      </c>
      <c r="O16" s="12">
        <v>36224670</v>
      </c>
      <c r="P16" s="13">
        <v>5.4</v>
      </c>
      <c r="Q16" s="13">
        <v>3.38</v>
      </c>
      <c r="R16" s="13">
        <v>782201</v>
      </c>
      <c r="S16" s="13" t="s">
        <v>44</v>
      </c>
      <c r="T16" t="s">
        <v>44</v>
      </c>
      <c r="U16">
        <v>13</v>
      </c>
      <c r="V16">
        <v>14</v>
      </c>
      <c r="W16">
        <v>3.24</v>
      </c>
      <c r="X16">
        <v>12</v>
      </c>
      <c r="Y16" s="15">
        <f>Table133[[#This Row],[Time until ideal entry + 390 (6:30)]]/(1440)</f>
        <v>0.28055555555555556</v>
      </c>
      <c r="Z16" s="18">
        <f>(F16-D16)/D16</f>
        <v>2.2522522522522519</v>
      </c>
      <c r="AA16" s="18">
        <f>IF(Table133[[#This Row],[HOD AFTER PM HI]]&gt;=Table133[[#This Row],[PM Hi]],((Table133[[#This Row],[HOD AFTER PM HI]]-Table133[[#This Row],[Prior day close]])/Table133[[#This Row],[Prior day close]]),Table133[[#This Row],[Prior Close to PM Hi %]])</f>
        <v>2.7027027027027026</v>
      </c>
      <c r="AB16" s="18">
        <f>(Table133[[#This Row],[Price at hi of squeeze]]-Table133[[#This Row],[MKT Open Price]])/Table133[[#This Row],[MKT Open Price]]</f>
        <v>0.17428571428571438</v>
      </c>
      <c r="AC16" s="18">
        <f>(Table133[[#This Row],[Price at hi of squeeze]]-Table133[[#This Row],[PM Hi]])/Table133[[#This Row],[PM Hi]]</f>
        <v>0.13850415512465386</v>
      </c>
      <c r="AD16" s="18">
        <f>(M16-K16)/K16</f>
        <v>0.34754098360655755</v>
      </c>
      <c r="AE16" s="20">
        <f>Table133[[#This Row],[PM VOL]]/1000000/Table133[[#This Row],[FLOAT(M)]]</f>
        <v>0.23142041420118345</v>
      </c>
      <c r="AF16" s="23">
        <f>(Table133[[#This Row],[Volume]]/1000000)/Table133[[#This Row],[FLOAT(M)]]</f>
        <v>5.856652366863905</v>
      </c>
      <c r="AG16" s="18">
        <f>(Table133[[#This Row],[Hi of Spike after open before drop]]-Table133[[#This Row],[MKT Open Price]])/Table133[[#This Row],[MKT Open Price]]</f>
        <v>0.1857142857142858</v>
      </c>
      <c r="AH16" s="18">
        <f>(Table133[[#This Row],[PM Hi]]-Table133[[#This Row],[MKT Open Price]])/(Table133[[#This Row],[PM Hi]])</f>
        <v>3.0470914127423789E-2</v>
      </c>
      <c r="AI16" s="16">
        <f>IF(Table133[[#This Row],[PM LO]]&gt;Table133[[#This Row],[Prior day close]],(Table133[[#This Row],[PM Hi]]-Table133[[#This Row],[MKT Open Price]])/(Table133[[#This Row],[PM Hi]]-Table133[[#This Row],[Prior day close]]),(Table133[[#This Row],[PM Hi]]-Table133[[#This Row],[MKT Open Price]])/(Table133[[#This Row],[PM Hi]]-Table133[[#This Row],[PM LO]]))</f>
        <v>4.3999999999999949E-2</v>
      </c>
      <c r="AJ16" s="16">
        <f>IF(Table133[[#This Row],[Prior day close]]&lt;Table133[[#This Row],[PM LO]],(I16-K16)/(I16-Table133[[#This Row],[Prior day close]]),(I16-K16)/(I16-Table133[[#This Row],[PM LO]]))</f>
        <v>0.18828451882845199</v>
      </c>
      <c r="AK16" s="16">
        <f>Table133[[#This Row],[Spike % on open before drop]]+AL16</f>
        <v>0.31428571428571439</v>
      </c>
      <c r="AL16" s="16">
        <f>(I16-K16)/I16</f>
        <v>0.12857142857142861</v>
      </c>
      <c r="AM16" s="18">
        <f>IF($J16&gt;=$F16,($J16-$K16)/($J16-$D16),(IF($H16&lt;=$K16,($F16-$H16)/($F16-$D16),(Table133[[#This Row],[PM Hi]]-Table133[[#This Row],[Lowest lo from open to squeeze]])/(Table133[[#This Row],[PM Hi]]-Table133[[#This Row],[Prior day close]]))))</f>
        <v>0.36184210526315808</v>
      </c>
      <c r="AN16" s="18">
        <f>IF(Table133[[#This Row],[Prior day close]]&lt;=Table133[[#This Row],[PM LO]],IF($J16&gt;=$F16,($J16-$K16)/($J16-Table133[[#This Row],[Prior day close]]),(IF($H16&lt;=$K16,($F16-$H16)/($F16-Table133[[#This Row],[Prior day close]]),(Table133[[#This Row],[PM Hi]]-Table133[[#This Row],[Lowest lo from open to squeeze]])/(Table133[[#This Row],[PM Hi]]-Table133[[#This Row],[Prior day close]])))),IF($J16&gt;=$F16,($J16-$K16)/($J16-Table133[[#This Row],[PM LO]]),(IF($H16&lt;=$K16,($F16-$H16)/($F16-Table133[[#This Row],[PM LO]]),(Table133[[#This Row],[PM Hi]]-Table133[[#This Row],[Lowest lo from open to squeeze]])/(Table133[[#This Row],[PM Hi]]-Table133[[#This Row],[PM LO]])))))</f>
        <v>0.36184210526315808</v>
      </c>
      <c r="AO16" s="18">
        <f>1.09/3.05</f>
        <v>0.35737704918032792</v>
      </c>
      <c r="AP16" s="17">
        <f>390+Table133[[#This Row],[Time until ideal entry point (mins) from open]]</f>
        <v>404</v>
      </c>
      <c r="AQ16" s="51">
        <f>(Table133[[#This Row],[Time until ideal entry + 390 (6:30)]]+Table133[[#This Row],[Duration of frontside (mins)]])/1440</f>
        <v>0.28888888888888886</v>
      </c>
    </row>
    <row r="17" spans="1:43" x14ac:dyDescent="0.25">
      <c r="A17" s="25" t="s">
        <v>64</v>
      </c>
      <c r="B17" s="11">
        <v>43915</v>
      </c>
      <c r="C17" s="47" t="s">
        <v>78</v>
      </c>
      <c r="D17" s="12">
        <v>1.1200000000000001</v>
      </c>
      <c r="E17" s="13">
        <v>1.6</v>
      </c>
      <c r="F17" s="12">
        <v>4.08</v>
      </c>
      <c r="G17" s="12">
        <v>1.6</v>
      </c>
      <c r="H17" s="12">
        <v>3.62</v>
      </c>
      <c r="I17" s="12">
        <v>3.64</v>
      </c>
      <c r="J17" s="12">
        <v>4.34</v>
      </c>
      <c r="K17" s="12">
        <v>3.3</v>
      </c>
      <c r="L17" s="12">
        <v>7.75</v>
      </c>
      <c r="M17" s="12">
        <v>7.74</v>
      </c>
      <c r="N17" s="13">
        <v>46623018</v>
      </c>
      <c r="O17" s="12">
        <v>174472072</v>
      </c>
      <c r="P17" s="13">
        <v>7.1</v>
      </c>
      <c r="Q17" s="13">
        <v>3.66</v>
      </c>
      <c r="R17" s="13">
        <v>1492287</v>
      </c>
      <c r="S17" s="13" t="s">
        <v>42</v>
      </c>
      <c r="T17" t="s">
        <v>44</v>
      </c>
      <c r="U17">
        <v>7</v>
      </c>
      <c r="V17">
        <v>8</v>
      </c>
      <c r="W17">
        <v>3.47</v>
      </c>
      <c r="X17">
        <v>44</v>
      </c>
      <c r="Y17" s="15">
        <f>Table133[[#This Row],[Time until ideal entry + 390 (6:30)]]/(1440)</f>
        <v>0.27638888888888891</v>
      </c>
      <c r="Z17" s="18">
        <f>(F17-D17)/D17</f>
        <v>2.6428571428571428</v>
      </c>
      <c r="AA17" s="18">
        <f>IF(Table133[[#This Row],[HOD AFTER PM HI]]&gt;=Table133[[#This Row],[PM Hi]],((Table133[[#This Row],[HOD AFTER PM HI]]-Table133[[#This Row],[Prior day close]])/Table133[[#This Row],[Prior day close]]),Table133[[#This Row],[Prior Close to PM Hi %]])</f>
        <v>5.9196428571428568</v>
      </c>
      <c r="AB17" s="18">
        <f>(Table133[[#This Row],[Price at hi of squeeze]]-Table133[[#This Row],[MKT Open Price]])/Table133[[#This Row],[MKT Open Price]]</f>
        <v>1.1263736263736261</v>
      </c>
      <c r="AC17" s="18">
        <f>(Table133[[#This Row],[Price at hi of squeeze]]-Table133[[#This Row],[PM Hi]])/Table133[[#This Row],[PM Hi]]</f>
        <v>0.8970588235294118</v>
      </c>
      <c r="AD17" s="18">
        <f>(M17-K17)/K17</f>
        <v>1.3454545454545457</v>
      </c>
      <c r="AE17" s="20">
        <f>Table133[[#This Row],[PM VOL]]/1000000/Table133[[#This Row],[FLOAT(M)]]</f>
        <v>0.4077286885245901</v>
      </c>
      <c r="AF17" s="23">
        <f>(Table133[[#This Row],[Volume]]/1000000)/Table133[[#This Row],[FLOAT(M)]]</f>
        <v>12.738529508196722</v>
      </c>
      <c r="AG17" s="18">
        <f>(Table133[[#This Row],[Hi of Spike after open before drop]]-Table133[[#This Row],[MKT Open Price]])/Table133[[#This Row],[MKT Open Price]]</f>
        <v>0.19230769230769224</v>
      </c>
      <c r="AH17" s="18">
        <f>(Table133[[#This Row],[PM Hi]]-Table133[[#This Row],[MKT Open Price]])/(Table133[[#This Row],[PM Hi]])</f>
        <v>0.10784313725490195</v>
      </c>
      <c r="AI17" s="16">
        <f>IF(Table133[[#This Row],[PM LO]]&gt;Table133[[#This Row],[Prior day close]],(Table133[[#This Row],[PM Hi]]-Table133[[#This Row],[MKT Open Price]])/(Table133[[#This Row],[PM Hi]]-Table133[[#This Row],[Prior day close]]),(Table133[[#This Row],[PM Hi]]-Table133[[#This Row],[MKT Open Price]])/(Table133[[#This Row],[PM Hi]]-Table133[[#This Row],[PM LO]]))</f>
        <v>0.14864864864864863</v>
      </c>
      <c r="AJ17" s="16">
        <f>IF(Table133[[#This Row],[Prior day close]]&lt;Table133[[#This Row],[PM LO]],(I17-K17)/(I17-Table133[[#This Row],[Prior day close]]),(I17-K17)/(I17-Table133[[#This Row],[PM LO]]))</f>
        <v>0.13492063492063505</v>
      </c>
      <c r="AK17" s="16">
        <f>Table133[[#This Row],[Spike % on open before drop]]+AL17</f>
        <v>0.2857142857142857</v>
      </c>
      <c r="AL17" s="16">
        <f>(I17-K17)/I17</f>
        <v>9.3406593406593491E-2</v>
      </c>
      <c r="AM17" s="18">
        <f>IF($J17&gt;=$F17,($J17-$K17)/($J17-$D17),(IF($H17&lt;=$K17,($F17-$H17)/($F17-$D17),(Table133[[#This Row],[PM Hi]]-Table133[[#This Row],[Lowest lo from open to squeeze]])/(Table133[[#This Row],[PM Hi]]-Table133[[#This Row],[Prior day close]]))))</f>
        <v>0.32298136645962738</v>
      </c>
      <c r="AN17" s="18">
        <f>IF(Table133[[#This Row],[Prior day close]]&lt;=Table133[[#This Row],[PM LO]],IF($J17&gt;=$F17,($J17-$K17)/($J17-Table133[[#This Row],[Prior day close]]),(IF($H17&lt;=$K17,($F17-$H17)/($F17-Table133[[#This Row],[Prior day close]]),(Table133[[#This Row],[PM Hi]]-Table133[[#This Row],[Lowest lo from open to squeeze]])/(Table133[[#This Row],[PM Hi]]-Table133[[#This Row],[Prior day close]])))),IF($J17&gt;=$F17,($J17-$K17)/($J17-Table133[[#This Row],[PM LO]]),(IF($H17&lt;=$K17,($F17-$H17)/($F17-Table133[[#This Row],[PM LO]]),(Table133[[#This Row],[PM Hi]]-Table133[[#This Row],[Lowest lo from open to squeeze]])/(Table133[[#This Row],[PM Hi]]-Table133[[#This Row],[PM LO]])))))</f>
        <v>0.32298136645962738</v>
      </c>
      <c r="AO17" s="18">
        <f>1.04/3.23</f>
        <v>0.32198142414860681</v>
      </c>
      <c r="AP17" s="17">
        <f>390+Table133[[#This Row],[Time until ideal entry point (mins) from open]]</f>
        <v>398</v>
      </c>
      <c r="AQ17" s="51">
        <f>(Table133[[#This Row],[Time until ideal entry + 390 (6:30)]]+Table133[[#This Row],[Duration of frontside (mins)]])/1440</f>
        <v>0.30694444444444446</v>
      </c>
    </row>
    <row r="18" spans="1:43" x14ac:dyDescent="0.25">
      <c r="A18" s="10" t="s">
        <v>96</v>
      </c>
      <c r="B18" s="11">
        <v>43999</v>
      </c>
      <c r="C18" s="47" t="s">
        <v>78</v>
      </c>
      <c r="D18" s="12">
        <v>1.1200000000000001</v>
      </c>
      <c r="E18" s="13">
        <v>1.1499999999999999</v>
      </c>
      <c r="F18" s="12">
        <v>3.57</v>
      </c>
      <c r="G18" s="12">
        <v>1.1399999999999999</v>
      </c>
      <c r="H18" s="12">
        <v>2.2999999999999998</v>
      </c>
      <c r="I18" s="12">
        <v>2.74</v>
      </c>
      <c r="J18" s="12">
        <v>3.12</v>
      </c>
      <c r="K18" s="12">
        <v>2.5</v>
      </c>
      <c r="L18" s="12">
        <v>4.8899999999999997</v>
      </c>
      <c r="M18" s="12">
        <v>4.8899999999999997</v>
      </c>
      <c r="N18" s="13">
        <v>47681656</v>
      </c>
      <c r="O18" s="12">
        <v>86416284</v>
      </c>
      <c r="P18" s="13">
        <v>4.34</v>
      </c>
      <c r="Q18">
        <v>1.93</v>
      </c>
      <c r="R18" s="13">
        <v>1868143</v>
      </c>
      <c r="S18" s="13"/>
      <c r="T18" t="s">
        <v>44</v>
      </c>
      <c r="U18">
        <v>1</v>
      </c>
      <c r="V18">
        <v>2</v>
      </c>
      <c r="W18">
        <v>2.96</v>
      </c>
      <c r="X18">
        <v>40</v>
      </c>
      <c r="Y18" s="15">
        <f>Table133[[#This Row],[Time until ideal entry + 390 (6:30)]]/(1440)</f>
        <v>0.2722222222222222</v>
      </c>
      <c r="Z18" s="18">
        <f>(F18-D18)/D18</f>
        <v>2.1874999999999996</v>
      </c>
      <c r="AA18" s="18">
        <f>IF(Table133[[#This Row],[HOD AFTER PM HI]]&gt;=Table133[[#This Row],[PM Hi]],((Table133[[#This Row],[HOD AFTER PM HI]]-Table133[[#This Row],[Prior day close]])/Table133[[#This Row],[Prior day close]]),Table133[[#This Row],[Prior Close to PM Hi %]])</f>
        <v>3.3660714285714279</v>
      </c>
      <c r="AB18" s="18">
        <f>(Table133[[#This Row],[Price at hi of squeeze]]-Table133[[#This Row],[MKT Open Price]])/Table133[[#This Row],[MKT Open Price]]</f>
        <v>0.78467153284671509</v>
      </c>
      <c r="AC18" s="18">
        <f>(Table133[[#This Row],[Price at hi of squeeze]]-Table133[[#This Row],[PM Hi]])/Table133[[#This Row],[PM Hi]]</f>
        <v>0.36974789915966383</v>
      </c>
      <c r="AD18" s="18">
        <f>(M18-K18)/K18</f>
        <v>0.95599999999999985</v>
      </c>
      <c r="AE18" s="20">
        <f>Table133[[#This Row],[PM VOL]]/1000000/Table133[[#This Row],[FLOAT(M)]]</f>
        <v>0.96794974093264252</v>
      </c>
      <c r="AF18" s="21">
        <f>(Table133[[#This Row],[Volume]]/1000000)/Table133[[#This Row],[FLOAT(M)]]</f>
        <v>24.705521243523314</v>
      </c>
      <c r="AG18" s="18">
        <f>(Table133[[#This Row],[Hi of Spike after open before drop]]-Table133[[#This Row],[MKT Open Price]])/Table133[[#This Row],[MKT Open Price]]</f>
        <v>0.13868613138686126</v>
      </c>
      <c r="AH18" s="18">
        <f>(Table133[[#This Row],[PM Hi]]-Table133[[#This Row],[MKT Open Price]])/(Table133[[#This Row],[PM Hi]])</f>
        <v>0.23249299719887945</v>
      </c>
      <c r="AI18" s="16">
        <f>IF(Table133[[#This Row],[PM LO]]&gt;Table133[[#This Row],[Prior day close]],(Table133[[#This Row],[PM Hi]]-Table133[[#This Row],[MKT Open Price]])/(Table133[[#This Row],[PM Hi]]-Table133[[#This Row],[Prior day close]]),(Table133[[#This Row],[PM Hi]]-Table133[[#This Row],[MKT Open Price]])/(Table133[[#This Row],[PM Hi]]-Table133[[#This Row],[PM LO]]))</f>
        <v>0.33877551020408153</v>
      </c>
      <c r="AJ18" s="16">
        <f>IF(Table133[[#This Row],[Prior day close]]&lt;Table133[[#This Row],[PM LO]],(I18-K18)/(I18-Table133[[#This Row],[Prior day close]]),(I18-K18)/(I18-Table133[[#This Row],[PM LO]]))</f>
        <v>0.14814814814814828</v>
      </c>
      <c r="AK18" s="16">
        <f>Table133[[#This Row],[Spike % on open before drop]]+AL18</f>
        <v>0.22627737226277372</v>
      </c>
      <c r="AL18" s="16">
        <f>(I18-K18)/I18</f>
        <v>8.7591240875912482E-2</v>
      </c>
      <c r="AM18" s="18">
        <f>IF($J18&gt;=$F18,($J18-$K18)/($J18),(IF($H18&lt;=$K18,($F18-$H18)/($F18),(Table133[[#This Row],[PM Hi]]-Table133[[#This Row],[Lowest lo from open to squeeze]])/(Table133[[#This Row],[PM Hi]]))))</f>
        <v>0.35574229691876752</v>
      </c>
      <c r="AN18" s="18">
        <f>IF(Table133[[#This Row],[Prior day close]]&lt;=Table133[[#This Row],[PM LO]],IF($J18&gt;=$F18,($J18-$K18)/($J18-Table133[[#This Row],[Prior day close]]),(IF($H18&lt;=$K18,($F18-$H18)/($F18-Table133[[#This Row],[Prior day close]]),(Table133[[#This Row],[PM Hi]]-Table133[[#This Row],[Lowest lo from open to squeeze]])/(Table133[[#This Row],[PM Hi]]-Table133[[#This Row],[Prior day close]])))),IF($J18&gt;=$F18,($J18-$K18)/($J18-Table133[[#This Row],[PM LO]]),(IF($H18&lt;=$K18,($F18-$H18)/($F18-Table133[[#This Row],[PM LO]]),(Table133[[#This Row],[PM Hi]]-Table133[[#This Row],[Lowest lo from open to squeeze]])/(Table133[[#This Row],[PM Hi]]-Table133[[#This Row],[PM LO]])))))</f>
        <v>0.51836734693877562</v>
      </c>
      <c r="AO18" s="18">
        <f>IF(J18&gt;=F18,(J18-K18)/(J18-D18),(IF(H18&lt;=K18,(F18-H18)/(F18-D18),(Table133[[#This Row],[PM Hi]]-Table133[[#This Row],[Lowest lo from open to squeeze]])/(Table133[[#This Row],[PM Hi]]-Table133[[#This Row],[Prior day close]]))))</f>
        <v>0.51836734693877562</v>
      </c>
      <c r="AP18" s="17">
        <f>390+Table133[[#This Row],[Time until ideal entry point (mins) from open]]</f>
        <v>392</v>
      </c>
      <c r="AQ18" s="51">
        <f>(Table133[[#This Row],[Time until ideal entry + 390 (6:30)]]+Table133[[#This Row],[Duration of frontside (mins)]])/1440</f>
        <v>0.3</v>
      </c>
    </row>
    <row r="19" spans="1:43" x14ac:dyDescent="0.25">
      <c r="A19" s="10" t="s">
        <v>104</v>
      </c>
      <c r="B19" s="44">
        <v>44013</v>
      </c>
      <c r="C19" s="47" t="s">
        <v>78</v>
      </c>
      <c r="D19" s="12">
        <v>1.1299999999999999</v>
      </c>
      <c r="E19" s="13">
        <v>1.18</v>
      </c>
      <c r="F19" s="12">
        <v>3.73</v>
      </c>
      <c r="G19" s="12">
        <v>1.1499999999999999</v>
      </c>
      <c r="H19" s="12">
        <v>1.71</v>
      </c>
      <c r="I19" s="12">
        <v>2.11</v>
      </c>
      <c r="J19" s="12">
        <v>2.11</v>
      </c>
      <c r="K19" s="12">
        <v>1.96</v>
      </c>
      <c r="L19" s="12">
        <v>3.85</v>
      </c>
      <c r="M19" s="12">
        <v>3.63</v>
      </c>
      <c r="N19" s="13">
        <v>223606230</v>
      </c>
      <c r="O19" s="12">
        <v>562723906</v>
      </c>
      <c r="P19" s="13">
        <v>8</v>
      </c>
      <c r="Q19">
        <v>6.42</v>
      </c>
      <c r="R19" s="13">
        <v>6004157</v>
      </c>
      <c r="S19" s="13" t="s">
        <v>42</v>
      </c>
      <c r="T19" t="s">
        <v>44</v>
      </c>
      <c r="U19">
        <v>1</v>
      </c>
      <c r="V19">
        <v>2</v>
      </c>
      <c r="W19">
        <v>2.15</v>
      </c>
      <c r="X19">
        <v>66</v>
      </c>
      <c r="Y19" s="15">
        <f>Table133[[#This Row],[Time until ideal entry + 390 (6:30)]]/(1440)</f>
        <v>0.2722222222222222</v>
      </c>
      <c r="Z19" s="18">
        <f>(F19-D19)/D19</f>
        <v>2.3008849557522129</v>
      </c>
      <c r="AA19" s="18">
        <f>IF(Table133[[#This Row],[HOD AFTER PM HI]]&gt;=Table133[[#This Row],[PM Hi]],((Table133[[#This Row],[HOD AFTER PM HI]]-Table133[[#This Row],[Prior day close]])/Table133[[#This Row],[Prior day close]]),Table133[[#This Row],[Prior Close to PM Hi %]])</f>
        <v>2.4070796460176993</v>
      </c>
      <c r="AB19" s="18">
        <f>(Table133[[#This Row],[Price at hi of squeeze]]-Table133[[#This Row],[MKT Open Price]])/Table133[[#This Row],[MKT Open Price]]</f>
        <v>0.72037914691943128</v>
      </c>
      <c r="AC19" s="18">
        <f>(Table133[[#This Row],[Price at hi of squeeze]]-Table133[[#This Row],[PM Hi]])/Table133[[#This Row],[PM Hi]]</f>
        <v>-2.6809651474530856E-2</v>
      </c>
      <c r="AD19" s="18">
        <f>(M19-K19)/K19</f>
        <v>0.85204081632653061</v>
      </c>
      <c r="AE19" s="20">
        <f>Table133[[#This Row],[PM VOL]]/1000000/Table133[[#This Row],[FLOAT(M)]]</f>
        <v>0.93522694704049847</v>
      </c>
      <c r="AF19" s="21">
        <f>(Table133[[#This Row],[Volume]]/1000000)/Table133[[#This Row],[FLOAT(M)]]</f>
        <v>34.829630841121499</v>
      </c>
      <c r="AG19" s="18">
        <f>(Table133[[#This Row],[Hi of Spike after open before drop]]-Table133[[#This Row],[MKT Open Price]])/Table133[[#This Row],[MKT Open Price]]</f>
        <v>0</v>
      </c>
      <c r="AH19" s="18">
        <f>(Table133[[#This Row],[PM Hi]]-Table133[[#This Row],[MKT Open Price]])/(Table133[[#This Row],[PM Hi]])</f>
        <v>0.43431635388739948</v>
      </c>
      <c r="AI19" s="16">
        <f>IF(Table133[[#This Row],[PM LO]]&gt;Table133[[#This Row],[Prior day close]],(Table133[[#This Row],[PM Hi]]-Table133[[#This Row],[MKT Open Price]])/(Table133[[#This Row],[PM Hi]]-Table133[[#This Row],[Prior day close]]),(Table133[[#This Row],[PM Hi]]-Table133[[#This Row],[MKT Open Price]])/(Table133[[#This Row],[PM Hi]]-Table133[[#This Row],[PM LO]]))</f>
        <v>0.62307692307692308</v>
      </c>
      <c r="AJ19" s="16">
        <f>IF(Table133[[#This Row],[Prior day close]]&lt;Table133[[#This Row],[PM LO]],(I19-K19)/(I19-Table133[[#This Row],[Prior day close]]),(I19-K19)/(I19-Table133[[#This Row],[PM LO]]))</f>
        <v>0.15306122448979584</v>
      </c>
      <c r="AK19" s="16">
        <f>Table133[[#This Row],[Spike % on open before drop]]+AL19</f>
        <v>7.1090047393364886E-2</v>
      </c>
      <c r="AL19" s="16">
        <f>(I19-K19)/I19</f>
        <v>7.1090047393364886E-2</v>
      </c>
      <c r="AM19" s="18">
        <f>IF($J19&gt;=$F19,($J19-$K19)/($J19),(IF($H19&lt;=$K19,($F19-$H19)/($F19),(Table133[[#This Row],[PM Hi]]-Table133[[#This Row],[Lowest lo from open to squeeze]])/(Table133[[#This Row],[PM Hi]]))))</f>
        <v>0.54155495978552282</v>
      </c>
      <c r="AN19" s="18">
        <f>IF(Table133[[#This Row],[Prior day close]]&lt;=Table133[[#This Row],[PM LO]],IF($J19&gt;=$F19,($J19-$K19)/($J19-Table133[[#This Row],[Prior day close]]),(IF($H19&lt;=$K19,($F19-$H19)/($F19-Table133[[#This Row],[Prior day close]]),(Table133[[#This Row],[PM Hi]]-Table133[[#This Row],[Lowest lo from open to squeeze]])/(Table133[[#This Row],[PM Hi]]-Table133[[#This Row],[Prior day close]])))),IF($J19&gt;=$F19,($J19-$K19)/($J19-Table133[[#This Row],[PM LO]]),(IF($H19&lt;=$K19,($F19-$H19)/($F19-Table133[[#This Row],[PM LO]]),(Table133[[#This Row],[PM Hi]]-Table133[[#This Row],[Lowest lo from open to squeeze]])/(Table133[[#This Row],[PM Hi]]-Table133[[#This Row],[PM LO]])))))</f>
        <v>0.77692307692307694</v>
      </c>
      <c r="AO19" s="18">
        <f>IF(J19&gt;=F19,(J19-K19)/(J19-D19),(IF(H19&lt;=K19,(F19-H19)/(F19-D19),(Table133[[#This Row],[PM Hi]]-Table133[[#This Row],[Lowest lo from open to squeeze]])/(Table133[[#This Row],[PM Hi]]-Table133[[#This Row],[Prior day close]]))))</f>
        <v>0.77692307692307694</v>
      </c>
      <c r="AP19" s="17">
        <f>390+Table133[[#This Row],[Time until ideal entry point (mins) from open]]</f>
        <v>392</v>
      </c>
      <c r="AQ19" s="51">
        <f>(Table133[[#This Row],[Time until ideal entry + 390 (6:30)]]+Table133[[#This Row],[Duration of frontside (mins)]])/1440</f>
        <v>0.31805555555555554</v>
      </c>
    </row>
    <row r="20" spans="1:43" x14ac:dyDescent="0.25">
      <c r="A20" s="10" t="s">
        <v>109</v>
      </c>
      <c r="B20" s="11">
        <v>44025</v>
      </c>
      <c r="C20" s="47" t="s">
        <v>78</v>
      </c>
      <c r="D20" s="12">
        <v>1.1499999999999999</v>
      </c>
      <c r="E20" s="13">
        <v>1.18</v>
      </c>
      <c r="F20" s="12">
        <v>2.1800000000000002</v>
      </c>
      <c r="G20" s="12">
        <v>1.1299999999999999</v>
      </c>
      <c r="H20" s="12">
        <v>1.46</v>
      </c>
      <c r="I20" s="12">
        <v>1.54</v>
      </c>
      <c r="J20" s="12">
        <v>1.63</v>
      </c>
      <c r="K20" s="12">
        <v>1.42</v>
      </c>
      <c r="L20" s="12">
        <v>1.94</v>
      </c>
      <c r="M20" s="12">
        <v>1.94</v>
      </c>
      <c r="N20" s="13">
        <v>81548470</v>
      </c>
      <c r="O20" s="12">
        <v>110917868</v>
      </c>
      <c r="P20" s="13">
        <v>38.4</v>
      </c>
      <c r="Q20">
        <v>26.11</v>
      </c>
      <c r="R20" s="13">
        <v>9827815</v>
      </c>
      <c r="S20" s="13" t="s">
        <v>44</v>
      </c>
      <c r="T20" t="s">
        <v>44</v>
      </c>
      <c r="U20">
        <v>4</v>
      </c>
      <c r="V20">
        <v>5</v>
      </c>
      <c r="W20">
        <v>1.45</v>
      </c>
      <c r="X20">
        <v>28</v>
      </c>
      <c r="Y20" s="15">
        <f>Table133[[#This Row],[Time until ideal entry + 390 (6:30)]]/(1440)</f>
        <v>0.27430555555555558</v>
      </c>
      <c r="Z20" s="18">
        <f>(F20-D20)/D20</f>
        <v>0.89565217391304375</v>
      </c>
      <c r="AA20" s="18">
        <f>IF(Table133[[#This Row],[HOD AFTER PM HI]]&gt;=Table133[[#This Row],[PM Hi]],((Table133[[#This Row],[HOD AFTER PM HI]]-Table133[[#This Row],[Prior day close]])/Table133[[#This Row],[Prior day close]]),Table133[[#This Row],[Prior Close to PM Hi %]])</f>
        <v>0.89565217391304375</v>
      </c>
      <c r="AB20" s="18">
        <f>(Table133[[#This Row],[Price at hi of squeeze]]-Table133[[#This Row],[MKT Open Price]])/Table133[[#This Row],[MKT Open Price]]</f>
        <v>0.25974025974025966</v>
      </c>
      <c r="AC20" s="18">
        <f>(Table133[[#This Row],[Price at hi of squeeze]]-Table133[[#This Row],[PM Hi]])/Table133[[#This Row],[PM Hi]]</f>
        <v>-0.11009174311926614</v>
      </c>
      <c r="AD20" s="18">
        <f>(M20-K20)/K20</f>
        <v>0.36619718309859156</v>
      </c>
      <c r="AE20" s="20">
        <f>Table133[[#This Row],[PM VOL]]/1000000/Table133[[#This Row],[FLOAT(M)]]</f>
        <v>0.37640042129452317</v>
      </c>
      <c r="AF20" s="21">
        <f>(Table133[[#This Row],[Volume]]/1000000)/Table133[[#This Row],[FLOAT(M)]]</f>
        <v>3.1232657985446188</v>
      </c>
      <c r="AG20" s="18">
        <f>(Table133[[#This Row],[Hi of Spike after open before drop]]-Table133[[#This Row],[MKT Open Price]])/Table133[[#This Row],[MKT Open Price]]</f>
        <v>5.844155844155835E-2</v>
      </c>
      <c r="AH20" s="18">
        <f>(Table133[[#This Row],[PM Hi]]-Table133[[#This Row],[MKT Open Price]])/(Table133[[#This Row],[PM Hi]])</f>
        <v>0.29357798165137616</v>
      </c>
      <c r="AI20" s="16">
        <f>IF(Table133[[#This Row],[PM LO]]&gt;Table133[[#This Row],[Prior day close]],(Table133[[#This Row],[PM Hi]]-Table133[[#This Row],[MKT Open Price]])/(Table133[[#This Row],[PM Hi]]-Table133[[#This Row],[Prior day close]]),(Table133[[#This Row],[PM Hi]]-Table133[[#This Row],[MKT Open Price]])/(Table133[[#This Row],[PM Hi]]-Table133[[#This Row],[PM LO]]))</f>
        <v>0.60952380952380947</v>
      </c>
      <c r="AJ20" s="16">
        <f>IF(Table133[[#This Row],[Prior day close]]&lt;Table133[[#This Row],[PM LO]],(I20-K20)/(I20-Table133[[#This Row],[Prior day close]]),(I20-K20)/(I20-Table133[[#This Row],[PM LO]]))</f>
        <v>0.29268292682926844</v>
      </c>
      <c r="AK20" s="16">
        <f>Table133[[#This Row],[Spike % on open before drop]]+AL20</f>
        <v>0.13636363636363635</v>
      </c>
      <c r="AL20" s="16">
        <f>(I20-K20)/I20</f>
        <v>7.792207792207799E-2</v>
      </c>
      <c r="AM20" s="18">
        <f>IF($J20&gt;=$F20,($J20-$K20)/($J20),(IF($H20&lt;=$K20,($F20-$H20)/($F20),(Table133[[#This Row],[PM Hi]]-Table133[[#This Row],[Lowest lo from open to squeeze]])/(Table133[[#This Row],[PM Hi]]))))</f>
        <v>0.34862385321100925</v>
      </c>
      <c r="AN20" s="18">
        <f>IF(Table133[[#This Row],[Prior day close]]&lt;=Table133[[#This Row],[PM LO]],IF($J20&gt;=$F20,($J20-$K20)/($J20-Table133[[#This Row],[Prior day close]]),(IF($H20&lt;=$K20,($F20-$H20)/($F20-Table133[[#This Row],[Prior day close]]),(Table133[[#This Row],[PM Hi]]-Table133[[#This Row],[Lowest lo from open to squeeze]])/(Table133[[#This Row],[PM Hi]]-Table133[[#This Row],[Prior day close]])))),IF($J20&gt;=$F20,($J20-$K20)/($J20-Table133[[#This Row],[PM LO]]),(IF($H20&lt;=$K20,($F20-$H20)/($F20-Table133[[#This Row],[PM LO]]),(Table133[[#This Row],[PM Hi]]-Table133[[#This Row],[Lowest lo from open to squeeze]])/(Table133[[#This Row],[PM Hi]]-Table133[[#This Row],[PM LO]])))))</f>
        <v>0.72380952380952379</v>
      </c>
      <c r="AO20" s="18">
        <f>IF(J20&gt;=F20,(J20-K20)/(J20-D20),(IF(H20&lt;=K20,(F20-H20)/(F20-D20),(Table133[[#This Row],[PM Hi]]-Table133[[#This Row],[Lowest lo from open to squeeze]])/(Table133[[#This Row],[PM Hi]]-Table133[[#This Row],[Prior day close]]))))</f>
        <v>0.73786407766990292</v>
      </c>
      <c r="AP20" s="17">
        <f>390+Table133[[#This Row],[Time until ideal entry point (mins) from open]]</f>
        <v>395</v>
      </c>
      <c r="AQ20" s="51">
        <f>(Table133[[#This Row],[Time until ideal entry + 390 (6:30)]]+Table133[[#This Row],[Duration of frontside (mins)]])/1440</f>
        <v>0.29375000000000001</v>
      </c>
    </row>
    <row r="21" spans="1:43" x14ac:dyDescent="0.25">
      <c r="A21" s="24" t="s">
        <v>46</v>
      </c>
      <c r="B21" s="11">
        <v>43104</v>
      </c>
      <c r="C21" s="47" t="s">
        <v>78</v>
      </c>
      <c r="D21" s="12">
        <v>1.17</v>
      </c>
      <c r="E21" s="13">
        <v>1.3</v>
      </c>
      <c r="F21" s="12">
        <v>3.64</v>
      </c>
      <c r="G21" s="12">
        <v>1.3</v>
      </c>
      <c r="H21" s="12">
        <v>2.83</v>
      </c>
      <c r="I21" s="12">
        <v>2.84</v>
      </c>
      <c r="J21" s="12">
        <v>3.33</v>
      </c>
      <c r="K21" s="12">
        <v>2.76</v>
      </c>
      <c r="L21" s="12">
        <v>11.9</v>
      </c>
      <c r="M21" s="12">
        <v>11.9</v>
      </c>
      <c r="N21" s="13">
        <v>81662655</v>
      </c>
      <c r="O21" s="12">
        <v>781491436</v>
      </c>
      <c r="P21" s="13">
        <v>14</v>
      </c>
      <c r="Q21" s="13">
        <v>5</v>
      </c>
      <c r="R21" s="13">
        <v>1381195</v>
      </c>
      <c r="S21" s="13" t="s">
        <v>44</v>
      </c>
      <c r="T21" t="s">
        <v>44</v>
      </c>
      <c r="U21">
        <v>4</v>
      </c>
      <c r="V21">
        <v>5</v>
      </c>
      <c r="W21">
        <v>2.86</v>
      </c>
      <c r="X21">
        <v>337</v>
      </c>
      <c r="Y21" s="15">
        <f>Table133[[#This Row],[Time until ideal entry + 390 (6:30)]]/(1440)</f>
        <v>0.27430555555555558</v>
      </c>
      <c r="Z21" s="18">
        <f>(F21-D21)/D21</f>
        <v>2.1111111111111116</v>
      </c>
      <c r="AA21" s="18">
        <f>IF(Table133[[#This Row],[HOD AFTER PM HI]]&gt;=Table133[[#This Row],[PM Hi]],((Table133[[#This Row],[HOD AFTER PM HI]]-Table133[[#This Row],[Prior day close]])/Table133[[#This Row],[Prior day close]]),Table133[[#This Row],[Prior Close to PM Hi %]])</f>
        <v>9.1709401709401721</v>
      </c>
      <c r="AB21" s="18">
        <f>(Table133[[#This Row],[Price at hi of squeeze]]-Table133[[#This Row],[MKT Open Price]])/Table133[[#This Row],[MKT Open Price]]</f>
        <v>3.1901408450704229</v>
      </c>
      <c r="AC21" s="18">
        <f>(Table133[[#This Row],[Price at hi of squeeze]]-Table133[[#This Row],[PM Hi]])/Table133[[#This Row],[PM Hi]]</f>
        <v>2.2692307692307692</v>
      </c>
      <c r="AD21" s="18">
        <f>(M21-K21)/K21</f>
        <v>3.3115942028985512</v>
      </c>
      <c r="AE21" s="20">
        <f>Table133[[#This Row],[PM VOL]]/1000000/Table133[[#This Row],[FLOAT(M)]]</f>
        <v>0.27623900000000001</v>
      </c>
      <c r="AF21" s="21">
        <f>(Table133[[#This Row],[Volume]]/1000000)/Table133[[#This Row],[FLOAT(M)]]</f>
        <v>16.332530999999999</v>
      </c>
      <c r="AG21" s="18">
        <f>(Table133[[#This Row],[Hi of Spike after open before drop]]-Table133[[#This Row],[MKT Open Price]])/Table133[[#This Row],[MKT Open Price]]</f>
        <v>0.17253521126760571</v>
      </c>
      <c r="AH21" s="18">
        <f>(Table133[[#This Row],[PM Hi]]-Table133[[#This Row],[MKT Open Price]])/(Table133[[#This Row],[PM Hi]])</f>
        <v>0.21978021978021983</v>
      </c>
      <c r="AI21" s="16">
        <f>IF(Table133[[#This Row],[PM LO]]&gt;Table133[[#This Row],[Prior day close]],(Table133[[#This Row],[PM Hi]]-Table133[[#This Row],[MKT Open Price]])/(Table133[[#This Row],[PM Hi]]-Table133[[#This Row],[Prior day close]]),(Table133[[#This Row],[PM Hi]]-Table133[[#This Row],[MKT Open Price]])/(Table133[[#This Row],[PM Hi]]-Table133[[#This Row],[PM LO]]))</f>
        <v>0.32388663967611342</v>
      </c>
      <c r="AJ21" s="16">
        <f>IF(Table133[[#This Row],[Prior day close]]&lt;Table133[[#This Row],[PM LO]],(I21-K21)/(I21-Table133[[#This Row],[Prior day close]]),(I21-K21)/(I21-Table133[[#This Row],[PM LO]]))</f>
        <v>4.7904191616766512E-2</v>
      </c>
      <c r="AK21" s="16">
        <f>Table133[[#This Row],[Spike % on open before drop]]+AL21</f>
        <v>0.20070422535211277</v>
      </c>
      <c r="AL21" s="16">
        <f>(I21-K21)/I21</f>
        <v>2.8169014084507067E-2</v>
      </c>
      <c r="AM21" s="18">
        <f>IF($J21&gt;=$F21,($J21-$K21)/($J21-$D21),(IF($H21&lt;=$K21,($F21-$H21)/($F21-$D21),(Table133[[#This Row],[PM Hi]]-Table133[[#This Row],[Lowest lo from open to squeeze]])/(Table133[[#This Row],[PM Hi]]-Table133[[#This Row],[Prior day close]]))))</f>
        <v>0.35627530364372478</v>
      </c>
      <c r="AN21" s="18">
        <f>IF(Table133[[#This Row],[Prior day close]]&lt;=Table133[[#This Row],[PM LO]],IF($J21&gt;=$F21,($J21-$K21)/($J21-Table133[[#This Row],[Prior day close]]),(IF($H21&lt;=$K21,($F21-$H21)/($F21-Table133[[#This Row],[Prior day close]]),(Table133[[#This Row],[PM Hi]]-Table133[[#This Row],[Lowest lo from open to squeeze]])/(Table133[[#This Row],[PM Hi]]-Table133[[#This Row],[Prior day close]])))),IF($J21&gt;=$F21,($J21-$K21)/($J21-Table133[[#This Row],[PM LO]]),(IF($H21&lt;=$K21,($F21-$H21)/($F21-Table133[[#This Row],[PM LO]]),(Table133[[#This Row],[PM Hi]]-Table133[[#This Row],[Lowest lo from open to squeeze]])/(Table133[[#This Row],[PM Hi]]-Table133[[#This Row],[PM LO]])))))</f>
        <v>0.35627530364372478</v>
      </c>
      <c r="AO21" s="18">
        <f>0.85/2.4</f>
        <v>0.35416666666666669</v>
      </c>
      <c r="AP21" s="17">
        <f>390+Table133[[#This Row],[Time until ideal entry point (mins) from open]]</f>
        <v>395</v>
      </c>
      <c r="AQ21" s="51">
        <f>(Table133[[#This Row],[Time until ideal entry + 390 (6:30)]]+Table133[[#This Row],[Duration of frontside (mins)]])/1440</f>
        <v>0.5083333333333333</v>
      </c>
    </row>
    <row r="22" spans="1:43" x14ac:dyDescent="0.25">
      <c r="A22" s="10" t="s">
        <v>93</v>
      </c>
      <c r="B22" s="44">
        <v>43992</v>
      </c>
      <c r="C22" s="47" t="s">
        <v>78</v>
      </c>
      <c r="D22" s="12">
        <v>1.22</v>
      </c>
      <c r="E22" s="13">
        <v>1.24</v>
      </c>
      <c r="F22" s="12">
        <v>2.78</v>
      </c>
      <c r="G22" s="12">
        <v>1.24</v>
      </c>
      <c r="H22" s="12">
        <v>1.89</v>
      </c>
      <c r="I22" s="12">
        <v>2.19</v>
      </c>
      <c r="J22" s="12">
        <v>2.4</v>
      </c>
      <c r="K22" s="12">
        <v>1.88</v>
      </c>
      <c r="L22" s="12">
        <v>3.59</v>
      </c>
      <c r="M22" s="12">
        <v>3.2</v>
      </c>
      <c r="N22" s="13">
        <v>166997013</v>
      </c>
      <c r="O22" s="12">
        <v>302343572</v>
      </c>
      <c r="P22" s="13">
        <v>45.47</v>
      </c>
      <c r="Q22">
        <v>30.91</v>
      </c>
      <c r="R22" s="13">
        <v>7873710</v>
      </c>
      <c r="S22" s="13" t="s">
        <v>44</v>
      </c>
      <c r="T22" t="s">
        <v>42</v>
      </c>
      <c r="U22">
        <v>5</v>
      </c>
      <c r="V22">
        <v>6</v>
      </c>
      <c r="W22">
        <v>2.0099999999999998</v>
      </c>
      <c r="X22">
        <v>25</v>
      </c>
      <c r="Y22" s="15">
        <f>Table133[[#This Row],[Time until ideal entry + 390 (6:30)]]/(1440)</f>
        <v>0.27500000000000002</v>
      </c>
      <c r="Z22" s="18">
        <f>(F22-D22)/D22</f>
        <v>1.2786885245901638</v>
      </c>
      <c r="AA22" s="18">
        <f>IF(Table133[[#This Row],[HOD AFTER PM HI]]&gt;=Table133[[#This Row],[PM Hi]],((Table133[[#This Row],[HOD AFTER PM HI]]-Table133[[#This Row],[Prior day close]])/Table133[[#This Row],[Prior day close]]),Table133[[#This Row],[Prior Close to PM Hi %]])</f>
        <v>1.9426229508196722</v>
      </c>
      <c r="AB22" s="18">
        <f>(Table133[[#This Row],[Price at hi of squeeze]]-Table133[[#This Row],[MKT Open Price]])/Table133[[#This Row],[MKT Open Price]]</f>
        <v>0.46118721461187229</v>
      </c>
      <c r="AC22" s="18">
        <f>(Table133[[#This Row],[Price at hi of squeeze]]-Table133[[#This Row],[PM Hi]])/Table133[[#This Row],[PM Hi]]</f>
        <v>0.15107913669064763</v>
      </c>
      <c r="AD22" s="18">
        <f>(M22-K22)/K22</f>
        <v>0.70212765957446832</v>
      </c>
      <c r="AE22" s="20">
        <f>Table133[[#This Row],[PM VOL]]/1000000/Table133[[#This Row],[FLOAT(M)]]</f>
        <v>0.25473018440634099</v>
      </c>
      <c r="AF22" s="21">
        <f>(Table133[[#This Row],[Volume]]/1000000)/Table133[[#This Row],[FLOAT(M)]]</f>
        <v>5.4026856357165967</v>
      </c>
      <c r="AG22" s="18">
        <f>(Table133[[#This Row],[Hi of Spike after open before drop]]-Table133[[#This Row],[MKT Open Price]])/Table133[[#This Row],[MKT Open Price]]</f>
        <v>9.589041095890409E-2</v>
      </c>
      <c r="AH22" s="18">
        <f>(Table133[[#This Row],[PM Hi]]-Table133[[#This Row],[MKT Open Price]])/(Table133[[#This Row],[PM Hi]])</f>
        <v>0.21223021582733809</v>
      </c>
      <c r="AI22" s="16">
        <f>IF(Table133[[#This Row],[PM LO]]&gt;Table133[[#This Row],[Prior day close]],(Table133[[#This Row],[PM Hi]]-Table133[[#This Row],[MKT Open Price]])/(Table133[[#This Row],[PM Hi]]-Table133[[#This Row],[Prior day close]]),(Table133[[#This Row],[PM Hi]]-Table133[[#This Row],[MKT Open Price]])/(Table133[[#This Row],[PM Hi]]-Table133[[#This Row],[PM LO]]))</f>
        <v>0.37820512820512814</v>
      </c>
      <c r="AJ22" s="16">
        <f>IF(Table133[[#This Row],[Prior day close]]&lt;Table133[[#This Row],[PM LO]],(I22-K22)/(I22-Table133[[#This Row],[Prior day close]]),(I22-K22)/(I22-Table133[[#This Row],[PM LO]]))</f>
        <v>0.31958762886597947</v>
      </c>
      <c r="AK22" s="16">
        <f>Table133[[#This Row],[Spike % on open before drop]]+AL22</f>
        <v>0.23744292237442921</v>
      </c>
      <c r="AL22" s="16">
        <f>(I22-K22)/I22</f>
        <v>0.14155251141552513</v>
      </c>
      <c r="AM22" s="18">
        <f>IF($J22&gt;=$F22,($J22-$K22)/($J22),(IF($H22&lt;=$K22,($F22-$H22)/($F22),(Table133[[#This Row],[PM Hi]]-Table133[[#This Row],[Lowest lo from open to squeeze]])/(Table133[[#This Row],[PM Hi]]))))</f>
        <v>0.32374100719424459</v>
      </c>
      <c r="AN22" s="18">
        <f>IF(Table133[[#This Row],[Prior day close]]&lt;=Table133[[#This Row],[PM LO]],IF($J22&gt;=$F22,($J22-$K22)/($J22-Table133[[#This Row],[Prior day close]]),(IF($H22&lt;=$K22,($F22-$H22)/($F22-Table133[[#This Row],[Prior day close]]),(Table133[[#This Row],[PM Hi]]-Table133[[#This Row],[Lowest lo from open to squeeze]])/(Table133[[#This Row],[PM Hi]]-Table133[[#This Row],[Prior day close]])))),IF($J22&gt;=$F22,($J22-$K22)/($J22-Table133[[#This Row],[PM LO]]),(IF($H22&lt;=$K22,($F22-$H22)/($F22-Table133[[#This Row],[PM LO]]),(Table133[[#This Row],[PM Hi]]-Table133[[#This Row],[Lowest lo from open to squeeze]])/(Table133[[#This Row],[PM Hi]]-Table133[[#This Row],[PM LO]])))))</f>
        <v>0.57692307692307698</v>
      </c>
      <c r="AO22" s="18">
        <f>IF(J22&gt;=F22,(J22-K22)/(J22-D22),(IF(H22&lt;=K22,(F22-H22)/(F22-D22),(Table133[[#This Row],[PM Hi]]-Table133[[#This Row],[Lowest lo from open to squeeze]])/(Table133[[#This Row],[PM Hi]]-Table133[[#This Row],[Prior day close]]))))</f>
        <v>0.57692307692307698</v>
      </c>
      <c r="AP22" s="17">
        <f>390+Table133[[#This Row],[Time until ideal entry point (mins) from open]]</f>
        <v>396</v>
      </c>
      <c r="AQ22" s="51">
        <f>(Table133[[#This Row],[Time until ideal entry + 390 (6:30)]]+Table133[[#This Row],[Duration of frontside (mins)]])/1440</f>
        <v>0.29236111111111113</v>
      </c>
    </row>
    <row r="23" spans="1:43" x14ac:dyDescent="0.25">
      <c r="A23" s="10" t="s">
        <v>79</v>
      </c>
      <c r="B23" s="44">
        <v>43979</v>
      </c>
      <c r="C23" s="47" t="s">
        <v>78</v>
      </c>
      <c r="D23" s="12">
        <v>1.29</v>
      </c>
      <c r="E23" s="13">
        <v>1.47</v>
      </c>
      <c r="F23" s="12">
        <v>4.38</v>
      </c>
      <c r="G23" s="12">
        <v>1.47</v>
      </c>
      <c r="H23" s="12">
        <v>3.36</v>
      </c>
      <c r="I23" s="12">
        <v>3.9</v>
      </c>
      <c r="J23" s="12">
        <v>4.32</v>
      </c>
      <c r="K23" s="12">
        <v>3.48</v>
      </c>
      <c r="L23" s="12">
        <v>5.07</v>
      </c>
      <c r="M23" s="12">
        <v>4.4400000000000004</v>
      </c>
      <c r="N23" s="13">
        <v>122754829</v>
      </c>
      <c r="O23" s="12">
        <v>484922432</v>
      </c>
      <c r="P23" s="13">
        <v>21.94</v>
      </c>
      <c r="Q23">
        <v>45.71</v>
      </c>
      <c r="R23" s="13">
        <v>3010889</v>
      </c>
      <c r="S23" s="13" t="s">
        <v>44</v>
      </c>
      <c r="T23" t="s">
        <v>44</v>
      </c>
      <c r="U23">
        <v>6</v>
      </c>
      <c r="V23">
        <v>36</v>
      </c>
      <c r="W23">
        <v>3.63</v>
      </c>
      <c r="X23">
        <v>24</v>
      </c>
      <c r="Y23" s="15">
        <f>Table133[[#This Row],[Time until ideal entry + 390 (6:30)]]/(1440)</f>
        <v>0.29583333333333334</v>
      </c>
      <c r="Z23" s="18">
        <f>(F23-D23)/D23</f>
        <v>2.3953488372093021</v>
      </c>
      <c r="AA23" s="18">
        <f>IF(Table133[[#This Row],[HOD AFTER PM HI]]&gt;=Table133[[#This Row],[PM Hi]],((Table133[[#This Row],[HOD AFTER PM HI]]-Table133[[#This Row],[Prior day close]])/Table133[[#This Row],[Prior day close]]),Table133[[#This Row],[Prior Close to PM Hi %]])</f>
        <v>2.9302325581395352</v>
      </c>
      <c r="AB23" s="18">
        <f>(Table133[[#This Row],[Price at hi of squeeze]]-Table133[[#This Row],[MKT Open Price]])/Table133[[#This Row],[MKT Open Price]]</f>
        <v>0.13846153846153858</v>
      </c>
      <c r="AC23" s="18">
        <f>(Table133[[#This Row],[Price at hi of squeeze]]-Table133[[#This Row],[PM Hi]])/Table133[[#This Row],[PM Hi]]</f>
        <v>1.3698630136986415E-2</v>
      </c>
      <c r="AD23" s="18">
        <f>(M23-K23)/K23</f>
        <v>0.27586206896551735</v>
      </c>
      <c r="AE23" s="20">
        <f>Table133[[#This Row],[PM VOL]]/1000000/Table133[[#This Row],[FLOAT(M)]]</f>
        <v>6.5869372128637055E-2</v>
      </c>
      <c r="AF23" s="21">
        <f>(Table133[[#This Row],[Volume]]/1000000)/Table133[[#This Row],[FLOAT(M)]]</f>
        <v>2.6855136512798072</v>
      </c>
      <c r="AG23" s="18">
        <f>(Table133[[#This Row],[Hi of Spike after open before drop]]-Table133[[#This Row],[MKT Open Price]])/Table133[[#This Row],[MKT Open Price]]</f>
        <v>0.1076923076923078</v>
      </c>
      <c r="AH23" s="18">
        <f>(Table133[[#This Row],[PM Hi]]-Table133[[#This Row],[MKT Open Price]])/(Table133[[#This Row],[PM Hi]])</f>
        <v>0.1095890410958904</v>
      </c>
      <c r="AI23" s="16">
        <f>IF(Table133[[#This Row],[PM LO]]&gt;Table133[[#This Row],[Prior day close]],(Table133[[#This Row],[PM Hi]]-Table133[[#This Row],[MKT Open Price]])/(Table133[[#This Row],[PM Hi]]-Table133[[#This Row],[Prior day close]]),(Table133[[#This Row],[PM Hi]]-Table133[[#This Row],[MKT Open Price]])/(Table133[[#This Row],[PM Hi]]-Table133[[#This Row],[PM LO]]))</f>
        <v>0.15533980582524273</v>
      </c>
      <c r="AJ23" s="16">
        <f>IF(Table133[[#This Row],[Prior day close]]&lt;Table133[[#This Row],[PM LO]],(I23-K23)/(I23-Table133[[#This Row],[Prior day close]]),(I23-K23)/(I23-Table133[[#This Row],[PM LO]]))</f>
        <v>0.16091954022988503</v>
      </c>
      <c r="AK23" s="16">
        <f>Table133[[#This Row],[Spike % on open before drop]]+AL23</f>
        <v>0.21538461538461545</v>
      </c>
      <c r="AL23" s="16">
        <f>(I23-K23)/I23</f>
        <v>0.10769230769230767</v>
      </c>
      <c r="AM23" s="18">
        <f>IF($J23&gt;=$F23,($J23-$K23)/($J23),(IF($H23&lt;=$K23,($F23-$H23)/($F23),(Table133[[#This Row],[PM Hi]]-Table133[[#This Row],[Lowest lo from open to squeeze]])/(Table133[[#This Row],[PM Hi]]))))</f>
        <v>0.23287671232876714</v>
      </c>
      <c r="AN23" s="18">
        <f>IF(Table133[[#This Row],[Prior day close]]&lt;=Table133[[#This Row],[PM LO]],IF($J23&gt;=$F23,($J23-$K23)/($J23-Table133[[#This Row],[Prior day close]]),(IF($H23&lt;=$K23,($F23-$H23)/($F23-Table133[[#This Row],[Prior day close]]),(Table133[[#This Row],[PM Hi]]-Table133[[#This Row],[Lowest lo from open to squeeze]])/(Table133[[#This Row],[PM Hi]]-Table133[[#This Row],[Prior day close]])))),IF($J23&gt;=$F23,($J23-$K23)/($J23-Table133[[#This Row],[PM LO]]),(IF($H23&lt;=$K23,($F23-$H23)/($F23-Table133[[#This Row],[PM LO]]),(Table133[[#This Row],[PM Hi]]-Table133[[#This Row],[Lowest lo from open to squeeze]])/(Table133[[#This Row],[PM Hi]]-Table133[[#This Row],[PM LO]])))))</f>
        <v>0.3300970873786408</v>
      </c>
      <c r="AO23" s="18">
        <f>IF(J23&gt;=F23,(J23-K23)/(J23-D23),(IF(H23&lt;=K23,(F23-H23)/(F23-D23),(Table133[[#This Row],[PM Hi]]-Table133[[#This Row],[Lowest lo from open to squeeze]])/(Table133[[#This Row],[PM Hi]]-Table133[[#This Row],[Prior day close]]))))</f>
        <v>0.3300970873786408</v>
      </c>
      <c r="AP23" s="17">
        <f>390+Table133[[#This Row],[Time until ideal entry point (mins) from open]]</f>
        <v>426</v>
      </c>
      <c r="AQ23" s="51">
        <f>(Table133[[#This Row],[Time until ideal entry + 390 (6:30)]]+Table133[[#This Row],[Duration of frontside (mins)]])/1440</f>
        <v>0.3125</v>
      </c>
    </row>
    <row r="24" spans="1:43" x14ac:dyDescent="0.25">
      <c r="A24" s="10" t="s">
        <v>98</v>
      </c>
      <c r="B24" s="11">
        <v>44006</v>
      </c>
      <c r="C24" s="47" t="s">
        <v>78</v>
      </c>
      <c r="D24" s="12">
        <v>1.29</v>
      </c>
      <c r="E24" s="13">
        <v>1.29</v>
      </c>
      <c r="F24" s="12">
        <v>1.71</v>
      </c>
      <c r="G24" s="12">
        <v>1.1499999999999999</v>
      </c>
      <c r="H24" s="12">
        <v>1.48</v>
      </c>
      <c r="I24" s="12">
        <v>1.56</v>
      </c>
      <c r="J24" s="12">
        <v>1.64</v>
      </c>
      <c r="K24" s="12">
        <v>1.38</v>
      </c>
      <c r="L24" s="12">
        <v>2.4900000000000002</v>
      </c>
      <c r="M24" s="12">
        <v>2.4900000000000002</v>
      </c>
      <c r="N24" s="13">
        <v>266520566</v>
      </c>
      <c r="O24" s="12">
        <v>460682388</v>
      </c>
      <c r="P24" s="13">
        <v>176</v>
      </c>
      <c r="Q24">
        <v>141.80000000000001</v>
      </c>
      <c r="R24" s="13">
        <v>6163104</v>
      </c>
      <c r="S24" s="13"/>
      <c r="T24" t="s">
        <v>44</v>
      </c>
      <c r="U24">
        <v>20</v>
      </c>
      <c r="V24">
        <v>21</v>
      </c>
      <c r="W24">
        <v>1.4</v>
      </c>
      <c r="X24">
        <v>43</v>
      </c>
      <c r="Y24" s="15">
        <f>Table133[[#This Row],[Time until ideal entry + 390 (6:30)]]/(1440)</f>
        <v>0.28541666666666665</v>
      </c>
      <c r="Z24" s="18">
        <f>(F24-D24)/D24</f>
        <v>0.32558139534883712</v>
      </c>
      <c r="AA24" s="18">
        <f>IF(Table133[[#This Row],[HOD AFTER PM HI]]&gt;=Table133[[#This Row],[PM Hi]],((Table133[[#This Row],[HOD AFTER PM HI]]-Table133[[#This Row],[Prior day close]])/Table133[[#This Row],[Prior day close]]),Table133[[#This Row],[Prior Close to PM Hi %]])</f>
        <v>0.93023255813953498</v>
      </c>
      <c r="AB24" s="18">
        <f>(Table133[[#This Row],[Price at hi of squeeze]]-Table133[[#This Row],[MKT Open Price]])/Table133[[#This Row],[MKT Open Price]]</f>
        <v>0.59615384615384626</v>
      </c>
      <c r="AC24" s="18">
        <f>(Table133[[#This Row],[Price at hi of squeeze]]-Table133[[#This Row],[PM Hi]])/Table133[[#This Row],[PM Hi]]</f>
        <v>0.45614035087719312</v>
      </c>
      <c r="AD24" s="18">
        <f>(M24-K24)/K24</f>
        <v>0.80434782608695676</v>
      </c>
      <c r="AE24" s="20">
        <f>Table133[[#This Row],[PM VOL]]/1000000/Table133[[#This Row],[FLOAT(M)]]</f>
        <v>4.3463356840620589E-2</v>
      </c>
      <c r="AF24" s="21">
        <f>(Table133[[#This Row],[Volume]]/1000000)/Table133[[#This Row],[FLOAT(M)]]</f>
        <v>1.8795526516220025</v>
      </c>
      <c r="AG24" s="18">
        <f>(Table133[[#This Row],[Hi of Spike after open before drop]]-Table133[[#This Row],[MKT Open Price]])/Table133[[#This Row],[MKT Open Price]]</f>
        <v>5.1282051282051183E-2</v>
      </c>
      <c r="AH24" s="18">
        <f>(Table133[[#This Row],[PM Hi]]-Table133[[#This Row],[MKT Open Price]])/(Table133[[#This Row],[PM Hi]])</f>
        <v>8.7719298245613989E-2</v>
      </c>
      <c r="AI24" s="16">
        <f>IF(Table133[[#This Row],[PM LO]]&gt;Table133[[#This Row],[Prior day close]],(Table133[[#This Row],[PM Hi]]-Table133[[#This Row],[MKT Open Price]])/(Table133[[#This Row],[PM Hi]]-Table133[[#This Row],[Prior day close]]),(Table133[[#This Row],[PM Hi]]-Table133[[#This Row],[MKT Open Price]])/(Table133[[#This Row],[PM Hi]]-Table133[[#This Row],[PM LO]]))</f>
        <v>0.26785714285714268</v>
      </c>
      <c r="AJ24" s="16">
        <f>IF(Table133[[#This Row],[Prior day close]]&lt;Table133[[#This Row],[PM LO]],(I24-K24)/(I24-Table133[[#This Row],[Prior day close]]),(I24-K24)/(I24-Table133[[#This Row],[PM LO]]))</f>
        <v>0.43902439024390266</v>
      </c>
      <c r="AK24" s="16">
        <f>Table133[[#This Row],[Spike % on open before drop]]+AL24</f>
        <v>0.16666666666666669</v>
      </c>
      <c r="AL24" s="16">
        <f>(I24-K24)/I24</f>
        <v>0.11538461538461549</v>
      </c>
      <c r="AM24" s="18">
        <f>IF($J24&gt;=$F24,($J24-$K24)/($J24),(IF($H24&lt;=$K24,($F24-$H24)/($F24),(Table133[[#This Row],[PM Hi]]-Table133[[#This Row],[Lowest lo from open to squeeze]])/(Table133[[#This Row],[PM Hi]]))))</f>
        <v>0.19298245614035092</v>
      </c>
      <c r="AN24" s="18">
        <f>IF(Table133[[#This Row],[Prior day close]]&lt;=Table133[[#This Row],[PM LO]],IF($J24&gt;=$F24,($J24-$K24)/($J24-Table133[[#This Row],[Prior day close]]),(IF($H24&lt;=$K24,($F24-$H24)/($F24-Table133[[#This Row],[Prior day close]]),(Table133[[#This Row],[PM Hi]]-Table133[[#This Row],[Lowest lo from open to squeeze]])/(Table133[[#This Row],[PM Hi]]-Table133[[#This Row],[Prior day close]])))),IF($J24&gt;=$F24,($J24-$K24)/($J24-Table133[[#This Row],[PM LO]]),(IF($H24&lt;=$K24,($F24-$H24)/($F24-Table133[[#This Row],[PM LO]]),(Table133[[#This Row],[PM Hi]]-Table133[[#This Row],[Lowest lo from open to squeeze]])/(Table133[[#This Row],[PM Hi]]-Table133[[#This Row],[PM LO]])))))</f>
        <v>0.5892857142857143</v>
      </c>
      <c r="AO24" s="18">
        <f>IF(J24&gt;=F24,(J24-K24)/(J24-D24),(IF(H24&lt;=K24,(F24-H24)/(F24-D24),(Table133[[#This Row],[PM Hi]]-Table133[[#This Row],[Lowest lo from open to squeeze]])/(Table133[[#This Row],[PM Hi]]-Table133[[#This Row],[Prior day close]]))))</f>
        <v>0.78571428571428603</v>
      </c>
      <c r="AP24" s="17">
        <f>390+Table133[[#This Row],[Time until ideal entry point (mins) from open]]</f>
        <v>411</v>
      </c>
      <c r="AQ24" s="51">
        <f>(Table133[[#This Row],[Time until ideal entry + 390 (6:30)]]+Table133[[#This Row],[Duration of frontside (mins)]])/1440</f>
        <v>0.31527777777777777</v>
      </c>
    </row>
    <row r="25" spans="1:43" x14ac:dyDescent="0.25">
      <c r="A25" s="24" t="s">
        <v>173</v>
      </c>
      <c r="B25" s="11">
        <v>44195</v>
      </c>
      <c r="C25" s="47" t="s">
        <v>78</v>
      </c>
      <c r="D25" s="12">
        <v>1.36</v>
      </c>
      <c r="E25" s="13">
        <v>1.4</v>
      </c>
      <c r="F25" s="12">
        <v>2.38</v>
      </c>
      <c r="G25" s="12">
        <v>1.37</v>
      </c>
      <c r="H25" s="12">
        <v>1.37</v>
      </c>
      <c r="I25" s="12">
        <v>1.92</v>
      </c>
      <c r="J25" s="12">
        <v>2.27</v>
      </c>
      <c r="K25" s="12">
        <v>1.84</v>
      </c>
      <c r="L25" s="12">
        <v>5.56</v>
      </c>
      <c r="M25" s="12">
        <v>5.56</v>
      </c>
      <c r="N25" s="13">
        <v>119470640</v>
      </c>
      <c r="O25" s="12">
        <v>348854268</v>
      </c>
      <c r="P25" s="37">
        <v>18.3</v>
      </c>
      <c r="Q25">
        <v>5.74</v>
      </c>
      <c r="R25" s="37">
        <v>8188511</v>
      </c>
      <c r="S25" s="37" t="s">
        <v>42</v>
      </c>
      <c r="T25" s="37" t="s">
        <v>44</v>
      </c>
      <c r="U25" s="38">
        <v>14</v>
      </c>
      <c r="V25">
        <v>14</v>
      </c>
      <c r="W25" s="39">
        <v>1.88</v>
      </c>
      <c r="X25">
        <v>38</v>
      </c>
      <c r="Y25" s="40">
        <f>Table133[[#This Row],[Time until ideal entry + 390 (6:30)]]/(1440)</f>
        <v>0.28055555555555556</v>
      </c>
      <c r="Z25" s="18">
        <f>(F25-D25)/D25</f>
        <v>0.74999999999999978</v>
      </c>
      <c r="AA25" s="18">
        <f>IF(Table133[[#This Row],[HOD AFTER PM HI]]&gt;=Table133[[#This Row],[PM Hi]],((Table133[[#This Row],[HOD AFTER PM HI]]-Table133[[#This Row],[Prior day close]])/Table133[[#This Row],[Prior day close]]),Table133[[#This Row],[Prior Close to PM Hi %]])</f>
        <v>3.0882352941176463</v>
      </c>
      <c r="AB25" s="42">
        <f>(Table133[[#This Row],[Price at hi of squeeze]]-Table133[[#This Row],[MKT Open Price]])/Table133[[#This Row],[MKT Open Price]]</f>
        <v>1.8958333333333333</v>
      </c>
      <c r="AC25" s="18">
        <f>(Table133[[#This Row],[Price at hi of squeeze]]-Table133[[#This Row],[PM Hi]])/Table133[[#This Row],[PM Hi]]</f>
        <v>1.3361344537815125</v>
      </c>
      <c r="AD25" s="18">
        <f>(M25-K25)/K25</f>
        <v>2.0217391304347823</v>
      </c>
      <c r="AE25" s="20">
        <f>Table133[[#This Row],[PM VOL]]/1000000/Table133[[#This Row],[FLOAT(M)]]</f>
        <v>1.4265698606271777</v>
      </c>
      <c r="AF25" s="23">
        <f>(Table133[[#This Row],[Volume]]/1000000)/Table133[[#This Row],[FLOAT(M)]]</f>
        <v>20.813700348432054</v>
      </c>
      <c r="AH25" s="18">
        <f>(Table133[[#This Row],[PM Hi]]-Table133[[#This Row],[MKT Open Price]])/(Table133[[#This Row],[PM Hi]])</f>
        <v>0.19327731092436976</v>
      </c>
      <c r="AI25" s="16">
        <f>IF(Table133[[#This Row],[PM LO]]&gt;Table133[[#This Row],[Prior day close]],(Table133[[#This Row],[PM Hi]]-Table133[[#This Row],[MKT Open Price]])/(Table133[[#This Row],[PM Hi]]-Table133[[#This Row],[Prior day close]]),(Table133[[#This Row],[PM Hi]]-Table133[[#This Row],[MKT Open Price]])/(Table133[[#This Row],[PM Hi]]-Table133[[#This Row],[PM LO]]))</f>
        <v>0.45098039215686281</v>
      </c>
      <c r="AJ25" s="18">
        <f>IF(Table133[[#This Row],[Prior day close]]&lt;Table133[[#This Row],[PM LO]],(I25-K25)/(I25-Table133[[#This Row],[Prior day close]]),(I25-K25)/(I25-Table133[[#This Row],[PM LO]]))</f>
        <v>0.14285714285714263</v>
      </c>
      <c r="AK25" s="18">
        <f>Table133[[#This Row],[Spike % on open before drop]]+AL25</f>
        <v>4.1666666666666588E-2</v>
      </c>
      <c r="AL25" s="16">
        <f>(I25-K25)/I25</f>
        <v>4.1666666666666588E-2</v>
      </c>
      <c r="AM25" s="18">
        <f>IF($J25&gt;=$F25,($J25-$K25)/($J25),(IF($H25&lt;=$K25,($F25-$H25)/($F25),(Table133[[#This Row],[PM Hi]]-Table133[[#This Row],[Lowest lo from open to squeeze]])/(Table133[[#This Row],[PM Hi]]))))</f>
        <v>0.4243697478991596</v>
      </c>
      <c r="AN25" s="18">
        <f>IF(Table133[[#This Row],[Prior day close]]&lt;=Table133[[#This Row],[PM LO]],IF($J25&gt;=$F25,($J25-$K25)/($J25-Table133[[#This Row],[Prior day close]]),(IF($H25&lt;=$K25,($F25-$H25)/($F25-Table133[[#This Row],[Prior day close]]),(Table133[[#This Row],[PM Hi]]-Table133[[#This Row],[Lowest lo from open to squeeze]])/(Table133[[#This Row],[PM Hi]]-Table133[[#This Row],[Prior day close]])))),IF($J25&gt;=$F25,($J25-$K25)/($J25-Table133[[#This Row],[PM LO]]),(IF($H25&lt;=$K25,($F25-$H25)/($F25-Table133[[#This Row],[PM LO]]),(Table133[[#This Row],[PM Hi]]-Table133[[#This Row],[Lowest lo from open to squeeze]])/(Table133[[#This Row],[PM Hi]]-Table133[[#This Row],[PM LO]])))))</f>
        <v>0.99019607843137258</v>
      </c>
      <c r="AO25" s="18">
        <f>IF(J25&gt;=F25,(J25-K25)/(J25-D25),(IF(H25&lt;=K25,(F25-H25)/(F25-D25),(Table133[[#This Row],[PM Hi]]-Table133[[#This Row],[Lowest lo from open to squeeze]])/(Table133[[#This Row],[PM Hi]]-Table133[[#This Row],[Prior day close]]))))</f>
        <v>0.99019607843137258</v>
      </c>
      <c r="AP25" s="17">
        <f>390+Table133[[#This Row],[Time until ideal entry point (mins) from open]]</f>
        <v>404</v>
      </c>
      <c r="AQ25" s="51">
        <f>(Table133[[#This Row],[Time until ideal entry + 390 (6:30)]]+Table133[[#This Row],[Duration of frontside (mins)]])/1440</f>
        <v>0.30694444444444446</v>
      </c>
    </row>
    <row r="26" spans="1:43" x14ac:dyDescent="0.25">
      <c r="A26" s="10" t="s">
        <v>74</v>
      </c>
      <c r="B26" s="11">
        <v>43945</v>
      </c>
      <c r="C26" s="47" t="s">
        <v>78</v>
      </c>
      <c r="D26" s="12">
        <v>1.41</v>
      </c>
      <c r="E26" s="13">
        <v>1.45</v>
      </c>
      <c r="F26" s="12">
        <v>3.1</v>
      </c>
      <c r="G26" s="12">
        <v>1.45</v>
      </c>
      <c r="H26" s="12">
        <v>2.3199999999999998</v>
      </c>
      <c r="I26" s="12">
        <v>2.36</v>
      </c>
      <c r="J26" s="12">
        <v>2.48</v>
      </c>
      <c r="K26" s="12">
        <v>2.06</v>
      </c>
      <c r="L26" s="12">
        <v>3.42</v>
      </c>
      <c r="M26" s="12">
        <v>3.42</v>
      </c>
      <c r="N26" s="13">
        <v>32754511</v>
      </c>
      <c r="O26" s="12">
        <v>58613192</v>
      </c>
      <c r="P26" s="13">
        <v>5.82</v>
      </c>
      <c r="Q26" s="13">
        <v>2.14</v>
      </c>
      <c r="R26" s="13">
        <v>2586134</v>
      </c>
      <c r="S26" s="13" t="s">
        <v>44</v>
      </c>
      <c r="T26" t="s">
        <v>44</v>
      </c>
      <c r="U26">
        <v>13</v>
      </c>
      <c r="V26">
        <v>14</v>
      </c>
      <c r="W26">
        <v>2.12</v>
      </c>
      <c r="X26">
        <v>41</v>
      </c>
      <c r="Y26" s="15">
        <f>Table133[[#This Row],[Time until ideal entry + 390 (6:30)]]/(1440)</f>
        <v>0.28055555555555556</v>
      </c>
      <c r="Z26" s="18">
        <f>(F26-D26)/D26</f>
        <v>1.1985815602836882</v>
      </c>
      <c r="AA26" s="18">
        <f>IF(Table133[[#This Row],[HOD AFTER PM HI]]&gt;=Table133[[#This Row],[PM Hi]],((Table133[[#This Row],[HOD AFTER PM HI]]-Table133[[#This Row],[Prior day close]])/Table133[[#This Row],[Prior day close]]),Table133[[#This Row],[Prior Close to PM Hi %]])</f>
        <v>1.425531914893617</v>
      </c>
      <c r="AB26" s="18">
        <f>(Table133[[#This Row],[Price at hi of squeeze]]-Table133[[#This Row],[MKT Open Price]])/Table133[[#This Row],[MKT Open Price]]</f>
        <v>0.44915254237288138</v>
      </c>
      <c r="AC26" s="18">
        <f>(Table133[[#This Row],[Price at hi of squeeze]]-Table133[[#This Row],[PM Hi]])/Table133[[#This Row],[PM Hi]]</f>
        <v>0.10322580645161285</v>
      </c>
      <c r="AD26" s="18">
        <f>(M26-K26)/K26</f>
        <v>0.66019417475728148</v>
      </c>
      <c r="AE26" s="20">
        <f>Table133[[#This Row],[PM VOL]]/1000000/Table133[[#This Row],[FLOAT(M)]]</f>
        <v>1.2084738317757009</v>
      </c>
      <c r="AF26" s="21">
        <f>(Table133[[#This Row],[Volume]]/1000000)/Table133[[#This Row],[FLOAT(M)]]</f>
        <v>15.305846261682243</v>
      </c>
      <c r="AG26" s="18">
        <f>(Table133[[#This Row],[Hi of Spike after open before drop]]-Table133[[#This Row],[MKT Open Price]])/Table133[[#This Row],[MKT Open Price]]</f>
        <v>5.0847457627118689E-2</v>
      </c>
      <c r="AH26" s="18">
        <f>(Table133[[#This Row],[PM Hi]]-Table133[[#This Row],[MKT Open Price]])/(Table133[[#This Row],[PM Hi]])</f>
        <v>0.23870967741935489</v>
      </c>
      <c r="AI26" s="16">
        <f>IF(Table133[[#This Row],[PM LO]]&gt;Table133[[#This Row],[Prior day close]],(Table133[[#This Row],[PM Hi]]-Table133[[#This Row],[MKT Open Price]])/(Table133[[#This Row],[PM Hi]]-Table133[[#This Row],[Prior day close]]),(Table133[[#This Row],[PM Hi]]-Table133[[#This Row],[MKT Open Price]])/(Table133[[#This Row],[PM Hi]]-Table133[[#This Row],[PM LO]]))</f>
        <v>0.43786982248520717</v>
      </c>
      <c r="AJ26" s="16">
        <f>IF(Table133[[#This Row],[Prior day close]]&lt;Table133[[#This Row],[PM LO]],(I26-K26)/(I26-Table133[[#This Row],[Prior day close]]),(I26-K26)/(I26-Table133[[#This Row],[PM LO]]))</f>
        <v>0.31578947368421034</v>
      </c>
      <c r="AK26" s="16">
        <f>Table133[[#This Row],[Spike % on open before drop]]+AL26</f>
        <v>0.17796610169491522</v>
      </c>
      <c r="AL26" s="16">
        <f>(I26-K26)/I26</f>
        <v>0.12711864406779655</v>
      </c>
      <c r="AM26" s="18">
        <f>IF($J26&gt;=$F26,($J26-$K26)/($J26-$D26),(IF($H26&lt;=$K26,($F26-$H26)/($F26-$D26),(Table133[[#This Row],[PM Hi]]-Table133[[#This Row],[Lowest lo from open to squeeze]])/(Table133[[#This Row],[PM Hi]]-Table133[[#This Row],[Prior day close]]))))</f>
        <v>0.61538461538461531</v>
      </c>
      <c r="AN26" s="18">
        <f>IF(Table133[[#This Row],[Prior day close]]&lt;=Table133[[#This Row],[PM LO]],IF($J26&gt;=$F26,($J26-$K26)/($J26-Table133[[#This Row],[Prior day close]]),(IF($H26&lt;=$K26,($F26-$H26)/($F26-Table133[[#This Row],[Prior day close]]),(Table133[[#This Row],[PM Hi]]-Table133[[#This Row],[Lowest lo from open to squeeze]])/(Table133[[#This Row],[PM Hi]]-Table133[[#This Row],[Prior day close]])))),IF($J26&gt;=$F26,($J26-$K26)/($J26-Table133[[#This Row],[PM LO]]),(IF($H26&lt;=$K26,($F26-$H26)/($F26-Table133[[#This Row],[PM LO]]),(Table133[[#This Row],[PM Hi]]-Table133[[#This Row],[Lowest lo from open to squeeze]])/(Table133[[#This Row],[PM Hi]]-Table133[[#This Row],[PM LO]])))))</f>
        <v>0.61538461538461531</v>
      </c>
      <c r="AO26" s="18">
        <f>1.02/1.7</f>
        <v>0.6</v>
      </c>
      <c r="AP26" s="17">
        <f>390+Table133[[#This Row],[Time until ideal entry point (mins) from open]]</f>
        <v>404</v>
      </c>
      <c r="AQ26" s="51">
        <f>(Table133[[#This Row],[Time until ideal entry + 390 (6:30)]]+Table133[[#This Row],[Duration of frontside (mins)]])/1440</f>
        <v>0.30902777777777779</v>
      </c>
    </row>
    <row r="27" spans="1:43" x14ac:dyDescent="0.25">
      <c r="A27" s="10" t="s">
        <v>88</v>
      </c>
      <c r="B27" s="44">
        <v>43990</v>
      </c>
      <c r="C27" s="47" t="s">
        <v>78</v>
      </c>
      <c r="D27" s="12">
        <v>1.41</v>
      </c>
      <c r="E27" s="13">
        <v>1.41</v>
      </c>
      <c r="F27" s="12">
        <v>2.25</v>
      </c>
      <c r="G27" s="12">
        <v>1.41</v>
      </c>
      <c r="H27" s="12">
        <v>1.85</v>
      </c>
      <c r="I27" s="12">
        <v>1.91</v>
      </c>
      <c r="J27" s="12">
        <v>2.0299999999999998</v>
      </c>
      <c r="K27" s="12">
        <v>1.88</v>
      </c>
      <c r="L27" s="12">
        <v>3.59</v>
      </c>
      <c r="M27" s="12">
        <v>3.59</v>
      </c>
      <c r="N27" s="13">
        <v>102442455</v>
      </c>
      <c r="O27" s="12">
        <v>345602834</v>
      </c>
      <c r="P27" s="13">
        <v>78</v>
      </c>
      <c r="Q27">
        <f>78/1.5</f>
        <v>52</v>
      </c>
      <c r="R27" s="13">
        <v>3779866</v>
      </c>
      <c r="S27" s="13" t="s">
        <v>44</v>
      </c>
      <c r="T27" t="s">
        <v>44</v>
      </c>
      <c r="U27">
        <v>6</v>
      </c>
      <c r="V27">
        <v>7</v>
      </c>
      <c r="W27">
        <v>1.93</v>
      </c>
      <c r="X27">
        <v>44</v>
      </c>
      <c r="Y27" s="15">
        <f>Table133[[#This Row],[Time until ideal entry + 390 (6:30)]]/(1440)</f>
        <v>0.27569444444444446</v>
      </c>
      <c r="Z27" s="18">
        <f>(F27-D27)/D27</f>
        <v>0.59574468085106391</v>
      </c>
      <c r="AA27" s="18">
        <f>IF(Table133[[#This Row],[HOD AFTER PM HI]]&gt;=Table133[[#This Row],[PM Hi]],((Table133[[#This Row],[HOD AFTER PM HI]]-Table133[[#This Row],[Prior day close]])/Table133[[#This Row],[Prior day close]]),Table133[[#This Row],[Prior Close to PM Hi %]])</f>
        <v>1.5460992907801416</v>
      </c>
      <c r="AB27" s="18">
        <f>(Table133[[#This Row],[Price at hi of squeeze]]-Table133[[#This Row],[MKT Open Price]])/Table133[[#This Row],[MKT Open Price]]</f>
        <v>0.87958115183246077</v>
      </c>
      <c r="AC27" s="18">
        <f>(Table133[[#This Row],[Price at hi of squeeze]]-Table133[[#This Row],[PM Hi]])/Table133[[#This Row],[PM Hi]]</f>
        <v>0.5955555555555555</v>
      </c>
      <c r="AD27" s="18">
        <f>(M27-K27)/K27</f>
        <v>0.90957446808510645</v>
      </c>
      <c r="AE27" s="20">
        <f>Table133[[#This Row],[PM VOL]]/1000000/Table133[[#This Row],[FLOAT(M)]]</f>
        <v>7.268973076923077E-2</v>
      </c>
      <c r="AF27" s="21">
        <f>(Table133[[#This Row],[Volume]]/1000000)/Table133[[#This Row],[FLOAT(M)]]</f>
        <v>1.9700472115384615</v>
      </c>
      <c r="AG27" s="18">
        <f>(Table133[[#This Row],[Hi of Spike after open before drop]]-Table133[[#This Row],[MKT Open Price]])/Table133[[#This Row],[MKT Open Price]]</f>
        <v>6.2827225130889994E-2</v>
      </c>
      <c r="AH27" s="18">
        <f>(Table133[[#This Row],[PM Hi]]-Table133[[#This Row],[MKT Open Price]])/(Table133[[#This Row],[PM Hi]])</f>
        <v>0.15111111111111114</v>
      </c>
      <c r="AI27" s="16">
        <f>IF(Table133[[#This Row],[PM LO]]&gt;Table133[[#This Row],[Prior day close]],(Table133[[#This Row],[PM Hi]]-Table133[[#This Row],[MKT Open Price]])/(Table133[[#This Row],[PM Hi]]-Table133[[#This Row],[Prior day close]]),(Table133[[#This Row],[PM Hi]]-Table133[[#This Row],[MKT Open Price]])/(Table133[[#This Row],[PM Hi]]-Table133[[#This Row],[PM LO]]))</f>
        <v>0.40476190476190482</v>
      </c>
      <c r="AJ27" s="16">
        <f>IF(Table133[[#This Row],[Prior day close]]&lt;Table133[[#This Row],[PM LO]],(I27-K27)/(I27-Table133[[#This Row],[Prior day close]]),(I27-K27)/(I27-Table133[[#This Row],[PM LO]]))</f>
        <v>6.0000000000000053E-2</v>
      </c>
      <c r="AK27" s="16">
        <f>Table133[[#This Row],[Spike % on open before drop]]+AL27</f>
        <v>7.8534031413612523E-2</v>
      </c>
      <c r="AL27" s="16">
        <f>(I27-K27)/I27</f>
        <v>1.5706806282722526E-2</v>
      </c>
      <c r="AM27" s="18">
        <f>IF($J27&gt;=$F27,($J27-$K27)/($J27),(IF($H27&lt;=$K27,($F27-$H27)/($F27),(Table133[[#This Row],[PM Hi]]-Table133[[#This Row],[Lowest lo from open to squeeze]])/(Table133[[#This Row],[PM Hi]]))))</f>
        <v>0.17777777777777773</v>
      </c>
      <c r="AN27" s="18">
        <f>IF(Table133[[#This Row],[Prior day close]]&lt;=Table133[[#This Row],[PM LO]],IF($J27&gt;=$F27,($J27-$K27)/($J27-Table133[[#This Row],[Prior day close]]),(IF($H27&lt;=$K27,($F27-$H27)/($F27-Table133[[#This Row],[Prior day close]]),(Table133[[#This Row],[PM Hi]]-Table133[[#This Row],[Lowest lo from open to squeeze]])/(Table133[[#This Row],[PM Hi]]-Table133[[#This Row],[Prior day close]])))),IF($J27&gt;=$F27,($J27-$K27)/($J27-Table133[[#This Row],[PM LO]]),(IF($H27&lt;=$K27,($F27-$H27)/($F27-Table133[[#This Row],[PM LO]]),(Table133[[#This Row],[PM Hi]]-Table133[[#This Row],[Lowest lo from open to squeeze]])/(Table133[[#This Row],[PM Hi]]-Table133[[#This Row],[PM LO]])))))</f>
        <v>0.47619047619047605</v>
      </c>
      <c r="AO27" s="18">
        <f>IF(J27&gt;=F27,(J27-K27)/(J27-D27),(IF(H27&lt;=K27,(F27-H27)/(F27-D27),(Table133[[#This Row],[PM Hi]]-Table133[[#This Row],[Lowest lo from open to squeeze]])/(Table133[[#This Row],[PM Hi]]-Table133[[#This Row],[Prior day close]]))))</f>
        <v>0.47619047619047605</v>
      </c>
      <c r="AP27" s="17">
        <f>390+Table133[[#This Row],[Time until ideal entry point (mins) from open]]</f>
        <v>397</v>
      </c>
      <c r="AQ27" s="51">
        <f>(Table133[[#This Row],[Time until ideal entry + 390 (6:30)]]+Table133[[#This Row],[Duration of frontside (mins)]])/1440</f>
        <v>0.30625000000000002</v>
      </c>
    </row>
    <row r="28" spans="1:43" x14ac:dyDescent="0.25">
      <c r="A28" s="10" t="s">
        <v>83</v>
      </c>
      <c r="B28" s="11">
        <v>43984</v>
      </c>
      <c r="C28" s="47" t="s">
        <v>78</v>
      </c>
      <c r="D28" s="12">
        <v>1.41</v>
      </c>
      <c r="E28" s="13">
        <v>1.5</v>
      </c>
      <c r="F28" s="12">
        <v>2.9</v>
      </c>
      <c r="G28" s="12">
        <v>1.5</v>
      </c>
      <c r="H28" s="12">
        <v>2.2200000000000002</v>
      </c>
      <c r="I28" s="12">
        <v>2.34</v>
      </c>
      <c r="J28" s="12">
        <v>2.41</v>
      </c>
      <c r="K28" s="12">
        <v>2.17</v>
      </c>
      <c r="L28" s="12">
        <v>2.68</v>
      </c>
      <c r="M28" s="12">
        <v>2.68</v>
      </c>
      <c r="N28" s="13">
        <v>54115995</v>
      </c>
      <c r="O28" s="12">
        <v>66298878</v>
      </c>
      <c r="P28" s="13">
        <v>13.89</v>
      </c>
      <c r="Q28">
        <v>9.18</v>
      </c>
      <c r="R28" s="13">
        <v>8025782</v>
      </c>
      <c r="S28" s="13" t="s">
        <v>44</v>
      </c>
      <c r="T28" t="s">
        <v>44</v>
      </c>
      <c r="U28">
        <v>9</v>
      </c>
      <c r="V28">
        <v>10</v>
      </c>
      <c r="W28">
        <v>2.2200000000000002</v>
      </c>
      <c r="X28">
        <v>10</v>
      </c>
      <c r="Y28" s="15">
        <f>Table133[[#This Row],[Time until ideal entry + 390 (6:30)]]/(1440)</f>
        <v>0.27777777777777779</v>
      </c>
      <c r="Z28" s="18">
        <f>(F28-D28)/D28</f>
        <v>1.0567375886524824</v>
      </c>
      <c r="AA28" s="18">
        <f>IF(Table133[[#This Row],[HOD AFTER PM HI]]&gt;=Table133[[#This Row],[PM Hi]],((Table133[[#This Row],[HOD AFTER PM HI]]-Table133[[#This Row],[Prior day close]])/Table133[[#This Row],[Prior day close]]),Table133[[#This Row],[Prior Close to PM Hi %]])</f>
        <v>1.0567375886524824</v>
      </c>
      <c r="AB28" s="18">
        <f>(Table133[[#This Row],[Price at hi of squeeze]]-Table133[[#This Row],[MKT Open Price]])/Table133[[#This Row],[MKT Open Price]]</f>
        <v>0.14529914529914545</v>
      </c>
      <c r="AC28" s="18">
        <f>(Table133[[#This Row],[Price at hi of squeeze]]-Table133[[#This Row],[PM Hi]])/Table133[[#This Row],[PM Hi]]</f>
        <v>-7.5862068965517157E-2</v>
      </c>
      <c r="AD28" s="18">
        <f>(M28-K28)/K28</f>
        <v>0.2350230414746545</v>
      </c>
      <c r="AE28" s="20">
        <f>Table133[[#This Row],[PM VOL]]/1000000/Table133[[#This Row],[FLOAT(M)]]</f>
        <v>0.8742681917211329</v>
      </c>
      <c r="AF28" s="21">
        <f>(Table133[[#This Row],[Volume]]/1000000)/Table133[[#This Row],[FLOAT(M)]]</f>
        <v>5.8949885620915037</v>
      </c>
      <c r="AG28" s="18">
        <f>(Table133[[#This Row],[Hi of Spike after open before drop]]-Table133[[#This Row],[MKT Open Price]])/Table133[[#This Row],[MKT Open Price]]</f>
        <v>2.9914529914530037E-2</v>
      </c>
      <c r="AH28" s="18">
        <f>(Table133[[#This Row],[PM Hi]]-Table133[[#This Row],[MKT Open Price]])/(Table133[[#This Row],[PM Hi]])</f>
        <v>0.19310344827586209</v>
      </c>
      <c r="AI28" s="16">
        <f>IF(Table133[[#This Row],[PM LO]]&gt;Table133[[#This Row],[Prior day close]],(Table133[[#This Row],[PM Hi]]-Table133[[#This Row],[MKT Open Price]])/(Table133[[#This Row],[PM Hi]]-Table133[[#This Row],[Prior day close]]),(Table133[[#This Row],[PM Hi]]-Table133[[#This Row],[MKT Open Price]])/(Table133[[#This Row],[PM Hi]]-Table133[[#This Row],[PM LO]]))</f>
        <v>0.37583892617449666</v>
      </c>
      <c r="AJ28" s="16">
        <f>IF(Table133[[#This Row],[Prior day close]]&lt;Table133[[#This Row],[PM LO]],(I28-K28)/(I28-Table133[[#This Row],[Prior day close]]),(I28-K28)/(I28-Table133[[#This Row],[PM LO]]))</f>
        <v>0.18279569892473113</v>
      </c>
      <c r="AK28" s="16">
        <f>Table133[[#This Row],[Spike % on open before drop]]+AL28</f>
        <v>0.10256410256410267</v>
      </c>
      <c r="AL28" s="16">
        <f>(I28-K28)/I28</f>
        <v>7.2649572649572627E-2</v>
      </c>
      <c r="AM28" s="18">
        <f>IF($J28&gt;=$F28,($J28-$K28)/($J28),(IF($H28&lt;=$K28,($F28-$H28)/($F28),(Table133[[#This Row],[PM Hi]]-Table133[[#This Row],[Lowest lo from open to squeeze]])/(Table133[[#This Row],[PM Hi]]))))</f>
        <v>0.25172413793103449</v>
      </c>
      <c r="AN28" s="18">
        <f>IF(Table133[[#This Row],[Prior day close]]&lt;=Table133[[#This Row],[PM LO]],IF($J28&gt;=$F28,($J28-$K28)/($J28-Table133[[#This Row],[Prior day close]]),(IF($H28&lt;=$K28,($F28-$H28)/($F28-Table133[[#This Row],[Prior day close]]),(Table133[[#This Row],[PM Hi]]-Table133[[#This Row],[Lowest lo from open to squeeze]])/(Table133[[#This Row],[PM Hi]]-Table133[[#This Row],[Prior day close]])))),IF($J28&gt;=$F28,($J28-$K28)/($J28-Table133[[#This Row],[PM LO]]),(IF($H28&lt;=$K28,($F28-$H28)/($F28-Table133[[#This Row],[PM LO]]),(Table133[[#This Row],[PM Hi]]-Table133[[#This Row],[Lowest lo from open to squeeze]])/(Table133[[#This Row],[PM Hi]]-Table133[[#This Row],[PM LO]])))))</f>
        <v>0.48993288590604028</v>
      </c>
      <c r="AO28" s="18">
        <f>IF(J28&gt;=F28,(J28-K28)/(J28-D28),(IF(H28&lt;=K28,(F28-H28)/(F28-D28),(Table133[[#This Row],[PM Hi]]-Table133[[#This Row],[Lowest lo from open to squeeze]])/(Table133[[#This Row],[PM Hi]]-Table133[[#This Row],[Prior day close]]))))</f>
        <v>0.48993288590604028</v>
      </c>
      <c r="AP28" s="17">
        <f>390+Table133[[#This Row],[Time until ideal entry point (mins) from open]]</f>
        <v>400</v>
      </c>
      <c r="AQ28" s="51">
        <f>(Table133[[#This Row],[Time until ideal entry + 390 (6:30)]]+Table133[[#This Row],[Duration of frontside (mins)]])/1440</f>
        <v>0.28472222222222221</v>
      </c>
    </row>
    <row r="29" spans="1:43" x14ac:dyDescent="0.25">
      <c r="A29" s="10" t="s">
        <v>99</v>
      </c>
      <c r="B29" s="11">
        <v>44006</v>
      </c>
      <c r="C29" s="47" t="s">
        <v>78</v>
      </c>
      <c r="D29" s="12">
        <v>1.43</v>
      </c>
      <c r="E29" s="13">
        <v>1.43</v>
      </c>
      <c r="F29" s="12">
        <v>1.69</v>
      </c>
      <c r="G29" s="12">
        <v>1.35</v>
      </c>
      <c r="H29" s="12">
        <v>1.53</v>
      </c>
      <c r="I29" s="12">
        <v>1.62</v>
      </c>
      <c r="J29" s="12">
        <v>1.68</v>
      </c>
      <c r="K29" s="12">
        <v>1.53</v>
      </c>
      <c r="L29" s="12">
        <v>2.57</v>
      </c>
      <c r="M29" s="12">
        <v>2.57</v>
      </c>
      <c r="N29" s="13">
        <v>133831031</v>
      </c>
      <c r="O29" s="12">
        <v>280010853</v>
      </c>
      <c r="P29" s="13">
        <v>8.89</v>
      </c>
      <c r="Q29" s="13">
        <v>10.3</v>
      </c>
      <c r="R29" s="13">
        <v>1953230</v>
      </c>
      <c r="S29" s="13"/>
      <c r="T29" t="s">
        <v>44</v>
      </c>
      <c r="U29">
        <v>2</v>
      </c>
      <c r="V29">
        <v>3</v>
      </c>
      <c r="W29">
        <v>1.61</v>
      </c>
      <c r="X29">
        <v>37</v>
      </c>
      <c r="Y29" s="15">
        <f>Table133[[#This Row],[Time until ideal entry + 390 (6:30)]]/(1440)</f>
        <v>0.27291666666666664</v>
      </c>
      <c r="Z29" s="18">
        <f>(F29-D29)/D29</f>
        <v>0.18181818181818182</v>
      </c>
      <c r="AA29" s="18">
        <f>IF(Table133[[#This Row],[HOD AFTER PM HI]]&gt;=Table133[[#This Row],[PM Hi]],((Table133[[#This Row],[HOD AFTER PM HI]]-Table133[[#This Row],[Prior day close]])/Table133[[#This Row],[Prior day close]]),Table133[[#This Row],[Prior Close to PM Hi %]])</f>
        <v>0.79720279720279719</v>
      </c>
      <c r="AB29" s="18">
        <f>(Table133[[#This Row],[Price at hi of squeeze]]-Table133[[#This Row],[MKT Open Price]])/Table133[[#This Row],[MKT Open Price]]</f>
        <v>0.58641975308641958</v>
      </c>
      <c r="AC29" s="18">
        <f>(Table133[[#This Row],[Price at hi of squeeze]]-Table133[[#This Row],[PM Hi]])/Table133[[#This Row],[PM Hi]]</f>
        <v>0.52071005917159763</v>
      </c>
      <c r="AD29" s="18">
        <f>(M29-K29)/K29</f>
        <v>0.67973856209150318</v>
      </c>
      <c r="AE29" s="20">
        <f>Table133[[#This Row],[PM VOL]]/1000000/Table133[[#This Row],[FLOAT(M)]]</f>
        <v>0.18963398058252426</v>
      </c>
      <c r="AF29" s="23">
        <f>(Table133[[#This Row],[Volume]]/1000000)/Table133[[#This Row],[FLOAT(M)]]</f>
        <v>12.993303980582523</v>
      </c>
      <c r="AG29" s="18">
        <f>(Table133[[#This Row],[Hi of Spike after open before drop]]-Table133[[#This Row],[MKT Open Price]])/Table133[[#This Row],[MKT Open Price]]</f>
        <v>3.7037037037036931E-2</v>
      </c>
      <c r="AH29" s="18">
        <f>(Table133[[#This Row],[PM Hi]]-Table133[[#This Row],[MKT Open Price]])/(Table133[[#This Row],[PM Hi]])</f>
        <v>4.1420118343195172E-2</v>
      </c>
      <c r="AI29" s="16">
        <f>IF(Table133[[#This Row],[PM LO]]&gt;Table133[[#This Row],[Prior day close]],(Table133[[#This Row],[PM Hi]]-Table133[[#This Row],[MKT Open Price]])/(Table133[[#This Row],[PM Hi]]-Table133[[#This Row],[Prior day close]]),(Table133[[#This Row],[PM Hi]]-Table133[[#This Row],[MKT Open Price]])/(Table133[[#This Row],[PM Hi]]-Table133[[#This Row],[PM LO]]))</f>
        <v>0.2058823529411761</v>
      </c>
      <c r="AJ29" s="16">
        <f>IF(Table133[[#This Row],[Prior day close]]&lt;Table133[[#This Row],[PM LO]],(I29-K29)/(I29-Table133[[#This Row],[Prior day close]]),(I29-K29)/(I29-Table133[[#This Row],[PM LO]]))</f>
        <v>0.33333333333333359</v>
      </c>
      <c r="AK29" s="16">
        <f>Table133[[#This Row],[Spike % on open before drop]]+AL29</f>
        <v>9.2592592592592532E-2</v>
      </c>
      <c r="AL29" s="16">
        <f>(I29-K29)/I29</f>
        <v>5.5555555555555601E-2</v>
      </c>
      <c r="AM29" s="18">
        <f>IF($J29&gt;=$F29,($J29-$K29)/($J29),(IF($H29&lt;=$K29,($F29-$H29)/($F29),(Table133[[#This Row],[PM Hi]]-Table133[[#This Row],[Lowest lo from open to squeeze]])/(Table133[[#This Row],[PM Hi]]))))</f>
        <v>9.4674556213017708E-2</v>
      </c>
      <c r="AN29" s="18">
        <f>IF(Table133[[#This Row],[Prior day close]]&lt;=Table133[[#This Row],[PM LO]],IF($J29&gt;=$F29,($J29-$K29)/($J29-Table133[[#This Row],[Prior day close]]),(IF($H29&lt;=$K29,($F29-$H29)/($F29-Table133[[#This Row],[Prior day close]]),(Table133[[#This Row],[PM Hi]]-Table133[[#This Row],[Lowest lo from open to squeeze]])/(Table133[[#This Row],[PM Hi]]-Table133[[#This Row],[Prior day close]])))),IF($J29&gt;=$F29,($J29-$K29)/($J29-Table133[[#This Row],[PM LO]]),(IF($H29&lt;=$K29,($F29-$H29)/($F29-Table133[[#This Row],[PM LO]]),(Table133[[#This Row],[PM Hi]]-Table133[[#This Row],[Lowest lo from open to squeeze]])/(Table133[[#This Row],[PM Hi]]-Table133[[#This Row],[PM LO]])))))</f>
        <v>0.47058823529411759</v>
      </c>
      <c r="AO29" s="18">
        <f>IF(J29&gt;=F29,(J29-K29)/(J29-D29),(IF(H29&lt;=K29,(F29-H29)/(F29-D29),(Table133[[#This Row],[PM Hi]]-Table133[[#This Row],[Lowest lo from open to squeeze]])/(Table133[[#This Row],[PM Hi]]-Table133[[#This Row],[Prior day close]]))))</f>
        <v>0.61538461538461509</v>
      </c>
      <c r="AP29" s="17">
        <f>390+Table133[[#This Row],[Time until ideal entry point (mins) from open]]</f>
        <v>393</v>
      </c>
      <c r="AQ29" s="51">
        <f>(Table133[[#This Row],[Time until ideal entry + 390 (6:30)]]+Table133[[#This Row],[Duration of frontside (mins)]])/1440</f>
        <v>0.2986111111111111</v>
      </c>
    </row>
    <row r="30" spans="1:43" x14ac:dyDescent="0.25">
      <c r="A30" s="24" t="s">
        <v>158</v>
      </c>
      <c r="B30" s="11">
        <v>44134</v>
      </c>
      <c r="C30" s="47" t="s">
        <v>78</v>
      </c>
      <c r="D30" s="12">
        <v>1.48</v>
      </c>
      <c r="E30" s="13">
        <v>1.66</v>
      </c>
      <c r="F30" s="12">
        <v>2.6</v>
      </c>
      <c r="G30" s="12">
        <v>1.66</v>
      </c>
      <c r="H30" s="12">
        <v>1.94</v>
      </c>
      <c r="I30" s="12">
        <v>2.2799999999999998</v>
      </c>
      <c r="J30" s="12">
        <v>2.39</v>
      </c>
      <c r="K30" s="12">
        <v>2.06</v>
      </c>
      <c r="L30" s="12">
        <v>3.1</v>
      </c>
      <c r="M30" s="12">
        <v>3.1</v>
      </c>
      <c r="N30" s="13">
        <v>194522812</v>
      </c>
      <c r="O30" s="12">
        <v>384182553</v>
      </c>
      <c r="P30" s="37">
        <v>29.55</v>
      </c>
      <c r="Q30">
        <v>18.079999999999998</v>
      </c>
      <c r="R30" s="13">
        <v>16462879</v>
      </c>
      <c r="S30" s="37" t="s">
        <v>42</v>
      </c>
      <c r="T30" s="37" t="s">
        <v>44</v>
      </c>
      <c r="U30" s="38">
        <v>7</v>
      </c>
      <c r="V30">
        <v>8</v>
      </c>
      <c r="W30" s="39">
        <v>2.1</v>
      </c>
      <c r="X30">
        <v>124</v>
      </c>
      <c r="Y30" s="40">
        <f>Table133[[#This Row],[Time until ideal entry + 390 (6:30)]]/(1440)</f>
        <v>0.27638888888888891</v>
      </c>
      <c r="Z30" s="18">
        <f>(F30-D30)/D30</f>
        <v>0.7567567567567568</v>
      </c>
      <c r="AA30" s="18">
        <f>IF(Table133[[#This Row],[HOD AFTER PM HI]]&gt;=Table133[[#This Row],[PM Hi]],((Table133[[#This Row],[HOD AFTER PM HI]]-Table133[[#This Row],[Prior day close]])/Table133[[#This Row],[Prior day close]]),Table133[[#This Row],[Prior Close to PM Hi %]])</f>
        <v>1.0945945945945947</v>
      </c>
      <c r="AB30" s="42">
        <f>(Table133[[#This Row],[Price at hi of squeeze]]-Table133[[#This Row],[MKT Open Price]])/Table133[[#This Row],[MKT Open Price]]</f>
        <v>0.35964912280701772</v>
      </c>
      <c r="AC30" s="18">
        <f>(Table133[[#This Row],[Price at hi of squeeze]]-Table133[[#This Row],[PM Hi]])/Table133[[#This Row],[PM Hi]]</f>
        <v>0.19230769230769229</v>
      </c>
      <c r="AD30" s="18">
        <f>(M30-K30)/K30</f>
        <v>0.50485436893203883</v>
      </c>
      <c r="AE30" s="20">
        <f>Table133[[#This Row],[PM VOL]]/1000000/Table133[[#This Row],[FLOAT(M)]]</f>
        <v>0.91055746681415939</v>
      </c>
      <c r="AF30" s="23">
        <f>(Table133[[#This Row],[Volume]]/1000000)/Table133[[#This Row],[FLOAT(M)]]</f>
        <v>10.759005088495575</v>
      </c>
      <c r="AH30" s="18">
        <f>(Table133[[#This Row],[PM Hi]]-Table133[[#This Row],[MKT Open Price]])/(Table133[[#This Row],[PM Hi]])</f>
        <v>0.12307692307692318</v>
      </c>
      <c r="AI30" s="16">
        <f>IF(Table133[[#This Row],[PM LO]]&gt;Table133[[#This Row],[Prior day close]],(Table133[[#This Row],[PM Hi]]-Table133[[#This Row],[MKT Open Price]])/(Table133[[#This Row],[PM Hi]]-Table133[[#This Row],[Prior day close]]),(Table133[[#This Row],[PM Hi]]-Table133[[#This Row],[MKT Open Price]])/(Table133[[#This Row],[PM Hi]]-Table133[[#This Row],[PM LO]]))</f>
        <v>0.28571428571428592</v>
      </c>
      <c r="AJ30" s="18">
        <f>IF(Table133[[#This Row],[Prior day close]]&lt;Table133[[#This Row],[PM LO]],(I30-K30)/(I30-Table133[[#This Row],[Prior day close]]),(I30-K30)/(I30-Table133[[#This Row],[PM LO]]))</f>
        <v>0.27499999999999974</v>
      </c>
      <c r="AK30" s="18">
        <f>Table133[[#This Row],[Spike % on open before drop]]+AL30</f>
        <v>9.6491228070175336E-2</v>
      </c>
      <c r="AL30" s="16">
        <f>(I30-K30)/I30</f>
        <v>9.6491228070175336E-2</v>
      </c>
      <c r="AM30" s="18">
        <f>IF($J30&gt;=$F30,($J30-$K30)/($J30),(IF($H30&lt;=$K30,($F30-$H30)/($F30),(Table133[[#This Row],[PM Hi]]-Table133[[#This Row],[Lowest lo from open to squeeze]])/(Table133[[#This Row],[PM Hi]]))))</f>
        <v>0.25384615384615389</v>
      </c>
      <c r="AN30" s="18">
        <f>IF(Table133[[#This Row],[Prior day close]]&lt;=Table133[[#This Row],[PM LO]],IF($J30&gt;=$F30,($J30-$K30)/($J30-Table133[[#This Row],[Prior day close]]),(IF($H30&lt;=$K30,($F30-$H30)/($F30-Table133[[#This Row],[Prior day close]]),(Table133[[#This Row],[PM Hi]]-Table133[[#This Row],[Lowest lo from open to squeeze]])/(Table133[[#This Row],[PM Hi]]-Table133[[#This Row],[Prior day close]])))),IF($J30&gt;=$F30,($J30-$K30)/($J30-Table133[[#This Row],[PM LO]]),(IF($H30&lt;=$K30,($F30-$H30)/($F30-Table133[[#This Row],[PM LO]]),(Table133[[#This Row],[PM Hi]]-Table133[[#This Row],[Lowest lo from open to squeeze]])/(Table133[[#This Row],[PM Hi]]-Table133[[#This Row],[PM LO]])))))</f>
        <v>0.5892857142857143</v>
      </c>
      <c r="AO30" s="18">
        <f>IF(J30&gt;=F30,(J30-K30)/(J30-D30),(IF(H30&lt;=K30,(F30-H30)/(F30-D30),(Table133[[#This Row],[PM Hi]]-Table133[[#This Row],[Lowest lo from open to squeeze]])/(Table133[[#This Row],[PM Hi]]-Table133[[#This Row],[Prior day close]]))))</f>
        <v>0.5892857142857143</v>
      </c>
      <c r="AP30" s="17">
        <f>390+Table133[[#This Row],[Time until ideal entry point (mins) from open]]</f>
        <v>398</v>
      </c>
      <c r="AQ30" s="51">
        <f>(Table133[[#This Row],[Time until ideal entry + 390 (6:30)]]+Table133[[#This Row],[Duration of frontside (mins)]])/1440</f>
        <v>0.36249999999999999</v>
      </c>
    </row>
    <row r="31" spans="1:43" x14ac:dyDescent="0.25">
      <c r="A31" s="24" t="s">
        <v>217</v>
      </c>
      <c r="B31" s="47">
        <v>43895</v>
      </c>
      <c r="C31" s="47" t="s">
        <v>78</v>
      </c>
      <c r="D31" s="12">
        <v>1.5</v>
      </c>
      <c r="E31" s="13">
        <f>Table133[[#This Row],[Prior day close]]</f>
        <v>1.5</v>
      </c>
      <c r="F31" s="12">
        <v>2.57</v>
      </c>
      <c r="G31" s="12">
        <v>1.44</v>
      </c>
      <c r="H31" s="12">
        <v>1.9</v>
      </c>
      <c r="I31" s="12">
        <v>2.0699999999999998</v>
      </c>
      <c r="J31" s="12">
        <v>2.0699999999999998</v>
      </c>
      <c r="K31" s="12">
        <v>1.96</v>
      </c>
      <c r="L31" s="12">
        <v>2.4</v>
      </c>
      <c r="M31" s="12">
        <v>2.4</v>
      </c>
      <c r="N31" s="13">
        <v>11557697</v>
      </c>
      <c r="O31" s="12">
        <v>22653086</v>
      </c>
      <c r="P31" s="37">
        <v>9.4499999999999993</v>
      </c>
      <c r="Q31" s="46">
        <v>2.71</v>
      </c>
      <c r="R31" s="37">
        <v>2643669</v>
      </c>
      <c r="S31" s="37" t="s">
        <v>42</v>
      </c>
      <c r="T31" s="37" t="s">
        <v>44</v>
      </c>
      <c r="U31" s="38">
        <v>3</v>
      </c>
      <c r="V31" s="46">
        <v>2</v>
      </c>
      <c r="W31" s="37">
        <v>1.98</v>
      </c>
      <c r="X31" s="46">
        <v>6</v>
      </c>
      <c r="Y31" s="41">
        <f>Table133[[#This Row],[Time until ideal entry + 390 (6:30)]]/(1440)</f>
        <v>0.2722222222222222</v>
      </c>
      <c r="Z31" s="18">
        <f>(F31-D31)/D31</f>
        <v>0.71333333333333326</v>
      </c>
      <c r="AA31" s="18">
        <f>IF(Table133[[#This Row],[HOD AFTER PM HI]]&gt;=Table133[[#This Row],[PM Hi]],((Table133[[#This Row],[HOD AFTER PM HI]]-Table133[[#This Row],[Prior day close]])/Table133[[#This Row],[Prior day close]]),Table133[[#This Row],[Prior Close to PM Hi %]])</f>
        <v>0.71333333333333326</v>
      </c>
      <c r="AB31" s="42">
        <f>(Table133[[#This Row],[Price at hi of squeeze]]-Table133[[#This Row],[MKT Open Price]])/Table133[[#This Row],[MKT Open Price]]</f>
        <v>0.15942028985507251</v>
      </c>
      <c r="AC31" s="18">
        <f>(Table133[[#This Row],[Price at hi of squeeze]]-Table133[[#This Row],[PM Hi]])/Table133[[#This Row],[PM Hi]]</f>
        <v>-6.6147859922178961E-2</v>
      </c>
      <c r="AD31" s="18"/>
      <c r="AE31" s="20">
        <f>Table133[[#This Row],[PM VOL]]/1000000/Table133[[#This Row],[FLOAT(M)]]</f>
        <v>0.97552361623616235</v>
      </c>
      <c r="AF31" s="23">
        <f>(Table133[[#This Row],[Volume]]/1000000)/Table133[[#This Row],[FLOAT(M)]]</f>
        <v>4.2648328413284133</v>
      </c>
      <c r="AH31" s="18">
        <f>(Table133[[#This Row],[PM Hi]]-Table133[[#This Row],[MKT Open Price]])/(Table133[[#This Row],[PM Hi]])</f>
        <v>0.19455252918287938</v>
      </c>
      <c r="AI31" s="18">
        <f>IF(Table133[[#This Row],[PM LO]]&gt;Table133[[#This Row],[Prior day close]],(Table133[[#This Row],[PM Hi]]-Table133[[#This Row],[MKT Open Price]])/(Table133[[#This Row],[PM Hi]]-Table133[[#This Row],[Prior day close]]),(Table133[[#This Row],[PM Hi]]-Table133[[#This Row],[MKT Open Price]])/(Table133[[#This Row],[PM Hi]]-Table133[[#This Row],[PM LO]]))</f>
        <v>0.44247787610619471</v>
      </c>
      <c r="AJ31" s="48">
        <f>IF(Table133[[#This Row],[Prior day close]]&lt;Table133[[#This Row],[PM LO]],(I31-K31)/(I31-Table133[[#This Row],[Prior day close]]),(I31-K31)/(I31-Table133[[#This Row],[PM LO]]))</f>
        <v>0.17460317460317443</v>
      </c>
      <c r="AK31" s="48">
        <f>Table133[[#This Row],[Spike % on open before drop]]+AL31</f>
        <v>5.3140096618357432E-2</v>
      </c>
      <c r="AL31" s="16">
        <f>(I31-K31)/I31</f>
        <v>5.3140096618357432E-2</v>
      </c>
      <c r="AM31" s="18">
        <f>IF($J31&gt;=$F31,($J31-$K31)/($J31),(IF($H31&lt;=$K31,($F31-$H31)/($F31),(Table133[[#This Row],[PM Hi]]-Table133[[#This Row],[Lowest lo from open to squeeze]])/(Table133[[#This Row],[PM Hi]]))))</f>
        <v>0.26070038910505833</v>
      </c>
      <c r="AN31" s="48">
        <f>IF(Table133[[#This Row],[Prior day close]]&lt;=Table133[[#This Row],[PM LO]],IF($J31&gt;=$F31,($J31-$K31)/($J31-Table133[[#This Row],[Prior day close]]),(IF($H31&lt;=$K31,($F31-$H31)/($F31-Table133[[#This Row],[Prior day close]]),(Table133[[#This Row],[PM Hi]]-Table133[[#This Row],[Lowest lo from open to squeeze]])/(Table133[[#This Row],[PM Hi]]-Table133[[#This Row],[Prior day close]])))),IF($J31&gt;=$F31,($J31-$K31)/($J31-Table133[[#This Row],[PM LO]]),(IF($H31&lt;=$K31,($F31-$H31)/($F31-Table133[[#This Row],[PM LO]]),(Table133[[#This Row],[PM Hi]]-Table133[[#This Row],[Lowest lo from open to squeeze]])/(Table133[[#This Row],[PM Hi]]-Table133[[#This Row],[PM LO]])))))</f>
        <v>0.59292035398230092</v>
      </c>
      <c r="AO31" s="18">
        <f>IF(J31&gt;=F31,(J31-K31)/(J31-D31),(IF(H31&lt;=K31,(F31-H31)/(F31-D31),(Table133[[#This Row],[PM Hi]]-Table133[[#This Row],[Lowest lo from open to squeeze]])/(Table133[[#This Row],[PM Hi]]-Table133[[#This Row],[Prior day close]]))))</f>
        <v>0.62616822429906549</v>
      </c>
      <c r="AP31" s="17">
        <f>390+Table133[[#This Row],[Time until ideal entry point (mins) from open]]</f>
        <v>392</v>
      </c>
      <c r="AQ31" s="17">
        <f>Table133[[#This Row],[Time until ideal entry + 390 (6:30)]]+Table133[[#This Row],[Duration of frontside (mins)]]</f>
        <v>398</v>
      </c>
    </row>
    <row r="32" spans="1:43" x14ac:dyDescent="0.25">
      <c r="A32" s="10" t="s">
        <v>108</v>
      </c>
      <c r="B32" s="11">
        <v>44025</v>
      </c>
      <c r="C32" s="47" t="s">
        <v>78</v>
      </c>
      <c r="D32" s="12">
        <v>1.55</v>
      </c>
      <c r="E32" s="13">
        <v>1.36</v>
      </c>
      <c r="F32" s="12">
        <v>3.38</v>
      </c>
      <c r="G32" s="12">
        <v>1.36</v>
      </c>
      <c r="H32" s="12">
        <v>2.98</v>
      </c>
      <c r="I32" s="12">
        <v>3.14</v>
      </c>
      <c r="J32" s="12">
        <v>3.25</v>
      </c>
      <c r="K32" s="12">
        <v>2.77</v>
      </c>
      <c r="L32" s="12">
        <v>3.3</v>
      </c>
      <c r="M32" s="12">
        <v>3.3</v>
      </c>
      <c r="N32" s="13">
        <v>158027140</v>
      </c>
      <c r="O32" s="12">
        <v>284189632</v>
      </c>
      <c r="P32" s="13">
        <v>30.4</v>
      </c>
      <c r="Q32" s="13">
        <v>26.32</v>
      </c>
      <c r="R32" s="13">
        <v>26977189</v>
      </c>
      <c r="S32" s="13" t="s">
        <v>82</v>
      </c>
      <c r="T32" t="s">
        <v>44</v>
      </c>
      <c r="U32">
        <v>8</v>
      </c>
      <c r="V32">
        <v>9</v>
      </c>
      <c r="W32">
        <v>2.81</v>
      </c>
      <c r="X32">
        <v>11</v>
      </c>
      <c r="Y32" s="15">
        <f>Table133[[#This Row],[Time until ideal entry + 390 (6:30)]]/(1440)</f>
        <v>0.27708333333333335</v>
      </c>
      <c r="Z32" s="18">
        <f>(F32-D32)/D32</f>
        <v>1.1806451612903224</v>
      </c>
      <c r="AA32" s="18">
        <f>IF(Table133[[#This Row],[HOD AFTER PM HI]]&gt;=Table133[[#This Row],[PM Hi]],((Table133[[#This Row],[HOD AFTER PM HI]]-Table133[[#This Row],[Prior day close]])/Table133[[#This Row],[Prior day close]]),Table133[[#This Row],[Prior Close to PM Hi %]])</f>
        <v>1.1806451612903224</v>
      </c>
      <c r="AB32" s="18">
        <f>(Table133[[#This Row],[Price at hi of squeeze]]-Table133[[#This Row],[MKT Open Price]])/Table133[[#This Row],[MKT Open Price]]</f>
        <v>5.0955414012738752E-2</v>
      </c>
      <c r="AC32" s="18">
        <f>(Table133[[#This Row],[Price at hi of squeeze]]-Table133[[#This Row],[PM Hi]])/Table133[[#This Row],[PM Hi]]</f>
        <v>-2.3668639053254458E-2</v>
      </c>
      <c r="AD32" s="18">
        <f>(M32-K32)/K32</f>
        <v>0.19133574007220208</v>
      </c>
      <c r="AE32" s="20">
        <f>Table133[[#This Row],[PM VOL]]/1000000/Table133[[#This Row],[FLOAT(M)]]</f>
        <v>1.0249691869300912</v>
      </c>
      <c r="AF32" s="23">
        <f>(Table133[[#This Row],[Volume]]/1000000)/Table133[[#This Row],[FLOAT(M)]]</f>
        <v>6.004070668693009</v>
      </c>
      <c r="AG32" s="18">
        <f>(Table133[[#This Row],[Hi of Spike after open before drop]]-Table133[[#This Row],[MKT Open Price]])/Table133[[#This Row],[MKT Open Price]]</f>
        <v>3.5031847133757919E-2</v>
      </c>
      <c r="AH32" s="18">
        <f>(Table133[[#This Row],[PM Hi]]-Table133[[#This Row],[MKT Open Price]])/(Table133[[#This Row],[PM Hi]])</f>
        <v>7.1005917159763246E-2</v>
      </c>
      <c r="AI32" s="16">
        <f>IF(Table133[[#This Row],[PM LO]]&gt;Table133[[#This Row],[Prior day close]],(Table133[[#This Row],[PM Hi]]-Table133[[#This Row],[MKT Open Price]])/(Table133[[#This Row],[PM Hi]]-Table133[[#This Row],[Prior day close]]),(Table133[[#This Row],[PM Hi]]-Table133[[#This Row],[MKT Open Price]])/(Table133[[#This Row],[PM Hi]]-Table133[[#This Row],[PM LO]]))</f>
        <v>0.11881188118811872</v>
      </c>
      <c r="AJ32" s="16">
        <f>IF(Table133[[#This Row],[Prior day close]]&lt;Table133[[#This Row],[PM LO]],(I32-K32)/(I32-Table133[[#This Row],[Prior day close]]),(I32-K32)/(I32-Table133[[#This Row],[PM LO]]))</f>
        <v>0.20786516853932591</v>
      </c>
      <c r="AK32" s="16">
        <f>Table133[[#This Row],[Spike % on open before drop]]+AL32</f>
        <v>0.15286624203821655</v>
      </c>
      <c r="AL32" s="16">
        <f>(I32-K32)/I32</f>
        <v>0.11783439490445863</v>
      </c>
      <c r="AM32" s="18">
        <f>IF($J32&gt;=$F32,($J32-$K32)/($J32),(IF($H32&lt;=$K32,($F32-$H32)/($F32),(Table133[[#This Row],[PM Hi]]-Table133[[#This Row],[Lowest lo from open to squeeze]])/(Table133[[#This Row],[PM Hi]]))))</f>
        <v>0.18047337278106507</v>
      </c>
      <c r="AN32" s="18">
        <f>IF(Table133[[#This Row],[Prior day close]]&lt;=Table133[[#This Row],[PM LO]],IF($J32&gt;=$F32,($J32-$K32)/($J32-Table133[[#This Row],[Prior day close]]),(IF($H32&lt;=$K32,($F32-$H32)/($F32-Table133[[#This Row],[Prior day close]]),(Table133[[#This Row],[PM Hi]]-Table133[[#This Row],[Lowest lo from open to squeeze]])/(Table133[[#This Row],[PM Hi]]-Table133[[#This Row],[Prior day close]])))),IF($J32&gt;=$F32,($J32-$K32)/($J32-Table133[[#This Row],[PM LO]]),(IF($H32&lt;=$K32,($F32-$H32)/($F32-Table133[[#This Row],[PM LO]]),(Table133[[#This Row],[PM Hi]]-Table133[[#This Row],[Lowest lo from open to squeeze]])/(Table133[[#This Row],[PM Hi]]-Table133[[#This Row],[PM LO]])))))</f>
        <v>0.30198019801980197</v>
      </c>
      <c r="AO32" s="18">
        <f>IF(J32&gt;=F32,(J32-K32)/(J32-D32),(IF(H32&lt;=K32,(F32-H32)/(F32-D32),(Table133[[#This Row],[PM Hi]]-Table133[[#This Row],[Lowest lo from open to squeeze]])/(Table133[[#This Row],[PM Hi]]-Table133[[#This Row],[Prior day close]]))))</f>
        <v>0.33333333333333331</v>
      </c>
      <c r="AP32" s="17">
        <f>390+Table133[[#This Row],[Time until ideal entry point (mins) from open]]</f>
        <v>399</v>
      </c>
      <c r="AQ32" s="51">
        <f>(Table133[[#This Row],[Time until ideal entry + 390 (6:30)]]+Table133[[#This Row],[Duration of frontside (mins)]])/1440</f>
        <v>0.28472222222222221</v>
      </c>
    </row>
    <row r="33" spans="1:43" x14ac:dyDescent="0.25">
      <c r="A33" s="24" t="s">
        <v>133</v>
      </c>
      <c r="B33" s="11">
        <v>44110</v>
      </c>
      <c r="C33" s="47" t="s">
        <v>78</v>
      </c>
      <c r="D33" s="12">
        <v>1.63</v>
      </c>
      <c r="E33" s="13">
        <v>1.63</v>
      </c>
      <c r="F33" s="12">
        <v>3.48</v>
      </c>
      <c r="G33" s="12">
        <v>1.63</v>
      </c>
      <c r="H33" s="12">
        <v>3.07</v>
      </c>
      <c r="I33" s="12">
        <v>3.32</v>
      </c>
      <c r="J33" s="12">
        <v>3.6</v>
      </c>
      <c r="K33" s="12">
        <v>2.9</v>
      </c>
      <c r="L33" s="12">
        <v>9.43</v>
      </c>
      <c r="M33" s="12">
        <v>9.43</v>
      </c>
      <c r="N33" s="13">
        <v>292404017</v>
      </c>
      <c r="O33" s="12">
        <v>19478885</v>
      </c>
      <c r="P33" s="37">
        <v>41.18</v>
      </c>
      <c r="Q33">
        <v>3.2</v>
      </c>
      <c r="R33" s="37">
        <v>19478885</v>
      </c>
      <c r="S33" s="37" t="s">
        <v>42</v>
      </c>
      <c r="T33" s="37" t="s">
        <v>44</v>
      </c>
      <c r="U33" s="38">
        <v>4</v>
      </c>
      <c r="V33">
        <v>5</v>
      </c>
      <c r="W33" s="39">
        <v>3.02</v>
      </c>
      <c r="X33">
        <v>87</v>
      </c>
      <c r="Y33" s="40">
        <f>Table133[[#This Row],[Time until ideal entry + 390 (6:30)]]/(1440)</f>
        <v>0.27430555555555558</v>
      </c>
      <c r="Z33" s="18">
        <f>(F33-D33)/D33</f>
        <v>1.1349693251533743</v>
      </c>
      <c r="AA33" s="18">
        <f>IF(Table133[[#This Row],[HOD AFTER PM HI]]&gt;=Table133[[#This Row],[PM Hi]],((Table133[[#This Row],[HOD AFTER PM HI]]-Table133[[#This Row],[Prior day close]])/Table133[[#This Row],[Prior day close]]),Table133[[#This Row],[Prior Close to PM Hi %]])</f>
        <v>4.7852760736196318</v>
      </c>
      <c r="AB33" s="42">
        <f>(Table133[[#This Row],[Price at hi of squeeze]]-Table133[[#This Row],[MKT Open Price]])/Table133[[#This Row],[MKT Open Price]]</f>
        <v>1.8403614457831325</v>
      </c>
      <c r="AC33" s="18">
        <f>(Table133[[#This Row],[Price at hi of squeeze]]-Table133[[#This Row],[PM Hi]])/Table133[[#This Row],[PM Hi]]</f>
        <v>1.7097701149425286</v>
      </c>
      <c r="AD33" s="18">
        <f>(M33-K33)/K33</f>
        <v>2.2517241379310344</v>
      </c>
      <c r="AE33" s="20">
        <f>Table133[[#This Row],[PM VOL]]/1000000/Table133[[#This Row],[FLOAT(M)]]</f>
        <v>6.087151562499999</v>
      </c>
      <c r="AF33" s="23">
        <f>(Table133[[#This Row],[Volume]]/1000000)/Table133[[#This Row],[FLOAT(M)]]</f>
        <v>91.376255312499993</v>
      </c>
      <c r="AH33" s="18">
        <f>(Table133[[#This Row],[PM Hi]]-Table133[[#This Row],[MKT Open Price]])/(Table133[[#This Row],[PM Hi]])</f>
        <v>4.5977011494252915E-2</v>
      </c>
      <c r="AI33" s="16">
        <f>IF(Table133[[#This Row],[PM LO]]&gt;Table133[[#This Row],[Prior day close]],(Table133[[#This Row],[PM Hi]]-Table133[[#This Row],[MKT Open Price]])/(Table133[[#This Row],[PM Hi]]-Table133[[#This Row],[Prior day close]]),(Table133[[#This Row],[PM Hi]]-Table133[[#This Row],[MKT Open Price]])/(Table133[[#This Row],[PM Hi]]-Table133[[#This Row],[PM LO]]))</f>
        <v>8.6486486486486561E-2</v>
      </c>
      <c r="AJ33" s="18">
        <f>IF(Table133[[#This Row],[Prior day close]]&lt;Table133[[#This Row],[PM LO]],(I33-K33)/(I33-Table133[[#This Row],[Prior day close]]),(I33-K33)/(I33-Table133[[#This Row],[PM LO]]))</f>
        <v>0.24852071005917156</v>
      </c>
      <c r="AK33" s="18">
        <f>Table133[[#This Row],[Spike % on open before drop]]+AL33</f>
        <v>0.12650602409638553</v>
      </c>
      <c r="AL33" s="16">
        <f>(I33-K33)/I33</f>
        <v>0.12650602409638553</v>
      </c>
      <c r="AM33" s="18">
        <f>IF($J33&gt;=$F33,($J33-$K33)/($J33),(IF($H33&lt;=$K33,($F33-$H33)/($F33),(Table133[[#This Row],[PM Hi]]-Table133[[#This Row],[Lowest lo from open to squeeze]])/(Table133[[#This Row],[PM Hi]]))))</f>
        <v>0.19444444444444448</v>
      </c>
      <c r="AN33" s="18">
        <f>IF(Table133[[#This Row],[Prior day close]]&lt;=Table133[[#This Row],[PM LO]],IF($J33&gt;=$F33,($J33-$K33)/($J33-Table133[[#This Row],[Prior day close]]),(IF($H33&lt;=$K33,($F33-$H33)/($F33-Table133[[#This Row],[Prior day close]]),(Table133[[#This Row],[PM Hi]]-Table133[[#This Row],[Lowest lo from open to squeeze]])/(Table133[[#This Row],[PM Hi]]-Table133[[#This Row],[Prior day close]])))),IF($J33&gt;=$F33,($J33-$K33)/($J33-Table133[[#This Row],[PM LO]]),(IF($H33&lt;=$K33,($F33-$H33)/($F33-Table133[[#This Row],[PM LO]]),(Table133[[#This Row],[PM Hi]]-Table133[[#This Row],[Lowest lo from open to squeeze]])/(Table133[[#This Row],[PM Hi]]-Table133[[#This Row],[PM LO]])))))</f>
        <v>0.35532994923857875</v>
      </c>
      <c r="AO33" s="18">
        <f>IF(J33&gt;=F33,(J33-K33)/(J33-D33),(IF(H33&lt;=K33,(F33-H33)/(F33-D33),(Table133[[#This Row],[PM Hi]]-Table133[[#This Row],[Lowest lo from open to squeeze]])/(Table133[[#This Row],[PM Hi]]-Table133[[#This Row],[Prior day close]]))))</f>
        <v>0.35532994923857875</v>
      </c>
      <c r="AP33" s="17">
        <f>390+Table133[[#This Row],[Time until ideal entry point (mins) from open]]</f>
        <v>395</v>
      </c>
      <c r="AQ33" s="51">
        <f>(Table133[[#This Row],[Time until ideal entry + 390 (6:30)]]+Table133[[#This Row],[Duration of frontside (mins)]])/1440</f>
        <v>0.3347222222222222</v>
      </c>
    </row>
    <row r="34" spans="1:43" s="36" customFormat="1" x14ac:dyDescent="0.25">
      <c r="A34" s="24" t="s">
        <v>221</v>
      </c>
      <c r="B34" s="47">
        <v>43935</v>
      </c>
      <c r="C34" s="47" t="s">
        <v>78</v>
      </c>
      <c r="D34" s="12">
        <v>1.67</v>
      </c>
      <c r="E34" s="13">
        <f>Table133[[#This Row],[Prior day close]]</f>
        <v>1.67</v>
      </c>
      <c r="F34" s="12">
        <v>3.3</v>
      </c>
      <c r="G34" s="12">
        <v>1.77</v>
      </c>
      <c r="H34" s="12">
        <v>2.8</v>
      </c>
      <c r="I34" s="12">
        <v>3.06</v>
      </c>
      <c r="J34" s="12">
        <v>3.06</v>
      </c>
      <c r="K34" s="12">
        <v>2.95</v>
      </c>
      <c r="L34" s="12">
        <v>3.64</v>
      </c>
      <c r="M34" s="12">
        <v>3.64</v>
      </c>
      <c r="N34" s="13">
        <v>47095480</v>
      </c>
      <c r="O34" s="12">
        <v>117503222</v>
      </c>
      <c r="P34" s="37">
        <v>161.54</v>
      </c>
      <c r="Q34" s="46">
        <v>96.73</v>
      </c>
      <c r="R34" s="37">
        <v>2763635</v>
      </c>
      <c r="S34" s="37" t="s">
        <v>42</v>
      </c>
      <c r="T34" s="37" t="s">
        <v>44</v>
      </c>
      <c r="U34" s="38">
        <v>1</v>
      </c>
      <c r="V34" s="46">
        <v>1</v>
      </c>
      <c r="W34" s="37">
        <v>3</v>
      </c>
      <c r="X34" s="46">
        <v>3</v>
      </c>
      <c r="Y34" s="41">
        <f>Table133[[#This Row],[Time until ideal entry + 390 (6:30)]]/(1440)</f>
        <v>0.27152777777777776</v>
      </c>
      <c r="Z34" s="18">
        <f>(F34-D34)/D34</f>
        <v>0.9760479041916168</v>
      </c>
      <c r="AA34" s="18">
        <f>IF(Table133[[#This Row],[HOD AFTER PM HI]]&gt;=Table133[[#This Row],[PM Hi]],((Table133[[#This Row],[HOD AFTER PM HI]]-Table133[[#This Row],[Prior day close]])/Table133[[#This Row],[Prior day close]]),Table133[[#This Row],[Prior Close to PM Hi %]])</f>
        <v>1.1796407185628743</v>
      </c>
      <c r="AB34" s="42">
        <f>(Table133[[#This Row],[Price at hi of squeeze]]-Table133[[#This Row],[MKT Open Price]])/Table133[[#This Row],[MKT Open Price]]</f>
        <v>0.18954248366013074</v>
      </c>
      <c r="AC34" s="18">
        <f>(Table133[[#This Row],[Price at hi of squeeze]]-Table133[[#This Row],[PM Hi]])/Table133[[#This Row],[PM Hi]]</f>
        <v>0.10303030303030312</v>
      </c>
      <c r="AD34" s="18"/>
      <c r="AE34" s="20">
        <f>Table133[[#This Row],[PM VOL]]/1000000/Table133[[#This Row],[FLOAT(M)]]</f>
        <v>2.8570608911402871E-2</v>
      </c>
      <c r="AF34" s="23">
        <f>(Table133[[#This Row],[Volume]]/1000000)/Table133[[#This Row],[FLOAT(M)]]</f>
        <v>0.48687563320583066</v>
      </c>
      <c r="AG34" s="18"/>
      <c r="AH34" s="18">
        <f>(Table133[[#This Row],[PM Hi]]-Table133[[#This Row],[MKT Open Price]])/(Table133[[#This Row],[PM Hi]])</f>
        <v>7.2727272727272654E-2</v>
      </c>
      <c r="AI34" s="18">
        <f>IF(Table133[[#This Row],[PM LO]]&gt;Table133[[#This Row],[Prior day close]],(Table133[[#This Row],[PM Hi]]-Table133[[#This Row],[MKT Open Price]])/(Table133[[#This Row],[PM Hi]]-Table133[[#This Row],[Prior day close]]),(Table133[[#This Row],[PM Hi]]-Table133[[#This Row],[MKT Open Price]])/(Table133[[#This Row],[PM Hi]]-Table133[[#This Row],[PM LO]]))</f>
        <v>0.14723926380368085</v>
      </c>
      <c r="AJ34" s="48">
        <f>IF(Table133[[#This Row],[Prior day close]]&lt;Table133[[#This Row],[PM LO]],(I34-K34)/(I34-Table133[[#This Row],[Prior day close]]),(I34-K34)/(I34-Table133[[#This Row],[PM LO]]))</f>
        <v>7.9136690647481911E-2</v>
      </c>
      <c r="AK34" s="48">
        <f>Table133[[#This Row],[Spike % on open before drop]]+AL34</f>
        <v>3.5947712418300609E-2</v>
      </c>
      <c r="AL34" s="16">
        <f>(I34-K34)/I34</f>
        <v>3.5947712418300609E-2</v>
      </c>
      <c r="AM34" s="18">
        <f>IF($J34&gt;=$F34,($J34-$K34)/($J34),(IF($H34&lt;=$K34,($F34-$H34)/($F34),(Table133[[#This Row],[PM Hi]]-Table133[[#This Row],[Lowest lo from open to squeeze]])/(Table133[[#This Row],[PM Hi]]))))</f>
        <v>0.15151515151515152</v>
      </c>
      <c r="AN34" s="48">
        <f>IF(Table133[[#This Row],[Prior day close]]&lt;=Table133[[#This Row],[PM LO]],IF($J34&gt;=$F34,($J34-$K34)/($J34-Table133[[#This Row],[Prior day close]]),(IF($H34&lt;=$K34,($F34-$H34)/($F34-Table133[[#This Row],[Prior day close]]),(Table133[[#This Row],[PM Hi]]-Table133[[#This Row],[Lowest lo from open to squeeze]])/(Table133[[#This Row],[PM Hi]]-Table133[[#This Row],[Prior day close]])))),IF($J34&gt;=$F34,($J34-$K34)/($J34-Table133[[#This Row],[PM LO]]),(IF($H34&lt;=$K34,($F34-$H34)/($F34-Table133[[#This Row],[PM LO]]),(Table133[[#This Row],[PM Hi]]-Table133[[#This Row],[Lowest lo from open to squeeze]])/(Table133[[#This Row],[PM Hi]]-Table133[[#This Row],[PM LO]])))))</f>
        <v>0.30674846625766872</v>
      </c>
      <c r="AO34" s="18">
        <f>IF(J34&gt;=F34,(J34-K34)/(J34-D34),(IF(H34&lt;=K34,(F34-H34)/(F34-D34),(Table133[[#This Row],[PM Hi]]-Table133[[#This Row],[Lowest lo from open to squeeze]])/(Table133[[#This Row],[PM Hi]]-Table133[[#This Row],[Prior day close]]))))</f>
        <v>0.30674846625766872</v>
      </c>
      <c r="AP34" s="17">
        <f>390+Table133[[#This Row],[Time until ideal entry point (mins) from open]]</f>
        <v>391</v>
      </c>
      <c r="AQ34" s="17">
        <f>Table133[[#This Row],[Time until ideal entry + 390 (6:30)]]+Table133[[#This Row],[Duration of frontside (mins)]]</f>
        <v>394</v>
      </c>
    </row>
    <row r="35" spans="1:43" x14ac:dyDescent="0.25">
      <c r="A35" s="10" t="s">
        <v>103</v>
      </c>
      <c r="B35" s="44">
        <v>44012</v>
      </c>
      <c r="C35" s="47" t="s">
        <v>78</v>
      </c>
      <c r="D35" s="12">
        <v>1.75</v>
      </c>
      <c r="E35" s="13">
        <v>1.7</v>
      </c>
      <c r="F35" s="12">
        <v>2.46</v>
      </c>
      <c r="G35" s="12">
        <v>1.4</v>
      </c>
      <c r="H35" s="12">
        <v>1.9</v>
      </c>
      <c r="I35" s="12">
        <v>2.0299999999999998</v>
      </c>
      <c r="J35" s="12">
        <v>2.0299999999999998</v>
      </c>
      <c r="K35" s="12">
        <v>1.85</v>
      </c>
      <c r="L35" s="12">
        <v>5.47</v>
      </c>
      <c r="M35" s="12">
        <v>3.06</v>
      </c>
      <c r="N35" s="13">
        <v>139686630</v>
      </c>
      <c r="O35" s="12">
        <v>673567099</v>
      </c>
      <c r="P35" s="13">
        <v>14</v>
      </c>
      <c r="Q35">
        <v>3.87</v>
      </c>
      <c r="R35" s="13">
        <v>2643951</v>
      </c>
      <c r="S35" s="13"/>
      <c r="T35" t="s">
        <v>44</v>
      </c>
      <c r="U35">
        <v>4</v>
      </c>
      <c r="V35">
        <v>5</v>
      </c>
      <c r="W35">
        <v>1.91</v>
      </c>
      <c r="X35">
        <v>56</v>
      </c>
      <c r="Y35" s="15">
        <f>Table133[[#This Row],[Time until ideal entry + 390 (6:30)]]/(1440)</f>
        <v>0.27430555555555558</v>
      </c>
      <c r="Z35" s="18">
        <f>(F35-D35)/D35</f>
        <v>0.40571428571428569</v>
      </c>
      <c r="AA35" s="18">
        <f>IF(Table133[[#This Row],[HOD AFTER PM HI]]&gt;=Table133[[#This Row],[PM Hi]],((Table133[[#This Row],[HOD AFTER PM HI]]-Table133[[#This Row],[Prior day close]])/Table133[[#This Row],[Prior day close]]),Table133[[#This Row],[Prior Close to PM Hi %]])</f>
        <v>2.1257142857142854</v>
      </c>
      <c r="AB35" s="18">
        <f>(Table133[[#This Row],[Price at hi of squeeze]]-Table133[[#This Row],[MKT Open Price]])/Table133[[#This Row],[MKT Open Price]]</f>
        <v>0.50738916256157651</v>
      </c>
      <c r="AC35" s="18">
        <f>(Table133[[#This Row],[Price at hi of squeeze]]-Table133[[#This Row],[PM Hi]])/Table133[[#This Row],[PM Hi]]</f>
        <v>0.24390243902439029</v>
      </c>
      <c r="AD35" s="18">
        <f>(M35-K35)/K35</f>
        <v>0.65405405405405403</v>
      </c>
      <c r="AE35" s="20">
        <f>Table133[[#This Row],[PM VOL]]/1000000/Table133[[#This Row],[FLOAT(M)]]</f>
        <v>0.68319147286821702</v>
      </c>
      <c r="AF35" s="21">
        <f>(Table133[[#This Row],[Volume]]/1000000)/Table133[[#This Row],[FLOAT(M)]]</f>
        <v>36.094736434108526</v>
      </c>
      <c r="AG35" s="18">
        <f>(Table133[[#This Row],[Hi of Spike after open before drop]]-Table133[[#This Row],[MKT Open Price]])/Table133[[#This Row],[MKT Open Price]]</f>
        <v>0</v>
      </c>
      <c r="AH35" s="18">
        <f>(Table133[[#This Row],[PM Hi]]-Table133[[#This Row],[MKT Open Price]])/(Table133[[#This Row],[PM Hi]])</f>
        <v>0.17479674796747974</v>
      </c>
      <c r="AI35" s="16">
        <f>IF(Table133[[#This Row],[PM LO]]&gt;Table133[[#This Row],[Prior day close]],(Table133[[#This Row],[PM Hi]]-Table133[[#This Row],[MKT Open Price]])/(Table133[[#This Row],[PM Hi]]-Table133[[#This Row],[Prior day close]]),(Table133[[#This Row],[PM Hi]]-Table133[[#This Row],[MKT Open Price]])/(Table133[[#This Row],[PM Hi]]-Table133[[#This Row],[PM LO]]))</f>
        <v>0.4056603773584907</v>
      </c>
      <c r="AJ35" s="16">
        <f>IF(Table133[[#This Row],[Prior day close]]&lt;Table133[[#This Row],[PM LO]],(I35-K35)/(I35-Table133[[#This Row],[Prior day close]]),(I35-K35)/(I35-Table133[[#This Row],[PM LO]]))</f>
        <v>0.28571428571428531</v>
      </c>
      <c r="AK35" s="16">
        <f>Table133[[#This Row],[Spike % on open before drop]]+AL35</f>
        <v>8.866995073891612E-2</v>
      </c>
      <c r="AL35" s="16">
        <f>(I35-K35)/I35</f>
        <v>8.866995073891612E-2</v>
      </c>
      <c r="AM35" s="18">
        <f>IF($J35&gt;=$F35,($J35-$K35)/($J35),(IF($H35&lt;=$K35,($F35-$H35)/($F35),(Table133[[#This Row],[PM Hi]]-Table133[[#This Row],[Lowest lo from open to squeeze]])/(Table133[[#This Row],[PM Hi]]))))</f>
        <v>0.24796747967479671</v>
      </c>
      <c r="AN35" s="18">
        <f>IF(Table133[[#This Row],[Prior day close]]&lt;=Table133[[#This Row],[PM LO]],IF($J35&gt;=$F35,($J35-$K35)/($J35-Table133[[#This Row],[Prior day close]]),(IF($H35&lt;=$K35,($F35-$H35)/($F35-Table133[[#This Row],[Prior day close]]),(Table133[[#This Row],[PM Hi]]-Table133[[#This Row],[Lowest lo from open to squeeze]])/(Table133[[#This Row],[PM Hi]]-Table133[[#This Row],[Prior day close]])))),IF($J35&gt;=$F35,($J35-$K35)/($J35-Table133[[#This Row],[PM LO]]),(IF($H35&lt;=$K35,($F35-$H35)/($F35-Table133[[#This Row],[PM LO]]),(Table133[[#This Row],[PM Hi]]-Table133[[#This Row],[Lowest lo from open to squeeze]])/(Table133[[#This Row],[PM Hi]]-Table133[[#This Row],[PM LO]])))))</f>
        <v>0.57547169811320742</v>
      </c>
      <c r="AO35" s="18">
        <f>IF(J35&gt;=F35,(J35-K35)/(J35-D35),(IF(H35&lt;=K35,(F35-H35)/(F35-D35),(Table133[[#This Row],[PM Hi]]-Table133[[#This Row],[Lowest lo from open to squeeze]])/(Table133[[#This Row],[PM Hi]]-Table133[[#This Row],[Prior day close]]))))</f>
        <v>0.85915492957746464</v>
      </c>
      <c r="AP35" s="17">
        <f>390+Table133[[#This Row],[Time until ideal entry point (mins) from open]]</f>
        <v>395</v>
      </c>
      <c r="AQ35" s="51">
        <f>(Table133[[#This Row],[Time until ideal entry + 390 (6:30)]]+Table133[[#This Row],[Duration of frontside (mins)]])/1440</f>
        <v>0.31319444444444444</v>
      </c>
    </row>
    <row r="36" spans="1:43" s="26" customFormat="1" x14ac:dyDescent="0.25">
      <c r="A36" s="24" t="s">
        <v>74</v>
      </c>
      <c r="B36" s="11">
        <v>44117</v>
      </c>
      <c r="C36" s="47" t="s">
        <v>78</v>
      </c>
      <c r="D36" s="12">
        <v>1.79</v>
      </c>
      <c r="E36" s="13">
        <v>1.81</v>
      </c>
      <c r="F36" s="12">
        <v>3.67</v>
      </c>
      <c r="G36" s="12">
        <v>1.81</v>
      </c>
      <c r="H36" s="12">
        <v>2.83</v>
      </c>
      <c r="I36" s="12">
        <v>3</v>
      </c>
      <c r="J36" s="12">
        <v>3.08</v>
      </c>
      <c r="K36" s="12">
        <v>2.86</v>
      </c>
      <c r="L36" s="12">
        <v>3.99</v>
      </c>
      <c r="M36" s="12">
        <v>3.99</v>
      </c>
      <c r="N36" s="13">
        <v>192813070</v>
      </c>
      <c r="O36" s="12">
        <v>563014164</v>
      </c>
      <c r="P36" s="37">
        <v>11.64</v>
      </c>
      <c r="Q36">
        <v>3.75</v>
      </c>
      <c r="R36" s="37">
        <v>16207970</v>
      </c>
      <c r="S36" s="37" t="s">
        <v>44</v>
      </c>
      <c r="T36" s="37" t="s">
        <v>44</v>
      </c>
      <c r="U36" s="38">
        <v>1</v>
      </c>
      <c r="V36">
        <v>2</v>
      </c>
      <c r="W36" s="39">
        <v>3</v>
      </c>
      <c r="X36">
        <v>151</v>
      </c>
      <c r="Y36" s="40">
        <f>Table133[[#This Row],[Time until ideal entry + 390 (6:30)]]/(1440)</f>
        <v>0.2722222222222222</v>
      </c>
      <c r="Z36" s="18">
        <f>(F36-D36)/D36</f>
        <v>1.0502793296089385</v>
      </c>
      <c r="AA36" s="18">
        <f>IF(Table133[[#This Row],[HOD AFTER PM HI]]&gt;=Table133[[#This Row],[PM Hi]],((Table133[[#This Row],[HOD AFTER PM HI]]-Table133[[#This Row],[Prior day close]])/Table133[[#This Row],[Prior day close]]),Table133[[#This Row],[Prior Close to PM Hi %]])</f>
        <v>1.229050279329609</v>
      </c>
      <c r="AB36" s="42">
        <f>(Table133[[#This Row],[Price at hi of squeeze]]-Table133[[#This Row],[MKT Open Price]])/Table133[[#This Row],[MKT Open Price]]</f>
        <v>0.33000000000000007</v>
      </c>
      <c r="AC36" s="18">
        <f>(Table133[[#This Row],[Price at hi of squeeze]]-Table133[[#This Row],[PM Hi]])/Table133[[#This Row],[PM Hi]]</f>
        <v>8.7193460490463295E-2</v>
      </c>
      <c r="AD36" s="18">
        <f>(M36-K36)/K36</f>
        <v>0.39510489510489522</v>
      </c>
      <c r="AE36" s="20">
        <f>Table133[[#This Row],[PM VOL]]/1000000/Table133[[#This Row],[FLOAT(M)]]</f>
        <v>4.3221253333333332</v>
      </c>
      <c r="AF36" s="23">
        <f>(Table133[[#This Row],[Volume]]/1000000)/Table133[[#This Row],[FLOAT(M)]]</f>
        <v>51.416818666666671</v>
      </c>
      <c r="AG36" s="18"/>
      <c r="AH36" s="18">
        <f>(Table133[[#This Row],[PM Hi]]-Table133[[#This Row],[MKT Open Price]])/(Table133[[#This Row],[PM Hi]])</f>
        <v>0.18256130790190733</v>
      </c>
      <c r="AI36" s="16">
        <f>IF(Table133[[#This Row],[PM LO]]&gt;Table133[[#This Row],[Prior day close]],(Table133[[#This Row],[PM Hi]]-Table133[[#This Row],[MKT Open Price]])/(Table133[[#This Row],[PM Hi]]-Table133[[#This Row],[Prior day close]]),(Table133[[#This Row],[PM Hi]]-Table133[[#This Row],[MKT Open Price]])/(Table133[[#This Row],[PM Hi]]-Table133[[#This Row],[PM LO]]))</f>
        <v>0.35638297872340424</v>
      </c>
      <c r="AJ36" s="18">
        <f>IF(Table133[[#This Row],[Prior day close]]&lt;Table133[[#This Row],[PM LO]],(I36-K36)/(I36-Table133[[#This Row],[Prior day close]]),(I36-K36)/(I36-Table133[[#This Row],[PM LO]]))</f>
        <v>0.11570247933884308</v>
      </c>
      <c r="AK36" s="18">
        <f>Table133[[#This Row],[Spike % on open before drop]]+AL36</f>
        <v>4.666666666666671E-2</v>
      </c>
      <c r="AL36" s="16">
        <f>(I36-K36)/I36</f>
        <v>4.666666666666671E-2</v>
      </c>
      <c r="AM36" s="18">
        <f>IF($J36&gt;=$F36,($J36-$K36)/($J36),(IF($H36&lt;=$K36,($F36-$H36)/($F36),(Table133[[#This Row],[PM Hi]]-Table133[[#This Row],[Lowest lo from open to squeeze]])/(Table133[[#This Row],[PM Hi]]))))</f>
        <v>0.22888283378746591</v>
      </c>
      <c r="AN36" s="18">
        <f>IF(Table133[[#This Row],[Prior day close]]&lt;=Table133[[#This Row],[PM LO]],IF($J36&gt;=$F36,($J36-$K36)/($J36-Table133[[#This Row],[Prior day close]]),(IF($H36&lt;=$K36,($F36-$H36)/($F36-Table133[[#This Row],[Prior day close]]),(Table133[[#This Row],[PM Hi]]-Table133[[#This Row],[Lowest lo from open to squeeze]])/(Table133[[#This Row],[PM Hi]]-Table133[[#This Row],[Prior day close]])))),IF($J36&gt;=$F36,($J36-$K36)/($J36-Table133[[#This Row],[PM LO]]),(IF($H36&lt;=$K36,($F36-$H36)/($F36-Table133[[#This Row],[PM LO]]),(Table133[[#This Row],[PM Hi]]-Table133[[#This Row],[Lowest lo from open to squeeze]])/(Table133[[#This Row],[PM Hi]]-Table133[[#This Row],[PM LO]])))))</f>
        <v>0.4468085106382978</v>
      </c>
      <c r="AO36" s="18">
        <f>IF(J36&gt;=F36,(J36-K36)/(J36-D36),(IF(H36&lt;=K36,(F36-H36)/(F36-D36),(Table133[[#This Row],[PM Hi]]-Table133[[#This Row],[Lowest lo from open to squeeze]])/(Table133[[#This Row],[PM Hi]]-Table133[[#This Row],[Prior day close]]))))</f>
        <v>0.4468085106382978</v>
      </c>
      <c r="AP36" s="17">
        <f>390+Table133[[#This Row],[Time until ideal entry point (mins) from open]]</f>
        <v>392</v>
      </c>
      <c r="AQ36" s="51">
        <f>(Table133[[#This Row],[Time until ideal entry + 390 (6:30)]]+Table133[[#This Row],[Duration of frontside (mins)]])/1440</f>
        <v>0.37708333333333333</v>
      </c>
    </row>
    <row r="37" spans="1:43" s="36" customFormat="1" x14ac:dyDescent="0.25">
      <c r="A37" s="25" t="s">
        <v>180</v>
      </c>
      <c r="B37" s="11">
        <v>44207</v>
      </c>
      <c r="C37" s="11" t="s">
        <v>78</v>
      </c>
      <c r="D37" s="17">
        <v>1.81</v>
      </c>
      <c r="E37">
        <v>1.81</v>
      </c>
      <c r="F37" s="12">
        <v>2.76</v>
      </c>
      <c r="G37">
        <v>1.81</v>
      </c>
      <c r="H37" s="12">
        <v>2.09</v>
      </c>
      <c r="I37" s="12">
        <v>2.13</v>
      </c>
      <c r="J37" s="12">
        <v>2.13</v>
      </c>
      <c r="K37" s="12">
        <v>2.1</v>
      </c>
      <c r="L37" s="12">
        <v>2.54</v>
      </c>
      <c r="M37" s="12">
        <v>2.54</v>
      </c>
      <c r="N37" s="12">
        <v>28376611</v>
      </c>
      <c r="O37" s="12">
        <v>75481785</v>
      </c>
      <c r="P37" s="12">
        <v>46.41</v>
      </c>
      <c r="Q37" s="46">
        <v>9.23</v>
      </c>
      <c r="R37" s="37">
        <v>7525982</v>
      </c>
      <c r="S37" s="18" t="s">
        <v>42</v>
      </c>
      <c r="T37" s="13" t="s">
        <v>44</v>
      </c>
      <c r="U37" s="38">
        <v>1</v>
      </c>
      <c r="V37" s="46">
        <v>4</v>
      </c>
      <c r="W37" s="39">
        <v>2.17</v>
      </c>
      <c r="X37" s="46">
        <v>19</v>
      </c>
      <c r="Y37" s="19"/>
      <c r="Z37" s="18">
        <f>(F37-D37)/D37</f>
        <v>0.52486187845303856</v>
      </c>
      <c r="AA37" s="13"/>
      <c r="AB37" s="13"/>
      <c r="AC37" s="13"/>
      <c r="AD37" s="13"/>
      <c r="AE37" s="18"/>
      <c r="AF37" s="18"/>
      <c r="AG37" s="18"/>
      <c r="AH37" s="18"/>
      <c r="AI37" s="17"/>
      <c r="AJ37" s="17"/>
      <c r="AK37" s="17"/>
      <c r="AL37" s="16">
        <f>(I37-K37)/I37</f>
        <v>1.408450704225343E-2</v>
      </c>
      <c r="AM37"/>
      <c r="AN37"/>
      <c r="AO37"/>
      <c r="AP37"/>
      <c r="AQ37"/>
    </row>
    <row r="38" spans="1:43" x14ac:dyDescent="0.25">
      <c r="A38" s="24" t="s">
        <v>319</v>
      </c>
      <c r="B38" s="47">
        <v>44203</v>
      </c>
      <c r="C38" s="47" t="s">
        <v>78</v>
      </c>
      <c r="D38" s="12">
        <v>1.88</v>
      </c>
      <c r="E38" s="13">
        <v>1.88</v>
      </c>
      <c r="F38" s="12">
        <v>2.86</v>
      </c>
      <c r="G38" s="12">
        <v>1.89</v>
      </c>
      <c r="H38" s="12">
        <v>2.17</v>
      </c>
      <c r="I38" s="12">
        <v>2.31</v>
      </c>
      <c r="J38" s="12">
        <v>2.4500000000000002</v>
      </c>
      <c r="K38" s="12">
        <v>2.16</v>
      </c>
      <c r="L38" s="12">
        <v>6.65</v>
      </c>
      <c r="M38" s="12">
        <v>4.96</v>
      </c>
      <c r="N38" s="13">
        <v>284000000</v>
      </c>
      <c r="O38" s="12">
        <v>1800000000</v>
      </c>
      <c r="P38" s="37">
        <v>110</v>
      </c>
      <c r="Q38" s="46">
        <v>22.96</v>
      </c>
      <c r="R38" s="37">
        <v>7933941</v>
      </c>
      <c r="S38" s="37" t="s">
        <v>42</v>
      </c>
      <c r="T38" s="37" t="s">
        <v>44</v>
      </c>
      <c r="U38" s="38">
        <v>7</v>
      </c>
      <c r="V38" s="46">
        <v>7</v>
      </c>
      <c r="W38" s="37">
        <v>2.2000000000000002</v>
      </c>
      <c r="X38" s="46">
        <v>171</v>
      </c>
      <c r="Y38" s="41">
        <f>Table133[[#This Row],[Time until ideal entry + 390 (6:30)]]/(1440)</f>
        <v>0.27569444444444446</v>
      </c>
      <c r="Z38" s="18">
        <f>(F38-D38)/D38</f>
        <v>0.52127659574468088</v>
      </c>
      <c r="AA38" s="18">
        <f>IF(Table133[[#This Row],[HOD AFTER PM HI]]&gt;=Table133[[#This Row],[PM Hi]],((Table133[[#This Row],[HOD AFTER PM HI]]-Table133[[#This Row],[Prior day close]])/Table133[[#This Row],[Prior day close]]),Table133[[#This Row],[Prior Close to PM Hi %]])</f>
        <v>2.5372340425531918</v>
      </c>
      <c r="AB38" s="42">
        <f>(Table133[[#This Row],[Price at hi of squeeze]]-Table133[[#This Row],[MKT Open Price]])/Table133[[#This Row],[MKT Open Price]]</f>
        <v>1.1471861471861471</v>
      </c>
      <c r="AC38" s="18">
        <f>(Table133[[#This Row],[Price at hi of squeeze]]-Table133[[#This Row],[PM Hi]])/Table133[[#This Row],[PM Hi]]</f>
        <v>0.73426573426573438</v>
      </c>
      <c r="AD38" s="18"/>
      <c r="AE38" s="20">
        <f>Table133[[#This Row],[PM VOL]]/1000000/Table133[[#This Row],[FLOAT(M)]]</f>
        <v>0.34555492160278745</v>
      </c>
      <c r="AF38" s="23">
        <f>(Table133[[#This Row],[Volume]]/1000000)/Table133[[#This Row],[FLOAT(M)]]</f>
        <v>12.369337979094077</v>
      </c>
      <c r="AH38" s="18">
        <f>(Table133[[#This Row],[PM Hi]]-Table133[[#This Row],[MKT Open Price]])/(Table133[[#This Row],[PM Hi]])</f>
        <v>0.19230769230769226</v>
      </c>
      <c r="AI38" s="18">
        <f>IF(Table133[[#This Row],[PM LO]]&gt;Table133[[#This Row],[Prior day close]],(Table133[[#This Row],[PM Hi]]-Table133[[#This Row],[MKT Open Price]])/(Table133[[#This Row],[PM Hi]]-Table133[[#This Row],[Prior day close]]),(Table133[[#This Row],[PM Hi]]-Table133[[#This Row],[MKT Open Price]])/(Table133[[#This Row],[PM Hi]]-Table133[[#This Row],[PM LO]]))</f>
        <v>0.56122448979591821</v>
      </c>
      <c r="AJ38" s="48">
        <f>IF(Table133[[#This Row],[Prior day close]]&lt;Table133[[#This Row],[PM LO]],(I38-K38)/(I38-Table133[[#This Row],[Prior day close]]),(I38-K38)/(I38-Table133[[#This Row],[PM LO]]))</f>
        <v>0.34883720930232526</v>
      </c>
      <c r="AK38" s="48">
        <f>Table133[[#This Row],[Spike % on open before drop]]+AL38</f>
        <v>6.4935064935064901E-2</v>
      </c>
      <c r="AL38" s="16">
        <f>(I38-K38)/I38</f>
        <v>6.4935064935064901E-2</v>
      </c>
      <c r="AM38" s="18">
        <f>IF($J38&gt;=$F38,($J38-$K38)/($J38),(IF($H38&lt;=$K38,($F38-$H38)/($F38),(Table133[[#This Row],[PM Hi]]-Table133[[#This Row],[Lowest lo from open to squeeze]])/(Table133[[#This Row],[PM Hi]]))))</f>
        <v>0.24475524475524468</v>
      </c>
      <c r="AN38" s="48">
        <f>IF(Table133[[#This Row],[Prior day close]]&lt;=Table133[[#This Row],[PM LO]],IF($J38&gt;=$F38,($J38-$K38)/($J38-Table133[[#This Row],[Prior day close]]),(IF($H38&lt;=$K38,($F38-$H38)/($F38-Table133[[#This Row],[Prior day close]]),(Table133[[#This Row],[PM Hi]]-Table133[[#This Row],[Lowest lo from open to squeeze]])/(Table133[[#This Row],[PM Hi]]-Table133[[#This Row],[Prior day close]])))),IF($J38&gt;=$F38,($J38-$K38)/($J38-Table133[[#This Row],[PM LO]]),(IF($H38&lt;=$K38,($F38-$H38)/($F38-Table133[[#This Row],[PM LO]]),(Table133[[#This Row],[PM Hi]]-Table133[[#This Row],[Lowest lo from open to squeeze]])/(Table133[[#This Row],[PM Hi]]-Table133[[#This Row],[PM LO]])))))</f>
        <v>0.71428571428571408</v>
      </c>
      <c r="AO38" s="18">
        <f>IF(J38&gt;=F38,(J38-K38)/(J38-D38),(IF(H38&lt;=K38,(F38-H38)/(F38-D38),(Table133[[#This Row],[PM Hi]]-Table133[[#This Row],[Lowest lo from open to squeeze]])/(Table133[[#This Row],[PM Hi]]-Table133[[#This Row],[Prior day close]]))))</f>
        <v>0.71428571428571408</v>
      </c>
      <c r="AP38" s="17">
        <f>390+Table133[[#This Row],[Time until ideal entry point (mins) from open]]</f>
        <v>397</v>
      </c>
      <c r="AQ38" s="17">
        <f>Table133[[#This Row],[Time until ideal entry + 390 (6:30)]]+Table133[[#This Row],[Duration of frontside (mins)]]</f>
        <v>568</v>
      </c>
    </row>
    <row r="39" spans="1:43" x14ac:dyDescent="0.25">
      <c r="A39" s="10" t="s">
        <v>69</v>
      </c>
      <c r="B39" s="11">
        <v>44032</v>
      </c>
      <c r="C39" s="47" t="s">
        <v>78</v>
      </c>
      <c r="D39" s="12">
        <v>2.04</v>
      </c>
      <c r="E39" s="13">
        <v>3.7</v>
      </c>
      <c r="F39" s="12">
        <v>5.39</v>
      </c>
      <c r="G39" s="12">
        <v>2.14</v>
      </c>
      <c r="H39" s="12">
        <v>4.9000000000000004</v>
      </c>
      <c r="I39" s="12">
        <v>4.8899999999999997</v>
      </c>
      <c r="J39" s="12">
        <v>5</v>
      </c>
      <c r="K39" s="12">
        <v>4.03</v>
      </c>
      <c r="L39" s="12">
        <v>5.24</v>
      </c>
      <c r="M39" s="12">
        <v>5.24</v>
      </c>
      <c r="N39" s="13">
        <v>64184852</v>
      </c>
      <c r="O39" s="12">
        <v>190308086</v>
      </c>
      <c r="P39" s="13">
        <v>12.71</v>
      </c>
      <c r="Q39">
        <v>5.13</v>
      </c>
      <c r="R39" s="13">
        <v>12827663</v>
      </c>
      <c r="S39" s="13" t="s">
        <v>44</v>
      </c>
      <c r="T39" t="s">
        <v>44</v>
      </c>
      <c r="U39">
        <v>24</v>
      </c>
      <c r="V39">
        <v>25</v>
      </c>
      <c r="W39">
        <v>4.0599999999999996</v>
      </c>
      <c r="X39">
        <v>19</v>
      </c>
      <c r="Y39" s="15">
        <f>Table133[[#This Row],[Time until ideal entry + 390 (6:30)]]/(1440)</f>
        <v>0.28819444444444442</v>
      </c>
      <c r="Z39" s="18">
        <f>(F39-D39)/D39</f>
        <v>1.6421568627450978</v>
      </c>
      <c r="AA39" s="18">
        <f>IF(Table133[[#This Row],[HOD AFTER PM HI]]&gt;=Table133[[#This Row],[PM Hi]],((Table133[[#This Row],[HOD AFTER PM HI]]-Table133[[#This Row],[Prior day close]])/Table133[[#This Row],[Prior day close]]),Table133[[#This Row],[Prior Close to PM Hi %]])</f>
        <v>1.6421568627450978</v>
      </c>
      <c r="AB39" s="18">
        <f>(Table133[[#This Row],[Price at hi of squeeze]]-Table133[[#This Row],[MKT Open Price]])/Table133[[#This Row],[MKT Open Price]]</f>
        <v>7.1574642126789476E-2</v>
      </c>
      <c r="AC39" s="18">
        <f>(Table133[[#This Row],[Price at hi of squeeze]]-Table133[[#This Row],[PM Hi]])/Table133[[#This Row],[PM Hi]]</f>
        <v>-2.782931354359916E-2</v>
      </c>
      <c r="AD39" s="18">
        <f>(M39-K39)/K39</f>
        <v>0.30024813895781632</v>
      </c>
      <c r="AE39" s="20">
        <f>Table133[[#This Row],[PM VOL]]/1000000/Table133[[#This Row],[FLOAT(M)]]</f>
        <v>2.5005191033138399</v>
      </c>
      <c r="AF39" s="21">
        <f>(Table133[[#This Row],[Volume]]/1000000)/Table133[[#This Row],[FLOAT(M)]]</f>
        <v>12.511667056530216</v>
      </c>
      <c r="AG39" s="18">
        <f>(Table133[[#This Row],[Hi of Spike after open before drop]]-Table133[[#This Row],[MKT Open Price]])/Table133[[#This Row],[MKT Open Price]]</f>
        <v>2.2494887525562439E-2</v>
      </c>
      <c r="AH39" s="18">
        <f>(Table133[[#This Row],[PM Hi]]-Table133[[#This Row],[MKT Open Price]])/(Table133[[#This Row],[PM Hi]])</f>
        <v>9.27643784786642E-2</v>
      </c>
      <c r="AI39" s="16">
        <f>IF(Table133[[#This Row],[PM LO]]&gt;Table133[[#This Row],[Prior day close]],(Table133[[#This Row],[PM Hi]]-Table133[[#This Row],[MKT Open Price]])/(Table133[[#This Row],[PM Hi]]-Table133[[#This Row],[Prior day close]]),(Table133[[#This Row],[PM Hi]]-Table133[[#This Row],[MKT Open Price]])/(Table133[[#This Row],[PM Hi]]-Table133[[#This Row],[PM LO]]))</f>
        <v>0.1492537313432836</v>
      </c>
      <c r="AJ39" s="16">
        <f>IF(Table133[[#This Row],[Prior day close]]&lt;Table133[[#This Row],[PM LO]],(I39-K39)/(I39-Table133[[#This Row],[Prior day close]]),(I39-K39)/(I39-Table133[[#This Row],[PM LO]]))</f>
        <v>0.30175438596491211</v>
      </c>
      <c r="AK39" s="16">
        <f>Table133[[#This Row],[Spike % on open before drop]]+AL39</f>
        <v>0.19836400817995906</v>
      </c>
      <c r="AL39" s="16">
        <f>(I39-K39)/I39</f>
        <v>0.17586912065439661</v>
      </c>
      <c r="AM39" s="18">
        <f>IF($J39&gt;=$F39,($J39-$K39)/($J39),(IF($H39&lt;=$K39,($F39-$H39)/($F39),(Table133[[#This Row],[PM Hi]]-Table133[[#This Row],[Lowest lo from open to squeeze]])/(Table133[[#This Row],[PM Hi]]))))</f>
        <v>0.25231910946196651</v>
      </c>
      <c r="AN39" s="18">
        <f>IF(Table133[[#This Row],[Prior day close]]&lt;=Table133[[#This Row],[PM LO]],IF($J39&gt;=$F39,($J39-$K39)/($J39-Table133[[#This Row],[Prior day close]]),(IF($H39&lt;=$K39,($F39-$H39)/($F39-Table133[[#This Row],[Prior day close]]),(Table133[[#This Row],[PM Hi]]-Table133[[#This Row],[Lowest lo from open to squeeze]])/(Table133[[#This Row],[PM Hi]]-Table133[[#This Row],[Prior day close]])))),IF($J39&gt;=$F39,($J39-$K39)/($J39-Table133[[#This Row],[PM LO]]),(IF($H39&lt;=$K39,($F39-$H39)/($F39-Table133[[#This Row],[PM LO]]),(Table133[[#This Row],[PM Hi]]-Table133[[#This Row],[Lowest lo from open to squeeze]])/(Table133[[#This Row],[PM Hi]]-Table133[[#This Row],[PM LO]])))))</f>
        <v>0.40597014925373121</v>
      </c>
      <c r="AO39" s="18">
        <f>IF(J39&gt;=F39,(J39-K39)/(J39-D39),(IF(H39&lt;=K39,(F39-H39)/(F39-D39),(Table133[[#This Row],[PM Hi]]-Table133[[#This Row],[Lowest lo from open to squeeze]])/(Table133[[#This Row],[PM Hi]]-Table133[[#This Row],[Prior day close]]))))</f>
        <v>0.40597014925373121</v>
      </c>
      <c r="AP39" s="17">
        <f>390+Table133[[#This Row],[Time until ideal entry point (mins) from open]]</f>
        <v>415</v>
      </c>
      <c r="AQ39" s="51">
        <f>(Table133[[#This Row],[Time until ideal entry + 390 (6:30)]]+Table133[[#This Row],[Duration of frontside (mins)]])/1440</f>
        <v>0.30138888888888887</v>
      </c>
    </row>
    <row r="40" spans="1:43" s="36" customFormat="1" x14ac:dyDescent="0.25">
      <c r="A40" s="24" t="s">
        <v>69</v>
      </c>
      <c r="B40" s="11">
        <v>44158</v>
      </c>
      <c r="C40" s="47" t="s">
        <v>78</v>
      </c>
      <c r="D40" s="12">
        <v>2.08</v>
      </c>
      <c r="E40" s="13">
        <v>2.13</v>
      </c>
      <c r="F40" s="12">
        <v>3.14</v>
      </c>
      <c r="G40" s="12">
        <v>2.13</v>
      </c>
      <c r="H40" s="12">
        <v>2.94</v>
      </c>
      <c r="I40" s="12">
        <v>3.05</v>
      </c>
      <c r="J40" s="12">
        <v>3.23</v>
      </c>
      <c r="K40" s="12">
        <v>2.75</v>
      </c>
      <c r="L40" s="12">
        <v>9.02</v>
      </c>
      <c r="M40" s="12">
        <v>4.17</v>
      </c>
      <c r="N40" s="13">
        <v>300228380</v>
      </c>
      <c r="O40" s="12">
        <v>2590970919</v>
      </c>
      <c r="P40" s="37">
        <v>30</v>
      </c>
      <c r="Q40">
        <v>8.8800000000000008</v>
      </c>
      <c r="R40" s="37">
        <v>12828489</v>
      </c>
      <c r="S40" s="37" t="s">
        <v>44</v>
      </c>
      <c r="T40" s="37" t="s">
        <v>44</v>
      </c>
      <c r="U40" s="38">
        <v>10</v>
      </c>
      <c r="V40">
        <v>10</v>
      </c>
      <c r="W40" s="39"/>
      <c r="X40"/>
      <c r="Y40" s="40">
        <f>Table133[[#This Row],[Time until ideal entry + 390 (6:30)]]/(1440)</f>
        <v>0.27777777777777779</v>
      </c>
      <c r="Z40" s="18">
        <f>(F40-D40)/D40</f>
        <v>0.50961538461538458</v>
      </c>
      <c r="AA40" s="18">
        <f>IF(Table133[[#This Row],[HOD AFTER PM HI]]&gt;=Table133[[#This Row],[PM Hi]],((Table133[[#This Row],[HOD AFTER PM HI]]-Table133[[#This Row],[Prior day close]])/Table133[[#This Row],[Prior day close]]),Table133[[#This Row],[Prior Close to PM Hi %]])</f>
        <v>3.3365384615384612</v>
      </c>
      <c r="AB40" s="42">
        <f>(Table133[[#This Row],[Price at hi of squeeze]]-Table133[[#This Row],[MKT Open Price]])/Table133[[#This Row],[MKT Open Price]]</f>
        <v>0.3672131147540984</v>
      </c>
      <c r="AC40" s="18">
        <f>(Table133[[#This Row],[Price at hi of squeeze]]-Table133[[#This Row],[PM Hi]])/Table133[[#This Row],[PM Hi]]</f>
        <v>0.3280254777070063</v>
      </c>
      <c r="AD40" s="18">
        <f>(M40-K40)/K40</f>
        <v>0.51636363636363636</v>
      </c>
      <c r="AE40" s="20">
        <f>Table133[[#This Row],[PM VOL]]/1000000/Table133[[#This Row],[FLOAT(M)]]</f>
        <v>1.4446496621621621</v>
      </c>
      <c r="AF40" s="23">
        <f>(Table133[[#This Row],[Volume]]/1000000)/Table133[[#This Row],[FLOAT(M)]]</f>
        <v>33.809502252252251</v>
      </c>
      <c r="AG40" s="18"/>
      <c r="AH40" s="18">
        <f>(Table133[[#This Row],[PM Hi]]-Table133[[#This Row],[MKT Open Price]])/(Table133[[#This Row],[PM Hi]])</f>
        <v>2.8662420382165699E-2</v>
      </c>
      <c r="AI40" s="16">
        <f>IF(Table133[[#This Row],[PM LO]]&gt;Table133[[#This Row],[Prior day close]],(Table133[[#This Row],[PM Hi]]-Table133[[#This Row],[MKT Open Price]])/(Table133[[#This Row],[PM Hi]]-Table133[[#This Row],[Prior day close]]),(Table133[[#This Row],[PM Hi]]-Table133[[#This Row],[MKT Open Price]])/(Table133[[#This Row],[PM Hi]]-Table133[[#This Row],[PM LO]]))</f>
        <v>8.4905660377358777E-2</v>
      </c>
      <c r="AJ40" s="18">
        <f>IF(Table133[[#This Row],[Prior day close]]&lt;Table133[[#This Row],[PM LO]],(I40-K40)/(I40-Table133[[#This Row],[Prior day close]]),(I40-K40)/(I40-Table133[[#This Row],[PM LO]]))</f>
        <v>0.30927835051546382</v>
      </c>
      <c r="AK40" s="18">
        <f>Table133[[#This Row],[Spike % on open before drop]]+AL40</f>
        <v>9.8360655737704861E-2</v>
      </c>
      <c r="AL40" s="16">
        <f>(I40-K40)/I40</f>
        <v>9.8360655737704861E-2</v>
      </c>
      <c r="AM40" s="18">
        <f>IF($J40&gt;=$F40,($J40-$K40)/($J40),(IF($H40&lt;=$K40,($F40-$H40)/($F40),(Table133[[#This Row],[PM Hi]]-Table133[[#This Row],[Lowest lo from open to squeeze]])/(Table133[[#This Row],[PM Hi]]))))</f>
        <v>0.14860681114551083</v>
      </c>
      <c r="AN40" s="18">
        <f>IF(Table133[[#This Row],[Prior day close]]&lt;=Table133[[#This Row],[PM LO]],IF($J40&gt;=$F40,($J40-$K40)/($J40-Table133[[#This Row],[Prior day close]]),(IF($H40&lt;=$K40,($F40-$H40)/($F40-Table133[[#This Row],[Prior day close]]),(Table133[[#This Row],[PM Hi]]-Table133[[#This Row],[Lowest lo from open to squeeze]])/(Table133[[#This Row],[PM Hi]]-Table133[[#This Row],[Prior day close]])))),IF($J40&gt;=$F40,($J40-$K40)/($J40-Table133[[#This Row],[PM LO]]),(IF($H40&lt;=$K40,($F40-$H40)/($F40-Table133[[#This Row],[PM LO]]),(Table133[[#This Row],[PM Hi]]-Table133[[#This Row],[Lowest lo from open to squeeze]])/(Table133[[#This Row],[PM Hi]]-Table133[[#This Row],[PM LO]])))))</f>
        <v>0.41739130434782612</v>
      </c>
      <c r="AO40" s="18">
        <f>IF(J40&gt;=F40,(J40-K40)/(J40-D40),(IF(H40&lt;=K40,(F40-H40)/(F40-D40),(Table133[[#This Row],[PM Hi]]-Table133[[#This Row],[Lowest lo from open to squeeze]])/(Table133[[#This Row],[PM Hi]]-Table133[[#This Row],[Prior day close]]))))</f>
        <v>0.41739130434782612</v>
      </c>
      <c r="AP40" s="17">
        <f>390+Table133[[#This Row],[Time until ideal entry point (mins) from open]]</f>
        <v>400</v>
      </c>
      <c r="AQ40" s="51">
        <f>(Table133[[#This Row],[Time until ideal entry + 390 (6:30)]]+Table133[[#This Row],[Duration of frontside (mins)]])/1440</f>
        <v>0.27777777777777779</v>
      </c>
    </row>
    <row r="41" spans="1:43" x14ac:dyDescent="0.25">
      <c r="A41" s="24" t="s">
        <v>149</v>
      </c>
      <c r="B41" s="11">
        <v>44123</v>
      </c>
      <c r="C41" s="47" t="s">
        <v>78</v>
      </c>
      <c r="D41" s="12">
        <v>2.14</v>
      </c>
      <c r="E41" s="13">
        <v>2.0499999999999998</v>
      </c>
      <c r="F41" s="12">
        <v>4.09</v>
      </c>
      <c r="G41" s="12">
        <v>1.75</v>
      </c>
      <c r="H41" s="12">
        <v>2.9</v>
      </c>
      <c r="I41" s="12">
        <v>3.3</v>
      </c>
      <c r="J41" s="12">
        <v>3.44</v>
      </c>
      <c r="K41" s="12">
        <v>2.75</v>
      </c>
      <c r="L41" s="12">
        <v>13.4</v>
      </c>
      <c r="M41" s="12">
        <v>13.4</v>
      </c>
      <c r="N41" s="13">
        <v>235290470</v>
      </c>
      <c r="O41" s="12">
        <v>1672915</v>
      </c>
      <c r="P41" s="37">
        <v>80.400000000000006</v>
      </c>
      <c r="Q41">
        <v>1.0900000000000001</v>
      </c>
      <c r="R41" s="37">
        <v>6828373</v>
      </c>
      <c r="S41" s="37" t="s">
        <v>42</v>
      </c>
      <c r="T41" s="37" t="s">
        <v>42</v>
      </c>
      <c r="U41" s="38">
        <v>6</v>
      </c>
      <c r="V41">
        <v>7</v>
      </c>
      <c r="W41" s="39">
        <v>3</v>
      </c>
      <c r="X41">
        <v>107</v>
      </c>
      <c r="Y41" s="40">
        <f>Table133[[#This Row],[Time until ideal entry + 390 (6:30)]]/(1440)</f>
        <v>0.27569444444444446</v>
      </c>
      <c r="Z41" s="18">
        <f>(F41-D41)/D41</f>
        <v>0.91121495327102786</v>
      </c>
      <c r="AA41" s="18">
        <f>IF(Table133[[#This Row],[HOD AFTER PM HI]]&gt;=Table133[[#This Row],[PM Hi]],((Table133[[#This Row],[HOD AFTER PM HI]]-Table133[[#This Row],[Prior day close]])/Table133[[#This Row],[Prior day close]]),Table133[[#This Row],[Prior Close to PM Hi %]])</f>
        <v>5.2616822429906538</v>
      </c>
      <c r="AB41" s="42">
        <f>(Table133[[#This Row],[Price at hi of squeeze]]-Table133[[#This Row],[MKT Open Price]])/Table133[[#This Row],[MKT Open Price]]</f>
        <v>3.060606060606061</v>
      </c>
      <c r="AC41" s="18">
        <f>(Table133[[#This Row],[Price at hi of squeeze]]-Table133[[#This Row],[PM Hi]])/Table133[[#This Row],[PM Hi]]</f>
        <v>2.2762836185819073</v>
      </c>
      <c r="AD41" s="18">
        <f>(M41-K41)/K41</f>
        <v>3.872727272727273</v>
      </c>
      <c r="AE41" s="20">
        <f>Table133[[#This Row],[PM VOL]]/1000000/Table133[[#This Row],[FLOAT(M)]]</f>
        <v>6.2645623853211001</v>
      </c>
      <c r="AF41" s="23">
        <f>(Table133[[#This Row],[Volume]]/1000000)/Table133[[#This Row],[FLOAT(M)]]</f>
        <v>215.86281651376146</v>
      </c>
      <c r="AH41" s="18">
        <f>(Table133[[#This Row],[PM Hi]]-Table133[[#This Row],[MKT Open Price]])/(Table133[[#This Row],[PM Hi]])</f>
        <v>0.19315403422982885</v>
      </c>
      <c r="AI41" s="16">
        <f>IF(Table133[[#This Row],[PM LO]]&gt;Table133[[#This Row],[Prior day close]],(Table133[[#This Row],[PM Hi]]-Table133[[#This Row],[MKT Open Price]])/(Table133[[#This Row],[PM Hi]]-Table133[[#This Row],[Prior day close]]),(Table133[[#This Row],[PM Hi]]-Table133[[#This Row],[MKT Open Price]])/(Table133[[#This Row],[PM Hi]]-Table133[[#This Row],[PM LO]]))</f>
        <v>0.33760683760683763</v>
      </c>
      <c r="AJ41" s="18">
        <f>IF(Table133[[#This Row],[Prior day close]]&lt;Table133[[#This Row],[PM LO]],(I41-K41)/(I41-Table133[[#This Row],[Prior day close]]),(I41-K41)/(I41-Table133[[#This Row],[PM LO]]))</f>
        <v>0.35483870967741926</v>
      </c>
      <c r="AK41" s="18">
        <f>Table133[[#This Row],[Spike % on open before drop]]+AL41</f>
        <v>0.16666666666666663</v>
      </c>
      <c r="AL41" s="16">
        <f>(I41-K41)/I41</f>
        <v>0.16666666666666663</v>
      </c>
      <c r="AM41" s="18">
        <f>IF($J41&gt;=$F41,($J41-$K41)/($J41),(IF($H41&lt;=$K41,($F41-$H41)/($F41),(Table133[[#This Row],[PM Hi]]-Table133[[#This Row],[Lowest lo from open to squeeze]])/(Table133[[#This Row],[PM Hi]]))))</f>
        <v>0.32762836185819066</v>
      </c>
      <c r="AN41" s="18">
        <f>IF(Table133[[#This Row],[Prior day close]]&lt;=Table133[[#This Row],[PM LO]],IF($J41&gt;=$F41,($J41-$K41)/($J41-Table133[[#This Row],[Prior day close]]),(IF($H41&lt;=$K41,($F41-$H41)/($F41-Table133[[#This Row],[Prior day close]]),(Table133[[#This Row],[PM Hi]]-Table133[[#This Row],[Lowest lo from open to squeeze]])/(Table133[[#This Row],[PM Hi]]-Table133[[#This Row],[Prior day close]])))),IF($J41&gt;=$F41,($J41-$K41)/($J41-Table133[[#This Row],[PM LO]]),(IF($H41&lt;=$K41,($F41-$H41)/($F41-Table133[[#This Row],[PM LO]]),(Table133[[#This Row],[PM Hi]]-Table133[[#This Row],[Lowest lo from open to squeeze]])/(Table133[[#This Row],[PM Hi]]-Table133[[#This Row],[PM LO]])))))</f>
        <v>0.57264957264957261</v>
      </c>
      <c r="AO41" s="18">
        <f>IF(J41&gt;=F41,(J41-K41)/(J41-D41),(IF(H41&lt;=K41,(F41-H41)/(F41-D41),(Table133[[#This Row],[PM Hi]]-Table133[[#This Row],[Lowest lo from open to squeeze]])/(Table133[[#This Row],[PM Hi]]-Table133[[#This Row],[Prior day close]]))))</f>
        <v>0.68717948717948718</v>
      </c>
      <c r="AP41" s="17">
        <f>390+Table133[[#This Row],[Time until ideal entry point (mins) from open]]</f>
        <v>397</v>
      </c>
      <c r="AQ41" s="51">
        <f>(Table133[[#This Row],[Time until ideal entry + 390 (6:30)]]+Table133[[#This Row],[Duration of frontside (mins)]])/1440</f>
        <v>0.35</v>
      </c>
    </row>
    <row r="42" spans="1:43" s="26" customFormat="1" x14ac:dyDescent="0.25">
      <c r="A42" s="24" t="s">
        <v>218</v>
      </c>
      <c r="B42" s="47">
        <v>43899</v>
      </c>
      <c r="C42" s="47" t="s">
        <v>78</v>
      </c>
      <c r="D42" s="12">
        <v>2.15</v>
      </c>
      <c r="E42" s="13">
        <f>Table133[[#This Row],[Prior day close]]</f>
        <v>2.15</v>
      </c>
      <c r="F42" s="12">
        <v>4.0199999999999996</v>
      </c>
      <c r="G42" s="12">
        <v>2.2000000000000002</v>
      </c>
      <c r="H42" s="12">
        <v>3.29</v>
      </c>
      <c r="I42" s="12">
        <v>3.25</v>
      </c>
      <c r="J42" s="12">
        <v>3.25</v>
      </c>
      <c r="K42" s="12">
        <v>3.05</v>
      </c>
      <c r="L42" s="12">
        <v>7.11</v>
      </c>
      <c r="M42" s="12">
        <v>4</v>
      </c>
      <c r="N42" s="13">
        <v>87974652</v>
      </c>
      <c r="O42" s="12">
        <v>560838406</v>
      </c>
      <c r="P42" s="37"/>
      <c r="Q42" s="46"/>
      <c r="R42" s="37">
        <v>3298265</v>
      </c>
      <c r="S42" s="37" t="s">
        <v>42</v>
      </c>
      <c r="T42" s="37" t="s">
        <v>44</v>
      </c>
      <c r="U42" s="38">
        <v>4</v>
      </c>
      <c r="V42" s="46">
        <v>4</v>
      </c>
      <c r="W42" s="37">
        <v>3.1</v>
      </c>
      <c r="X42" s="46">
        <v>23</v>
      </c>
      <c r="Y42" s="41">
        <f>Table133[[#This Row],[Time until ideal entry + 390 (6:30)]]/(1440)</f>
        <v>0.27361111111111114</v>
      </c>
      <c r="Z42" s="18">
        <f>(F42-D42)/D42</f>
        <v>0.86976744186046495</v>
      </c>
      <c r="AA42" s="18">
        <f>IF(Table133[[#This Row],[HOD AFTER PM HI]]&gt;=Table133[[#This Row],[PM Hi]],((Table133[[#This Row],[HOD AFTER PM HI]]-Table133[[#This Row],[Prior day close]])/Table133[[#This Row],[Prior day close]]),Table133[[#This Row],[Prior Close to PM Hi %]])</f>
        <v>2.3069767441860471</v>
      </c>
      <c r="AB42" s="42">
        <f>(Table133[[#This Row],[Price at hi of squeeze]]-Table133[[#This Row],[MKT Open Price]])/Table133[[#This Row],[MKT Open Price]]</f>
        <v>0.23076923076923078</v>
      </c>
      <c r="AC42" s="18">
        <f>(Table133[[#This Row],[Price at hi of squeeze]]-Table133[[#This Row],[PM Hi]])/Table133[[#This Row],[PM Hi]]</f>
        <v>-4.9751243781093468E-3</v>
      </c>
      <c r="AD42" s="18"/>
      <c r="AE42" s="20" t="e">
        <f>Table133[[#This Row],[PM VOL]]/1000000/Table133[[#This Row],[FLOAT(M)]]</f>
        <v>#DIV/0!</v>
      </c>
      <c r="AF42" s="23" t="e">
        <f>(Table133[[#This Row],[Volume]]/1000000)/Table133[[#This Row],[FLOAT(M)]]</f>
        <v>#DIV/0!</v>
      </c>
      <c r="AG42" s="18"/>
      <c r="AH42" s="18">
        <f>(Table133[[#This Row],[PM Hi]]-Table133[[#This Row],[MKT Open Price]])/(Table133[[#This Row],[PM Hi]])</f>
        <v>0.19154228855721384</v>
      </c>
      <c r="AI42" s="18">
        <f>IF(Table133[[#This Row],[PM LO]]&gt;Table133[[#This Row],[Prior day close]],(Table133[[#This Row],[PM Hi]]-Table133[[#This Row],[MKT Open Price]])/(Table133[[#This Row],[PM Hi]]-Table133[[#This Row],[Prior day close]]),(Table133[[#This Row],[PM Hi]]-Table133[[#This Row],[MKT Open Price]])/(Table133[[#This Row],[PM Hi]]-Table133[[#This Row],[PM LO]]))</f>
        <v>0.41176470588235281</v>
      </c>
      <c r="AJ42" s="48">
        <f>IF(Table133[[#This Row],[Prior day close]]&lt;Table133[[#This Row],[PM LO]],(I42-K42)/(I42-Table133[[#This Row],[Prior day close]]),(I42-K42)/(I42-Table133[[#This Row],[PM LO]]))</f>
        <v>0.18181818181818196</v>
      </c>
      <c r="AK42" s="48">
        <f>Table133[[#This Row],[Spike % on open before drop]]+AL42</f>
        <v>6.153846153846159E-2</v>
      </c>
      <c r="AL42" s="16">
        <f>(I42-K42)/I42</f>
        <v>6.153846153846159E-2</v>
      </c>
      <c r="AM42" s="18">
        <f>IF($J42&gt;=$F42,($J42-$K42)/($J42),(IF($H42&lt;=$K42,($F42-$H42)/($F42),(Table133[[#This Row],[PM Hi]]-Table133[[#This Row],[Lowest lo from open to squeeze]])/(Table133[[#This Row],[PM Hi]]))))</f>
        <v>0.24129353233830841</v>
      </c>
      <c r="AN42" s="48">
        <f>IF(Table133[[#This Row],[Prior day close]]&lt;=Table133[[#This Row],[PM LO]],IF($J42&gt;=$F42,($J42-$K42)/($J42-Table133[[#This Row],[Prior day close]]),(IF($H42&lt;=$K42,($F42-$H42)/($F42-Table133[[#This Row],[Prior day close]]),(Table133[[#This Row],[PM Hi]]-Table133[[#This Row],[Lowest lo from open to squeeze]])/(Table133[[#This Row],[PM Hi]]-Table133[[#This Row],[Prior day close]])))),IF($J42&gt;=$F42,($J42-$K42)/($J42-Table133[[#This Row],[PM LO]]),(IF($H42&lt;=$K42,($F42-$H42)/($F42-Table133[[#This Row],[PM LO]]),(Table133[[#This Row],[PM Hi]]-Table133[[#This Row],[Lowest lo from open to squeeze]])/(Table133[[#This Row],[PM Hi]]-Table133[[#This Row],[PM LO]])))))</f>
        <v>0.51871657754010692</v>
      </c>
      <c r="AO42" s="18">
        <f>IF(J42&gt;=F42,(J42-K42)/(J42-D42),(IF(H42&lt;=K42,(F42-H42)/(F42-D42),(Table133[[#This Row],[PM Hi]]-Table133[[#This Row],[Lowest lo from open to squeeze]])/(Table133[[#This Row],[PM Hi]]-Table133[[#This Row],[Prior day close]]))))</f>
        <v>0.51871657754010692</v>
      </c>
      <c r="AP42" s="17">
        <f>390+Table133[[#This Row],[Time until ideal entry point (mins) from open]]</f>
        <v>394</v>
      </c>
      <c r="AQ42" s="17">
        <f>Table133[[#This Row],[Time until ideal entry + 390 (6:30)]]+Table133[[#This Row],[Duration of frontside (mins)]]</f>
        <v>417</v>
      </c>
    </row>
    <row r="43" spans="1:43" x14ac:dyDescent="0.25">
      <c r="A43" s="24" t="s">
        <v>174</v>
      </c>
      <c r="B43" s="11">
        <v>44200</v>
      </c>
      <c r="C43" s="47" t="s">
        <v>78</v>
      </c>
      <c r="D43" s="12">
        <v>2.16</v>
      </c>
      <c r="E43" s="13">
        <v>2.1</v>
      </c>
      <c r="F43" s="12">
        <v>3.88</v>
      </c>
      <c r="G43" s="12">
        <v>2.06</v>
      </c>
      <c r="H43" s="12">
        <v>2.66</v>
      </c>
      <c r="I43" s="12">
        <v>2.9</v>
      </c>
      <c r="J43" s="12">
        <v>2.9</v>
      </c>
      <c r="K43" s="12">
        <v>2.87</v>
      </c>
      <c r="L43" s="12">
        <v>3.85</v>
      </c>
      <c r="M43" s="12">
        <v>3.74</v>
      </c>
      <c r="N43" s="13">
        <v>37742608</v>
      </c>
      <c r="O43" s="12">
        <v>90204833</v>
      </c>
      <c r="P43" s="37">
        <v>20.7</v>
      </c>
      <c r="Q43">
        <v>1.93</v>
      </c>
      <c r="R43" s="37">
        <v>3195364</v>
      </c>
      <c r="S43" s="37" t="s">
        <v>42</v>
      </c>
      <c r="T43" s="37" t="s">
        <v>44</v>
      </c>
      <c r="U43" s="38">
        <v>1</v>
      </c>
      <c r="V43">
        <v>3</v>
      </c>
      <c r="W43" s="39">
        <v>3.06</v>
      </c>
      <c r="X43">
        <v>10</v>
      </c>
      <c r="Y43" s="40">
        <f>Table133[[#This Row],[Time until ideal entry + 390 (6:30)]]/(1440)</f>
        <v>0.27291666666666664</v>
      </c>
      <c r="Z43" s="18">
        <f>(F43-D43)/D43</f>
        <v>0.79629629629629617</v>
      </c>
      <c r="AA43" s="18">
        <f>IF(Table133[[#This Row],[HOD AFTER PM HI]]&gt;=Table133[[#This Row],[PM Hi]],((Table133[[#This Row],[HOD AFTER PM HI]]-Table133[[#This Row],[Prior day close]])/Table133[[#This Row],[Prior day close]]),Table133[[#This Row],[Prior Close to PM Hi %]])</f>
        <v>0.79629629629629617</v>
      </c>
      <c r="AB43" s="42">
        <f>(Table133[[#This Row],[Price at hi of squeeze]]-Table133[[#This Row],[MKT Open Price]])/Table133[[#This Row],[MKT Open Price]]</f>
        <v>0.28965517241379324</v>
      </c>
      <c r="AC43" s="18">
        <f>(Table133[[#This Row],[Price at hi of squeeze]]-Table133[[#This Row],[PM Hi]])/Table133[[#This Row],[PM Hi]]</f>
        <v>-3.6082474226804044E-2</v>
      </c>
      <c r="AD43" s="18"/>
      <c r="AE43" s="20">
        <f>Table133[[#This Row],[PM VOL]]/1000000/Table133[[#This Row],[FLOAT(M)]]</f>
        <v>1.6556290155440416</v>
      </c>
      <c r="AF43" s="23">
        <f>(Table133[[#This Row],[Volume]]/1000000)/Table133[[#This Row],[FLOAT(M)]]</f>
        <v>19.555755440414508</v>
      </c>
      <c r="AH43" s="18">
        <f>(Table133[[#This Row],[PM Hi]]-Table133[[#This Row],[MKT Open Price]])/(Table133[[#This Row],[PM Hi]])</f>
        <v>0.25257731958762886</v>
      </c>
      <c r="AI43" s="16">
        <f>IF(Table133[[#This Row],[PM LO]]&gt;Table133[[#This Row],[Prior day close]],(Table133[[#This Row],[PM Hi]]-Table133[[#This Row],[MKT Open Price]])/(Table133[[#This Row],[PM Hi]]-Table133[[#This Row],[Prior day close]]),(Table133[[#This Row],[PM Hi]]-Table133[[#This Row],[MKT Open Price]])/(Table133[[#This Row],[PM Hi]]-Table133[[#This Row],[PM LO]]))</f>
        <v>0.53846153846153855</v>
      </c>
      <c r="AJ43" s="18">
        <f>IF(Table133[[#This Row],[Prior day close]]&lt;Table133[[#This Row],[PM LO]],(I43-K43)/(I43-Table133[[#This Row],[Prior day close]]),(I43-K43)/(I43-Table133[[#This Row],[PM LO]]))</f>
        <v>3.571428571428549E-2</v>
      </c>
      <c r="AK43" s="18">
        <f>Table133[[#This Row],[Spike % on open before drop]]+AL43</f>
        <v>1.0344827586206829E-2</v>
      </c>
      <c r="AL43" s="16">
        <f>(I43-K43)/I43</f>
        <v>1.0344827586206829E-2</v>
      </c>
      <c r="AM43" s="16"/>
      <c r="AN43" s="18">
        <f>IF(Table133[[#This Row],[Prior day close]]&lt;=Table133[[#This Row],[PM LO]],IF($J43&gt;=$F43,($J43-$K43)/($J43-Table133[[#This Row],[Prior day close]]),(IF($H43&lt;=$K43,($F43-$H43)/($F43-Table133[[#This Row],[Prior day close]]),(Table133[[#This Row],[PM Hi]]-Table133[[#This Row],[Lowest lo from open to squeeze]])/(Table133[[#This Row],[PM Hi]]-Table133[[#This Row],[Prior day close]])))),IF($J43&gt;=$F43,($J43-$K43)/($J43-Table133[[#This Row],[PM LO]]),(IF($H43&lt;=$K43,($F43-$H43)/($F43-Table133[[#This Row],[PM LO]]),(Table133[[#This Row],[PM Hi]]-Table133[[#This Row],[Lowest lo from open to squeeze]])/(Table133[[#This Row],[PM Hi]]-Table133[[#This Row],[PM LO]])))))</f>
        <v>0.67032967032967028</v>
      </c>
      <c r="AO43" s="18"/>
      <c r="AP43" s="17">
        <f>390+Table133[[#This Row],[Time until ideal entry point (mins) from open]]</f>
        <v>393</v>
      </c>
      <c r="AQ43" s="51">
        <f>(Table133[[#This Row],[Time until ideal entry + 390 (6:30)]]+Table133[[#This Row],[Duration of frontside (mins)]])/1440</f>
        <v>0.27986111111111112</v>
      </c>
    </row>
    <row r="44" spans="1:43" x14ac:dyDescent="0.25">
      <c r="A44" s="24" t="s">
        <v>161</v>
      </c>
      <c r="B44" s="11">
        <v>44145</v>
      </c>
      <c r="C44" s="47" t="s">
        <v>78</v>
      </c>
      <c r="D44" s="12">
        <v>2.2000000000000002</v>
      </c>
      <c r="E44" s="13">
        <v>2.21</v>
      </c>
      <c r="F44" s="12">
        <v>3.68</v>
      </c>
      <c r="G44" s="12">
        <v>2.21</v>
      </c>
      <c r="H44" s="12">
        <v>2.81</v>
      </c>
      <c r="I44" s="12">
        <v>3.01</v>
      </c>
      <c r="J44" s="12">
        <v>3.15</v>
      </c>
      <c r="K44" s="12">
        <v>2.72</v>
      </c>
      <c r="L44" s="12">
        <v>3.9</v>
      </c>
      <c r="M44" s="12">
        <v>3.88</v>
      </c>
      <c r="N44" s="13">
        <v>131163994</v>
      </c>
      <c r="O44" s="12">
        <v>44792722</v>
      </c>
      <c r="P44" s="37">
        <v>16.739999999999998</v>
      </c>
      <c r="Q44">
        <v>6.67</v>
      </c>
      <c r="R44" s="37">
        <v>9040302</v>
      </c>
      <c r="S44" s="37" t="s">
        <v>44</v>
      </c>
      <c r="T44" s="37" t="s">
        <v>44</v>
      </c>
      <c r="U44" s="38">
        <v>9</v>
      </c>
      <c r="V44">
        <v>10</v>
      </c>
      <c r="W44" s="39">
        <v>2.76</v>
      </c>
      <c r="X44">
        <v>131</v>
      </c>
      <c r="Y44" s="40">
        <f>Table133[[#This Row],[Time until ideal entry + 390 (6:30)]]/(1440)</f>
        <v>0.27777777777777779</v>
      </c>
      <c r="Z44" s="18">
        <f>(F44-D44)/D44</f>
        <v>0.67272727272727262</v>
      </c>
      <c r="AA44" s="18">
        <f>IF(Table133[[#This Row],[HOD AFTER PM HI]]&gt;=Table133[[#This Row],[PM Hi]],((Table133[[#This Row],[HOD AFTER PM HI]]-Table133[[#This Row],[Prior day close]])/Table133[[#This Row],[Prior day close]]),Table133[[#This Row],[Prior Close to PM Hi %]])</f>
        <v>0.7727272727272726</v>
      </c>
      <c r="AB44" s="42">
        <f>(Table133[[#This Row],[Price at hi of squeeze]]-Table133[[#This Row],[MKT Open Price]])/Table133[[#This Row],[MKT Open Price]]</f>
        <v>0.2890365448504984</v>
      </c>
      <c r="AC44" s="18">
        <f>(Table133[[#This Row],[Price at hi of squeeze]]-Table133[[#This Row],[PM Hi]])/Table133[[#This Row],[PM Hi]]</f>
        <v>5.4347826086956444E-2</v>
      </c>
      <c r="AD44" s="18">
        <f>(M44-K44)/K44</f>
        <v>0.42647058823529399</v>
      </c>
      <c r="AE44" s="20">
        <f>Table133[[#This Row],[PM VOL]]/1000000/Table133[[#This Row],[FLOAT(M)]]</f>
        <v>1.3553676161919042</v>
      </c>
      <c r="AF44" s="23">
        <f>(Table133[[#This Row],[Volume]]/1000000)/Table133[[#This Row],[FLOAT(M)]]</f>
        <v>19.66476671664168</v>
      </c>
      <c r="AH44" s="18">
        <f>(Table133[[#This Row],[PM Hi]]-Table133[[#This Row],[MKT Open Price]])/(Table133[[#This Row],[PM Hi]])</f>
        <v>0.18206521739130443</v>
      </c>
      <c r="AI44" s="16">
        <f>IF(Table133[[#This Row],[PM LO]]&gt;Table133[[#This Row],[Prior day close]],(Table133[[#This Row],[PM Hi]]-Table133[[#This Row],[MKT Open Price]])/(Table133[[#This Row],[PM Hi]]-Table133[[#This Row],[Prior day close]]),(Table133[[#This Row],[PM Hi]]-Table133[[#This Row],[MKT Open Price]])/(Table133[[#This Row],[PM Hi]]-Table133[[#This Row],[PM LO]]))</f>
        <v>0.45270270270270296</v>
      </c>
      <c r="AJ44" s="18">
        <f>IF(Table133[[#This Row],[Prior day close]]&lt;Table133[[#This Row],[PM LO]],(I44-K44)/(I44-Table133[[#This Row],[Prior day close]]),(I44-K44)/(I44-Table133[[#This Row],[PM LO]]))</f>
        <v>0.35802469135802434</v>
      </c>
      <c r="AK44" s="18">
        <f>Table133[[#This Row],[Spike % on open before drop]]+AL44</f>
        <v>9.6345514950165981E-2</v>
      </c>
      <c r="AL44" s="16">
        <f>(I44-K44)/I44</f>
        <v>9.6345514950165981E-2</v>
      </c>
      <c r="AM44" s="18">
        <f>IF($J44&gt;=$F44,($J44-$K44)/($J44),(IF($H44&lt;=$K44,($F44-$H44)/($F44),(Table133[[#This Row],[PM Hi]]-Table133[[#This Row],[Lowest lo from open to squeeze]])/(Table133[[#This Row],[PM Hi]]))))</f>
        <v>0.2608695652173913</v>
      </c>
      <c r="AN44" s="18">
        <f>IF(Table133[[#This Row],[Prior day close]]&lt;=Table133[[#This Row],[PM LO]],IF($J44&gt;=$F44,($J44-$K44)/($J44-Table133[[#This Row],[Prior day close]]),(IF($H44&lt;=$K44,($F44-$H44)/($F44-Table133[[#This Row],[Prior day close]]),(Table133[[#This Row],[PM Hi]]-Table133[[#This Row],[Lowest lo from open to squeeze]])/(Table133[[#This Row],[PM Hi]]-Table133[[#This Row],[Prior day close]])))),IF($J44&gt;=$F44,($J44-$K44)/($J44-Table133[[#This Row],[PM LO]]),(IF($H44&lt;=$K44,($F44-$H44)/($F44-Table133[[#This Row],[PM LO]]),(Table133[[#This Row],[PM Hi]]-Table133[[#This Row],[Lowest lo from open to squeeze]])/(Table133[[#This Row],[PM Hi]]-Table133[[#This Row],[PM LO]])))))</f>
        <v>0.64864864864864868</v>
      </c>
      <c r="AO44" s="18">
        <f>IF(J44&gt;=F44,(J44-K44)/(J44-D44),(IF(H44&lt;=K44,(F44-H44)/(F44-D44),(Table133[[#This Row],[PM Hi]]-Table133[[#This Row],[Lowest lo from open to squeeze]])/(Table133[[#This Row],[PM Hi]]-Table133[[#This Row],[Prior day close]]))))</f>
        <v>0.64864864864864868</v>
      </c>
      <c r="AP44" s="17">
        <f>390+Table133[[#This Row],[Time until ideal entry point (mins) from open]]</f>
        <v>400</v>
      </c>
      <c r="AQ44" s="51">
        <f>(Table133[[#This Row],[Time until ideal entry + 390 (6:30)]]+Table133[[#This Row],[Duration of frontside (mins)]])/1440</f>
        <v>0.36875000000000002</v>
      </c>
    </row>
    <row r="45" spans="1:43" x14ac:dyDescent="0.25">
      <c r="A45" s="25" t="s">
        <v>71</v>
      </c>
      <c r="B45" s="11">
        <v>43934</v>
      </c>
      <c r="C45" s="47" t="s">
        <v>78</v>
      </c>
      <c r="D45" s="12">
        <v>2.25</v>
      </c>
      <c r="E45" s="13">
        <v>2.64</v>
      </c>
      <c r="F45" s="12">
        <v>9.9499999999999993</v>
      </c>
      <c r="G45" s="12">
        <v>2.64</v>
      </c>
      <c r="H45" s="12">
        <v>5.27</v>
      </c>
      <c r="I45" s="12">
        <v>6.45</v>
      </c>
      <c r="J45" s="12">
        <v>7.2</v>
      </c>
      <c r="K45" s="12">
        <v>5.45</v>
      </c>
      <c r="L45" s="12">
        <v>14.88</v>
      </c>
      <c r="M45" s="12">
        <v>14.35</v>
      </c>
      <c r="N45" s="13">
        <v>86483807</v>
      </c>
      <c r="O45" s="12">
        <v>1221549846</v>
      </c>
      <c r="P45" s="13">
        <v>16.809999999999999</v>
      </c>
      <c r="Q45" s="13">
        <v>5.24</v>
      </c>
      <c r="R45" s="13">
        <v>3239842</v>
      </c>
      <c r="S45" s="13" t="s">
        <v>44</v>
      </c>
      <c r="T45" t="s">
        <v>44</v>
      </c>
      <c r="U45">
        <v>28</v>
      </c>
      <c r="V45">
        <v>29</v>
      </c>
      <c r="W45">
        <v>5.52</v>
      </c>
      <c r="X45">
        <v>199</v>
      </c>
      <c r="Y45" s="15">
        <f>Table133[[#This Row],[Time until ideal entry + 390 (6:30)]]/(1440)</f>
        <v>0.29097222222222224</v>
      </c>
      <c r="Z45" s="18">
        <f>(F45-D45)/D45</f>
        <v>3.4222222222222221</v>
      </c>
      <c r="AA45" s="18">
        <f>IF(Table133[[#This Row],[HOD AFTER PM HI]]&gt;=Table133[[#This Row],[PM Hi]],((Table133[[#This Row],[HOD AFTER PM HI]]-Table133[[#This Row],[Prior day close]])/Table133[[#This Row],[Prior day close]]),Table133[[#This Row],[Prior Close to PM Hi %]])</f>
        <v>5.6133333333333333</v>
      </c>
      <c r="AB45" s="18">
        <f>(Table133[[#This Row],[Price at hi of squeeze]]-Table133[[#This Row],[MKT Open Price]])/Table133[[#This Row],[MKT Open Price]]</f>
        <v>1.2248062015503876</v>
      </c>
      <c r="AC45" s="18">
        <f>(Table133[[#This Row],[Price at hi of squeeze]]-Table133[[#This Row],[PM Hi]])/Table133[[#This Row],[PM Hi]]</f>
        <v>0.44221105527638199</v>
      </c>
      <c r="AD45" s="18">
        <f>(M45-K45)/K45</f>
        <v>1.6330275229357796</v>
      </c>
      <c r="AE45" s="20">
        <f>Table133[[#This Row],[PM VOL]]/1000000/Table133[[#This Row],[FLOAT(M)]]</f>
        <v>0.61829045801526716</v>
      </c>
      <c r="AF45" s="21">
        <f>(Table133[[#This Row],[Volume]]/1000000)/Table133[[#This Row],[FLOAT(M)]]</f>
        <v>16.504543320610686</v>
      </c>
      <c r="AG45" s="18">
        <f>(Table133[[#This Row],[Hi of Spike after open before drop]]-Table133[[#This Row],[MKT Open Price]])/Table133[[#This Row],[MKT Open Price]]</f>
        <v>0.11627906976744186</v>
      </c>
      <c r="AH45" s="18">
        <f>(Table133[[#This Row],[PM Hi]]-Table133[[#This Row],[MKT Open Price]])/(Table133[[#This Row],[PM Hi]])</f>
        <v>0.35175879396984916</v>
      </c>
      <c r="AI45" s="16">
        <f>IF(Table133[[#This Row],[PM LO]]&gt;Table133[[#This Row],[Prior day close]],(Table133[[#This Row],[PM Hi]]-Table133[[#This Row],[MKT Open Price]])/(Table133[[#This Row],[PM Hi]]-Table133[[#This Row],[Prior day close]]),(Table133[[#This Row],[PM Hi]]-Table133[[#This Row],[MKT Open Price]])/(Table133[[#This Row],[PM Hi]]-Table133[[#This Row],[PM LO]]))</f>
        <v>0.45454545454545447</v>
      </c>
      <c r="AJ45" s="16">
        <f>IF(Table133[[#This Row],[Prior day close]]&lt;Table133[[#This Row],[PM LO]],(I45-K45)/(I45-Table133[[#This Row],[Prior day close]]),(I45-K45)/(I45-Table133[[#This Row],[PM LO]]))</f>
        <v>0.23809523809523808</v>
      </c>
      <c r="AK45" s="16">
        <f>Table133[[#This Row],[Spike % on open before drop]]+AL45</f>
        <v>0.27131782945736432</v>
      </c>
      <c r="AL45" s="16">
        <f>(I45-K45)/I45</f>
        <v>0.15503875968992248</v>
      </c>
      <c r="AM45" s="18">
        <f>IF($J45&gt;=$F45,($J45-$K45)/($J45-$D45),(IF($H45&lt;=$K45,($F45-$H45)/($F45-$D45),(Table133[[#This Row],[PM Hi]]-Table133[[#This Row],[Lowest lo from open to squeeze]])/(Table133[[#This Row],[PM Hi]]-Table133[[#This Row],[Prior day close]]))))</f>
        <v>0.60779220779220777</v>
      </c>
      <c r="AN45" s="18">
        <f>IF(Table133[[#This Row],[Prior day close]]&lt;=Table133[[#This Row],[PM LO]],IF($J45&gt;=$F45,($J45-$K45)/($J45-Table133[[#This Row],[Prior day close]]),(IF($H45&lt;=$K45,($F45-$H45)/($F45-Table133[[#This Row],[Prior day close]]),(Table133[[#This Row],[PM Hi]]-Table133[[#This Row],[Lowest lo from open to squeeze]])/(Table133[[#This Row],[PM Hi]]-Table133[[#This Row],[Prior day close]])))),IF($J45&gt;=$F45,($J45-$K45)/($J45-Table133[[#This Row],[PM LO]]),(IF($H45&lt;=$K45,($F45-$H45)/($F45-Table133[[#This Row],[PM LO]]),(Table133[[#This Row],[PM Hi]]-Table133[[#This Row],[Lowest lo from open to squeeze]])/(Table133[[#This Row],[PM Hi]]-Table133[[#This Row],[PM LO]])))))</f>
        <v>0.60779220779220777</v>
      </c>
      <c r="AO45" s="18">
        <f>4.7/7.68</f>
        <v>0.61197916666666674</v>
      </c>
      <c r="AP45" s="17">
        <f>390+Table133[[#This Row],[Time until ideal entry point (mins) from open]]</f>
        <v>419</v>
      </c>
      <c r="AQ45" s="51">
        <f>(Table133[[#This Row],[Time until ideal entry + 390 (6:30)]]+Table133[[#This Row],[Duration of frontside (mins)]])/1440</f>
        <v>0.42916666666666664</v>
      </c>
    </row>
    <row r="46" spans="1:43" x14ac:dyDescent="0.25">
      <c r="A46" s="10" t="s">
        <v>112</v>
      </c>
      <c r="B46" s="11">
        <v>44027</v>
      </c>
      <c r="C46" s="47" t="s">
        <v>78</v>
      </c>
      <c r="D46" s="12">
        <v>2.29</v>
      </c>
      <c r="E46" s="13">
        <v>2.23</v>
      </c>
      <c r="F46" s="12">
        <v>3.25</v>
      </c>
      <c r="G46" s="12">
        <v>2.23</v>
      </c>
      <c r="H46" s="12">
        <v>2.7</v>
      </c>
      <c r="I46" s="12">
        <v>2.77</v>
      </c>
      <c r="J46" s="12">
        <v>2.81</v>
      </c>
      <c r="K46" s="12">
        <v>2.64</v>
      </c>
      <c r="L46" s="12">
        <v>10.3</v>
      </c>
      <c r="M46" s="12">
        <v>10.3</v>
      </c>
      <c r="N46" s="13">
        <v>370000000</v>
      </c>
      <c r="O46" s="12">
        <v>2097612000</v>
      </c>
      <c r="P46" s="13">
        <v>30.28</v>
      </c>
      <c r="Q46" s="13">
        <v>6.08</v>
      </c>
      <c r="R46" s="13">
        <v>4253067</v>
      </c>
      <c r="S46" s="13"/>
      <c r="T46" t="s">
        <v>44</v>
      </c>
      <c r="U46">
        <v>2</v>
      </c>
      <c r="V46">
        <v>3</v>
      </c>
      <c r="W46">
        <v>2.7</v>
      </c>
      <c r="X46">
        <v>302</v>
      </c>
      <c r="Y46" s="15">
        <f>Table133[[#This Row],[Time until ideal entry + 390 (6:30)]]/(1440)</f>
        <v>0.27291666666666664</v>
      </c>
      <c r="Z46" s="18">
        <f>(F46-D46)/D46</f>
        <v>0.41921397379912662</v>
      </c>
      <c r="AA46" s="18">
        <f>IF(Table133[[#This Row],[HOD AFTER PM HI]]&gt;=Table133[[#This Row],[PM Hi]],((Table133[[#This Row],[HOD AFTER PM HI]]-Table133[[#This Row],[Prior day close]])/Table133[[#This Row],[Prior day close]]),Table133[[#This Row],[Prior Close to PM Hi %]])</f>
        <v>3.4978165938864634</v>
      </c>
      <c r="AB46" s="18">
        <f>(Table133[[#This Row],[Price at hi of squeeze]]-Table133[[#This Row],[MKT Open Price]])/Table133[[#This Row],[MKT Open Price]]</f>
        <v>2.7184115523465708</v>
      </c>
      <c r="AC46" s="18">
        <f>(Table133[[#This Row],[Price at hi of squeeze]]-Table133[[#This Row],[PM Hi]])/Table133[[#This Row],[PM Hi]]</f>
        <v>2.1692307692307695</v>
      </c>
      <c r="AD46" s="18">
        <f>(M46-K46)/K46</f>
        <v>2.9015151515151514</v>
      </c>
      <c r="AE46" s="20">
        <f>Table133[[#This Row],[PM VOL]]/1000000/Table133[[#This Row],[FLOAT(M)]]</f>
        <v>0.69951759868421048</v>
      </c>
      <c r="AF46" s="23">
        <f>(Table133[[#This Row],[Volume]]/1000000)/Table133[[#This Row],[FLOAT(M)]]</f>
        <v>60.855263157894733</v>
      </c>
      <c r="AG46" s="18">
        <f>(Table133[[#This Row],[Hi of Spike after open before drop]]-Table133[[#This Row],[MKT Open Price]])/Table133[[#This Row],[MKT Open Price]]</f>
        <v>1.4440433212996403E-2</v>
      </c>
      <c r="AH46" s="18">
        <f>(Table133[[#This Row],[PM Hi]]-Table133[[#This Row],[MKT Open Price]])/(Table133[[#This Row],[PM Hi]])</f>
        <v>0.14769230769230768</v>
      </c>
      <c r="AI46" s="16">
        <f>IF(Table133[[#This Row],[PM LO]]&gt;Table133[[#This Row],[Prior day close]],(Table133[[#This Row],[PM Hi]]-Table133[[#This Row],[MKT Open Price]])/(Table133[[#This Row],[PM Hi]]-Table133[[#This Row],[Prior day close]]),(Table133[[#This Row],[PM Hi]]-Table133[[#This Row],[MKT Open Price]])/(Table133[[#This Row],[PM Hi]]-Table133[[#This Row],[PM LO]]))</f>
        <v>0.47058823529411764</v>
      </c>
      <c r="AJ46" s="16">
        <f>IF(Table133[[#This Row],[Prior day close]]&lt;Table133[[#This Row],[PM LO]],(I46-K46)/(I46-Table133[[#This Row],[Prior day close]]),(I46-K46)/(I46-Table133[[#This Row],[PM LO]]))</f>
        <v>0.24074074074074053</v>
      </c>
      <c r="AK46" s="16">
        <f>Table133[[#This Row],[Spike % on open before drop]]+AL46</f>
        <v>6.1371841155234627E-2</v>
      </c>
      <c r="AL46" s="16">
        <f>(I46-K46)/I46</f>
        <v>4.6931407942238226E-2</v>
      </c>
      <c r="AM46" s="18">
        <f>IF($J46&gt;=$F46,($J46-$K46)/($J46),(IF($H46&lt;=$K46,($F46-$H46)/($F46),(Table133[[#This Row],[PM Hi]]-Table133[[#This Row],[Lowest lo from open to squeeze]])/(Table133[[#This Row],[PM Hi]]))))</f>
        <v>0.18769230769230766</v>
      </c>
      <c r="AN46" s="18">
        <f>IF(Table133[[#This Row],[Prior day close]]&lt;=Table133[[#This Row],[PM LO]],IF($J46&gt;=$F46,($J46-$K46)/($J46-Table133[[#This Row],[Prior day close]]),(IF($H46&lt;=$K46,($F46-$H46)/($F46-Table133[[#This Row],[Prior day close]]),(Table133[[#This Row],[PM Hi]]-Table133[[#This Row],[Lowest lo from open to squeeze]])/(Table133[[#This Row],[PM Hi]]-Table133[[#This Row],[Prior day close]])))),IF($J46&gt;=$F46,($J46-$K46)/($J46-Table133[[#This Row],[PM LO]]),(IF($H46&lt;=$K46,($F46-$H46)/($F46-Table133[[#This Row],[PM LO]]),(Table133[[#This Row],[PM Hi]]-Table133[[#This Row],[Lowest lo from open to squeeze]])/(Table133[[#This Row],[PM Hi]]-Table133[[#This Row],[PM LO]])))))</f>
        <v>0.59803921568627438</v>
      </c>
      <c r="AO46" s="18">
        <f>IF(J46&gt;=F46,(J46-K46)/(J46-D46),(IF(H46&lt;=K46,(F46-H46)/(F46-D46),(Table133[[#This Row],[PM Hi]]-Table133[[#This Row],[Lowest lo from open to squeeze]])/(Table133[[#This Row],[PM Hi]]-Table133[[#This Row],[Prior day close]]))))</f>
        <v>0.63541666666666652</v>
      </c>
      <c r="AP46" s="17">
        <f>390+Table133[[#This Row],[Time until ideal entry point (mins) from open]]</f>
        <v>393</v>
      </c>
      <c r="AQ46" s="51">
        <f>(Table133[[#This Row],[Time until ideal entry + 390 (6:30)]]+Table133[[#This Row],[Duration of frontside (mins)]])/1440</f>
        <v>0.4826388888888889</v>
      </c>
    </row>
    <row r="47" spans="1:43" x14ac:dyDescent="0.25">
      <c r="A47" s="10" t="s">
        <v>74</v>
      </c>
      <c r="B47" s="11">
        <v>43952</v>
      </c>
      <c r="C47" s="47" t="s">
        <v>78</v>
      </c>
      <c r="D47" s="12">
        <v>2.33</v>
      </c>
      <c r="E47" s="13">
        <v>2.5099999999999998</v>
      </c>
      <c r="F47" s="12">
        <v>4.5</v>
      </c>
      <c r="G47" s="12">
        <v>2.4</v>
      </c>
      <c r="H47" s="12">
        <v>3.34</v>
      </c>
      <c r="I47" s="12">
        <v>4.18</v>
      </c>
      <c r="J47" s="12">
        <v>4.32</v>
      </c>
      <c r="K47" s="12">
        <v>3.81</v>
      </c>
      <c r="L47" s="12">
        <v>5.15</v>
      </c>
      <c r="M47" s="12">
        <v>5.15</v>
      </c>
      <c r="N47" s="13">
        <v>63890721</v>
      </c>
      <c r="O47" s="12">
        <v>225002039</v>
      </c>
      <c r="P47" s="13">
        <v>9.6</v>
      </c>
      <c r="Q47" s="13">
        <v>2.33</v>
      </c>
      <c r="R47" s="13">
        <v>5021483</v>
      </c>
      <c r="S47" s="13" t="s">
        <v>44</v>
      </c>
      <c r="T47" t="s">
        <v>44</v>
      </c>
      <c r="U47">
        <v>2</v>
      </c>
      <c r="V47">
        <v>3</v>
      </c>
      <c r="W47">
        <v>3.98</v>
      </c>
      <c r="X47">
        <v>30</v>
      </c>
      <c r="Y47" s="15">
        <f>Table133[[#This Row],[Time until ideal entry + 390 (6:30)]]/(1440)</f>
        <v>0.27291666666666664</v>
      </c>
      <c r="Z47" s="18">
        <f>(F47-D47)/D47</f>
        <v>0.93133047210300424</v>
      </c>
      <c r="AA47" s="18">
        <f>IF(Table133[[#This Row],[HOD AFTER PM HI]]&gt;=Table133[[#This Row],[PM Hi]],((Table133[[#This Row],[HOD AFTER PM HI]]-Table133[[#This Row],[Prior day close]])/Table133[[#This Row],[Prior day close]]),Table133[[#This Row],[Prior Close to PM Hi %]])</f>
        <v>1.2103004291845494</v>
      </c>
      <c r="AB47" s="18">
        <f>(Table133[[#This Row],[Price at hi of squeeze]]-Table133[[#This Row],[MKT Open Price]])/Table133[[#This Row],[MKT Open Price]]</f>
        <v>0.23205741626794274</v>
      </c>
      <c r="AC47" s="18">
        <f>(Table133[[#This Row],[Price at hi of squeeze]]-Table133[[#This Row],[PM Hi]])/Table133[[#This Row],[PM Hi]]</f>
        <v>0.14444444444444451</v>
      </c>
      <c r="AD47" s="18">
        <f>(M47-K47)/K47</f>
        <v>0.3517060367454069</v>
      </c>
      <c r="AE47" s="20">
        <f>Table133[[#This Row],[PM VOL]]/1000000/Table133[[#This Row],[FLOAT(M)]]</f>
        <v>2.1551429184549353</v>
      </c>
      <c r="AF47" s="21">
        <f>(Table133[[#This Row],[Volume]]/1000000)/Table133[[#This Row],[FLOAT(M)]]</f>
        <v>27.420910300429185</v>
      </c>
      <c r="AG47" s="18">
        <f>(Table133[[#This Row],[Hi of Spike after open before drop]]-Table133[[#This Row],[MKT Open Price]])/Table133[[#This Row],[MKT Open Price]]</f>
        <v>3.3492822966507317E-2</v>
      </c>
      <c r="AH47" s="18">
        <f>(Table133[[#This Row],[PM Hi]]-Table133[[#This Row],[MKT Open Price]])/(Table133[[#This Row],[PM Hi]])</f>
        <v>7.111111111111118E-2</v>
      </c>
      <c r="AI47" s="16">
        <f>IF(Table133[[#This Row],[PM LO]]&gt;Table133[[#This Row],[Prior day close]],(Table133[[#This Row],[PM Hi]]-Table133[[#This Row],[MKT Open Price]])/(Table133[[#This Row],[PM Hi]]-Table133[[#This Row],[Prior day close]]),(Table133[[#This Row],[PM Hi]]-Table133[[#This Row],[MKT Open Price]])/(Table133[[#This Row],[PM Hi]]-Table133[[#This Row],[PM LO]]))</f>
        <v>0.14746543778801857</v>
      </c>
      <c r="AJ47" s="16">
        <f>IF(Table133[[#This Row],[Prior day close]]&lt;Table133[[#This Row],[PM LO]],(I47-K47)/(I47-Table133[[#This Row],[Prior day close]]),(I47-K47)/(I47-Table133[[#This Row],[PM LO]]))</f>
        <v>0.19999999999999984</v>
      </c>
      <c r="AK47" s="16">
        <f>Table133[[#This Row],[Spike % on open before drop]]+AL47</f>
        <v>0.12200956937799048</v>
      </c>
      <c r="AL47" s="16">
        <f>(I47-K47)/I47</f>
        <v>8.8516746411483174E-2</v>
      </c>
      <c r="AM47" s="18">
        <f>IF($J47&gt;=$F47,($J47-$K47)/($J47-$D47),(IF($H47&lt;=$K47,($F47-$H47)/($F47-$D47),(Table133[[#This Row],[PM Hi]]-Table133[[#This Row],[Lowest lo from open to squeeze]])/(Table133[[#This Row],[PM Hi]]-Table133[[#This Row],[Prior day close]]))))</f>
        <v>0.53456221198156695</v>
      </c>
      <c r="AN47" s="18">
        <f>IF(Table133[[#This Row],[Prior day close]]&lt;=Table133[[#This Row],[PM LO]],IF($J47&gt;=$F47,($J47-$K47)/($J47-Table133[[#This Row],[Prior day close]]),(IF($H47&lt;=$K47,($F47-$H47)/($F47-Table133[[#This Row],[Prior day close]]),(Table133[[#This Row],[PM Hi]]-Table133[[#This Row],[Lowest lo from open to squeeze]])/(Table133[[#This Row],[PM Hi]]-Table133[[#This Row],[Prior day close]])))),IF($J47&gt;=$F47,($J47-$K47)/($J47-Table133[[#This Row],[PM LO]]),(IF($H47&lt;=$K47,($F47-$H47)/($F47-Table133[[#This Row],[PM LO]]),(Table133[[#This Row],[PM Hi]]-Table133[[#This Row],[Lowest lo from open to squeeze]])/(Table133[[#This Row],[PM Hi]]-Table133[[#This Row],[PM LO]])))))</f>
        <v>0.53456221198156695</v>
      </c>
      <c r="AO47" s="18">
        <f>0.87/2.17</f>
        <v>0.4009216589861751</v>
      </c>
      <c r="AP47" s="17">
        <f>390+Table133[[#This Row],[Time until ideal entry point (mins) from open]]</f>
        <v>393</v>
      </c>
      <c r="AQ47" s="51">
        <f>(Table133[[#This Row],[Time until ideal entry + 390 (6:30)]]+Table133[[#This Row],[Duration of frontside (mins)]])/1440</f>
        <v>0.29375000000000001</v>
      </c>
    </row>
    <row r="48" spans="1:43" x14ac:dyDescent="0.25">
      <c r="A48" s="24" t="s">
        <v>231</v>
      </c>
      <c r="B48" s="47">
        <v>43962</v>
      </c>
      <c r="C48" s="47" t="s">
        <v>78</v>
      </c>
      <c r="D48" s="12">
        <v>2.37</v>
      </c>
      <c r="E48" s="13">
        <f>Table133[[#This Row],[Prior day close]]</f>
        <v>2.37</v>
      </c>
      <c r="F48" s="12">
        <v>5.81</v>
      </c>
      <c r="G48" s="12">
        <v>2.46</v>
      </c>
      <c r="H48" s="12">
        <v>4.6100000000000003</v>
      </c>
      <c r="I48" s="12">
        <v>5.26</v>
      </c>
      <c r="J48" s="12">
        <v>5.27</v>
      </c>
      <c r="K48" s="12">
        <v>4.6500000000000004</v>
      </c>
      <c r="L48" s="12">
        <v>5.24</v>
      </c>
      <c r="M48" s="12">
        <v>5.24</v>
      </c>
      <c r="N48" s="13">
        <v>50320399</v>
      </c>
      <c r="O48" s="12">
        <v>50320399</v>
      </c>
      <c r="P48" s="37">
        <v>8.1</v>
      </c>
      <c r="Q48" s="46"/>
      <c r="R48" s="37">
        <v>4509602</v>
      </c>
      <c r="S48" s="37" t="s">
        <v>42</v>
      </c>
      <c r="T48" s="37" t="s">
        <v>44</v>
      </c>
      <c r="U48" s="38">
        <v>3</v>
      </c>
      <c r="V48" s="46">
        <v>3</v>
      </c>
      <c r="W48" s="37">
        <v>4.72</v>
      </c>
      <c r="X48" s="46">
        <v>3</v>
      </c>
      <c r="Y48" s="41">
        <f>Table133[[#This Row],[Time until ideal entry + 390 (6:30)]]/(1440)</f>
        <v>0.27291666666666664</v>
      </c>
      <c r="Z48" s="18">
        <f>(F48-D48)/D48</f>
        <v>1.451476793248945</v>
      </c>
      <c r="AA48" s="18">
        <f>IF(Table133[[#This Row],[HOD AFTER PM HI]]&gt;=Table133[[#This Row],[PM Hi]],((Table133[[#This Row],[HOD AFTER PM HI]]-Table133[[#This Row],[Prior day close]])/Table133[[#This Row],[Prior day close]]),Table133[[#This Row],[Prior Close to PM Hi %]])</f>
        <v>1.451476793248945</v>
      </c>
      <c r="AB48" s="42">
        <f>(Table133[[#This Row],[Price at hi of squeeze]]-Table133[[#This Row],[MKT Open Price]])/Table133[[#This Row],[MKT Open Price]]</f>
        <v>-3.8022813688212121E-3</v>
      </c>
      <c r="AC48" s="18">
        <f>(Table133[[#This Row],[Price at hi of squeeze]]-Table133[[#This Row],[PM Hi]])/Table133[[#This Row],[PM Hi]]</f>
        <v>-9.8106712564543799E-2</v>
      </c>
      <c r="AD48" s="18"/>
      <c r="AE48" s="20" t="e">
        <f>Table133[[#This Row],[PM VOL]]/1000000/Table133[[#This Row],[FLOAT(M)]]</f>
        <v>#DIV/0!</v>
      </c>
      <c r="AF48" s="23" t="e">
        <f>(Table133[[#This Row],[Volume]]/1000000)/Table133[[#This Row],[FLOAT(M)]]</f>
        <v>#DIV/0!</v>
      </c>
      <c r="AH48" s="18">
        <f>(Table133[[#This Row],[PM Hi]]-Table133[[#This Row],[MKT Open Price]])/(Table133[[#This Row],[PM Hi]])</f>
        <v>9.4664371772805483E-2</v>
      </c>
      <c r="AI48" s="18">
        <f>IF(Table133[[#This Row],[PM LO]]&gt;Table133[[#This Row],[Prior day close]],(Table133[[#This Row],[PM Hi]]-Table133[[#This Row],[MKT Open Price]])/(Table133[[#This Row],[PM Hi]]-Table133[[#This Row],[Prior day close]]),(Table133[[#This Row],[PM Hi]]-Table133[[#This Row],[MKT Open Price]])/(Table133[[#This Row],[PM Hi]]-Table133[[#This Row],[PM LO]]))</f>
        <v>0.15988372093023254</v>
      </c>
      <c r="AJ48" s="48">
        <f>IF(Table133[[#This Row],[Prior day close]]&lt;Table133[[#This Row],[PM LO]],(I48-K48)/(I48-Table133[[#This Row],[Prior day close]]),(I48-K48)/(I48-Table133[[#This Row],[PM LO]]))</f>
        <v>0.21107266435986141</v>
      </c>
      <c r="AK48" s="48">
        <f>Table133[[#This Row],[Spike % on open before drop]]+AL48</f>
        <v>0.11596958174904932</v>
      </c>
      <c r="AL48" s="16">
        <f>(I48-K48)/I48</f>
        <v>0.11596958174904932</v>
      </c>
      <c r="AM48" s="18">
        <f>IF($J48&gt;=$F48,($J48-$K48)/($J48),(IF($H48&lt;=$K48,($F48-$H48)/($F48),(Table133[[#This Row],[PM Hi]]-Table133[[#This Row],[Lowest lo from open to squeeze]])/(Table133[[#This Row],[PM Hi]]))))</f>
        <v>0.20654044750430281</v>
      </c>
      <c r="AN48" s="48">
        <f>IF(Table133[[#This Row],[Prior day close]]&lt;=Table133[[#This Row],[PM LO]],IF($J48&gt;=$F48,($J48-$K48)/($J48-Table133[[#This Row],[Prior day close]]),(IF($H48&lt;=$K48,($F48-$H48)/($F48-Table133[[#This Row],[Prior day close]]),(Table133[[#This Row],[PM Hi]]-Table133[[#This Row],[Lowest lo from open to squeeze]])/(Table133[[#This Row],[PM Hi]]-Table133[[#This Row],[Prior day close]])))),IF($J48&gt;=$F48,($J48-$K48)/($J48-Table133[[#This Row],[PM LO]]),(IF($H48&lt;=$K48,($F48-$H48)/($F48-Table133[[#This Row],[PM LO]]),(Table133[[#This Row],[PM Hi]]-Table133[[#This Row],[Lowest lo from open to squeeze]])/(Table133[[#This Row],[PM Hi]]-Table133[[#This Row],[PM LO]])))))</f>
        <v>0.34883720930232542</v>
      </c>
      <c r="AO48" s="18">
        <f>IF(J48&gt;=F48,(J48-K48)/(J48-D48),(IF(H48&lt;=K48,(F48-H48)/(F48-D48),(Table133[[#This Row],[PM Hi]]-Table133[[#This Row],[Lowest lo from open to squeeze]])/(Table133[[#This Row],[PM Hi]]-Table133[[#This Row],[Prior day close]]))))</f>
        <v>0.34883720930232542</v>
      </c>
      <c r="AP48" s="17">
        <f>390+Table133[[#This Row],[Time until ideal entry point (mins) from open]]</f>
        <v>393</v>
      </c>
      <c r="AQ48" s="17">
        <f>Table133[[#This Row],[Time until ideal entry + 390 (6:30)]]+Table133[[#This Row],[Duration of frontside (mins)]]</f>
        <v>396</v>
      </c>
    </row>
    <row r="49" spans="1:43" x14ac:dyDescent="0.25">
      <c r="A49" s="24" t="s">
        <v>166</v>
      </c>
      <c r="B49" s="11">
        <v>44153</v>
      </c>
      <c r="C49" s="47" t="s">
        <v>78</v>
      </c>
      <c r="D49" s="12">
        <v>2.37</v>
      </c>
      <c r="E49" s="13">
        <v>2.38</v>
      </c>
      <c r="F49" s="12">
        <v>3.45</v>
      </c>
      <c r="G49" s="12">
        <v>2.38</v>
      </c>
      <c r="H49" s="12">
        <v>3.33</v>
      </c>
      <c r="I49" s="12">
        <v>3.45</v>
      </c>
      <c r="J49" s="12">
        <v>3.48</v>
      </c>
      <c r="K49" s="12">
        <v>3.21</v>
      </c>
      <c r="L49" s="12">
        <v>4.99</v>
      </c>
      <c r="M49" s="12">
        <v>4.99</v>
      </c>
      <c r="N49" s="13">
        <v>156520328</v>
      </c>
      <c r="O49" s="12">
        <v>712167492</v>
      </c>
      <c r="P49" s="37">
        <v>417.86</v>
      </c>
      <c r="Q49">
        <v>154.43</v>
      </c>
      <c r="R49" s="37">
        <v>5425259</v>
      </c>
      <c r="S49" s="37" t="s">
        <v>42</v>
      </c>
      <c r="T49" s="37" t="s">
        <v>42</v>
      </c>
      <c r="U49" s="38">
        <v>3</v>
      </c>
      <c r="V49">
        <v>2</v>
      </c>
      <c r="W49" s="39">
        <v>3.28</v>
      </c>
      <c r="X49">
        <v>14</v>
      </c>
      <c r="Y49" s="40">
        <f>Table133[[#This Row],[Time until ideal entry + 390 (6:30)]]/(1440)</f>
        <v>0.2722222222222222</v>
      </c>
      <c r="Z49" s="18">
        <f>(F49-D49)/D49</f>
        <v>0.45569620253164556</v>
      </c>
      <c r="AA49" s="18">
        <f>IF(Table133[[#This Row],[HOD AFTER PM HI]]&gt;=Table133[[#This Row],[PM Hi]],((Table133[[#This Row],[HOD AFTER PM HI]]-Table133[[#This Row],[Prior day close]])/Table133[[#This Row],[Prior day close]]),Table133[[#This Row],[Prior Close to PM Hi %]])</f>
        <v>1.1054852320675106</v>
      </c>
      <c r="AB49" s="42">
        <f>(Table133[[#This Row],[Price at hi of squeeze]]-Table133[[#This Row],[MKT Open Price]])/Table133[[#This Row],[MKT Open Price]]</f>
        <v>0.44637681159420289</v>
      </c>
      <c r="AC49" s="18">
        <f>(Table133[[#This Row],[Price at hi of squeeze]]-Table133[[#This Row],[PM Hi]])/Table133[[#This Row],[PM Hi]]</f>
        <v>0.44637681159420289</v>
      </c>
      <c r="AD49" s="18">
        <f>(M49-K49)/K49</f>
        <v>0.55451713395638635</v>
      </c>
      <c r="AE49" s="20">
        <f>Table133[[#This Row],[PM VOL]]/1000000/Table133[[#This Row],[FLOAT(M)]]</f>
        <v>3.513086187916855E-2</v>
      </c>
      <c r="AF49" s="23">
        <f>(Table133[[#This Row],[Volume]]/1000000)/Table133[[#This Row],[FLOAT(M)]]</f>
        <v>1.0135357637764684</v>
      </c>
      <c r="AH49" s="18">
        <f>(Table133[[#This Row],[PM Hi]]-Table133[[#This Row],[MKT Open Price]])/(Table133[[#This Row],[PM Hi]])</f>
        <v>0</v>
      </c>
      <c r="AI49" s="16">
        <f>IF(Table133[[#This Row],[PM LO]]&gt;Table133[[#This Row],[Prior day close]],(Table133[[#This Row],[PM Hi]]-Table133[[#This Row],[MKT Open Price]])/(Table133[[#This Row],[PM Hi]]-Table133[[#This Row],[Prior day close]]),(Table133[[#This Row],[PM Hi]]-Table133[[#This Row],[MKT Open Price]])/(Table133[[#This Row],[PM Hi]]-Table133[[#This Row],[PM LO]]))</f>
        <v>0</v>
      </c>
      <c r="AJ49" s="18">
        <f>IF(Table133[[#This Row],[Prior day close]]&lt;Table133[[#This Row],[PM LO]],(I49-K49)/(I49-Table133[[#This Row],[Prior day close]]),(I49-K49)/(I49-Table133[[#This Row],[PM LO]]))</f>
        <v>0.2222222222222224</v>
      </c>
      <c r="AK49" s="18">
        <f>Table133[[#This Row],[Spike % on open before drop]]+AL49</f>
        <v>6.9565217391304404E-2</v>
      </c>
      <c r="AL49" s="16">
        <f>(I49-K49)/I49</f>
        <v>6.9565217391304404E-2</v>
      </c>
      <c r="AM49" s="18">
        <f>IF($J49&gt;=$F49,($J49-$K49)/($J49),(IF($H49&lt;=$K49,($F49-$H49)/($F49),(Table133[[#This Row],[PM Hi]]-Table133[[#This Row],[Lowest lo from open to squeeze]])/(Table133[[#This Row],[PM Hi]]))))</f>
        <v>7.7586206896551727E-2</v>
      </c>
      <c r="AN49" s="18">
        <f>IF(Table133[[#This Row],[Prior day close]]&lt;=Table133[[#This Row],[PM LO]],IF($J49&gt;=$F49,($J49-$K49)/($J49-Table133[[#This Row],[Prior day close]]),(IF($H49&lt;=$K49,($F49-$H49)/($F49-Table133[[#This Row],[Prior day close]]),(Table133[[#This Row],[PM Hi]]-Table133[[#This Row],[Lowest lo from open to squeeze]])/(Table133[[#This Row],[PM Hi]]-Table133[[#This Row],[Prior day close]])))),IF($J49&gt;=$F49,($J49-$K49)/($J49-Table133[[#This Row],[PM LO]]),(IF($H49&lt;=$K49,($F49-$H49)/($F49-Table133[[#This Row],[PM LO]]),(Table133[[#This Row],[PM Hi]]-Table133[[#This Row],[Lowest lo from open to squeeze]])/(Table133[[#This Row],[PM Hi]]-Table133[[#This Row],[PM LO]])))))</f>
        <v>0.24324324324324328</v>
      </c>
      <c r="AO49" s="18">
        <f>IF(J49&gt;=F49,(J49-K49)/(J49-D49),(IF(H49&lt;=K49,(F49-H49)/(F49-D49),(Table133[[#This Row],[PM Hi]]-Table133[[#This Row],[Lowest lo from open to squeeze]])/(Table133[[#This Row],[PM Hi]]-Table133[[#This Row],[Prior day close]]))))</f>
        <v>0.24324324324324328</v>
      </c>
      <c r="AP49" s="17">
        <f>390+Table133[[#This Row],[Time until ideal entry point (mins) from open]]</f>
        <v>392</v>
      </c>
      <c r="AQ49" s="51">
        <f>(Table133[[#This Row],[Time until ideal entry + 390 (6:30)]]+Table133[[#This Row],[Duration of frontside (mins)]])/1440</f>
        <v>0.28194444444444444</v>
      </c>
    </row>
    <row r="50" spans="1:43" x14ac:dyDescent="0.25">
      <c r="A50" s="10" t="s">
        <v>97</v>
      </c>
      <c r="B50" s="44">
        <v>44004</v>
      </c>
      <c r="C50" s="47" t="s">
        <v>78</v>
      </c>
      <c r="D50" s="12">
        <v>2.39</v>
      </c>
      <c r="E50" s="13">
        <v>2.4900000000000002</v>
      </c>
      <c r="F50" s="12">
        <v>2.96</v>
      </c>
      <c r="G50" s="12">
        <v>2.39</v>
      </c>
      <c r="H50" s="12">
        <v>2.66</v>
      </c>
      <c r="I50" s="12">
        <v>2.81</v>
      </c>
      <c r="J50" s="12">
        <v>2.87</v>
      </c>
      <c r="K50" s="12">
        <v>2.6</v>
      </c>
      <c r="L50" s="12">
        <v>3.98</v>
      </c>
      <c r="M50" s="12">
        <v>3.98</v>
      </c>
      <c r="N50" s="13">
        <v>341002784</v>
      </c>
      <c r="O50" s="12">
        <v>1120194145</v>
      </c>
      <c r="P50" s="13">
        <v>345.01</v>
      </c>
      <c r="Q50">
        <v>128.32</v>
      </c>
      <c r="R50" s="13">
        <v>9079049</v>
      </c>
      <c r="S50" s="13"/>
      <c r="T50" t="s">
        <v>42</v>
      </c>
      <c r="U50">
        <v>2</v>
      </c>
      <c r="V50">
        <v>3</v>
      </c>
      <c r="W50">
        <v>2.73</v>
      </c>
      <c r="X50">
        <v>34</v>
      </c>
      <c r="Y50" s="15">
        <f>Table133[[#This Row],[Time until ideal entry + 390 (6:30)]]/(1440)</f>
        <v>0.27291666666666664</v>
      </c>
      <c r="Z50" s="18">
        <f>(F50-D50)/D50</f>
        <v>0.23849372384937231</v>
      </c>
      <c r="AA50" s="18">
        <f>IF(Table133[[#This Row],[HOD AFTER PM HI]]&gt;=Table133[[#This Row],[PM Hi]],((Table133[[#This Row],[HOD AFTER PM HI]]-Table133[[#This Row],[Prior day close]])/Table133[[#This Row],[Prior day close]]),Table133[[#This Row],[Prior Close to PM Hi %]])</f>
        <v>0.66527196652719656</v>
      </c>
      <c r="AB50" s="18">
        <f>(Table133[[#This Row],[Price at hi of squeeze]]-Table133[[#This Row],[MKT Open Price]])/Table133[[#This Row],[MKT Open Price]]</f>
        <v>0.41637010676156583</v>
      </c>
      <c r="AC50" s="18">
        <f>(Table133[[#This Row],[Price at hi of squeeze]]-Table133[[#This Row],[PM Hi]])/Table133[[#This Row],[PM Hi]]</f>
        <v>0.34459459459459463</v>
      </c>
      <c r="AD50" s="18">
        <f>(M50-K50)/K50</f>
        <v>0.53076923076923066</v>
      </c>
      <c r="AE50" s="20">
        <f>Table133[[#This Row],[PM VOL]]/1000000/Table133[[#This Row],[FLOAT(M)]]</f>
        <v>7.0753187344139656E-2</v>
      </c>
      <c r="AF50" s="21">
        <f>(Table133[[#This Row],[Volume]]/1000000)/Table133[[#This Row],[FLOAT(M)]]</f>
        <v>2.6574406483790525</v>
      </c>
      <c r="AG50" s="18">
        <f>(Table133[[#This Row],[Hi of Spike after open before drop]]-Table133[[#This Row],[MKT Open Price]])/Table133[[#This Row],[MKT Open Price]]</f>
        <v>2.1352313167259804E-2</v>
      </c>
      <c r="AH50" s="18">
        <f>(Table133[[#This Row],[PM Hi]]-Table133[[#This Row],[MKT Open Price]])/(Table133[[#This Row],[PM Hi]])</f>
        <v>5.0675675675675644E-2</v>
      </c>
      <c r="AI50" s="16">
        <f>IF(Table133[[#This Row],[PM LO]]&gt;Table133[[#This Row],[Prior day close]],(Table133[[#This Row],[PM Hi]]-Table133[[#This Row],[MKT Open Price]])/(Table133[[#This Row],[PM Hi]]-Table133[[#This Row],[Prior day close]]),(Table133[[#This Row],[PM Hi]]-Table133[[#This Row],[MKT Open Price]])/(Table133[[#This Row],[PM Hi]]-Table133[[#This Row],[PM LO]]))</f>
        <v>0.26315789473684204</v>
      </c>
      <c r="AJ50" s="16">
        <f>IF(Table133[[#This Row],[Prior day close]]&lt;Table133[[#This Row],[PM LO]],(I50-K50)/(I50-Table133[[#This Row],[Prior day close]]),(I50-K50)/(I50-Table133[[#This Row],[PM LO]]))</f>
        <v>0.5</v>
      </c>
      <c r="AK50" s="16">
        <f>Table133[[#This Row],[Spike % on open before drop]]+AL50</f>
        <v>9.6085409252669035E-2</v>
      </c>
      <c r="AL50" s="16">
        <f>(I50-K50)/I50</f>
        <v>7.4733096085409234E-2</v>
      </c>
      <c r="AM50" s="18">
        <f>IF($J50&gt;=$F50,($J50-$K50)/($J50),(IF($H50&lt;=$K50,($F50-$H50)/($F50),(Table133[[#This Row],[PM Hi]]-Table133[[#This Row],[Lowest lo from open to squeeze]])/(Table133[[#This Row],[PM Hi]]))))</f>
        <v>0.12162162162162159</v>
      </c>
      <c r="AN50" s="18">
        <f>IF(Table133[[#This Row],[Prior day close]]&lt;=Table133[[#This Row],[PM LO]],IF($J50&gt;=$F50,($J50-$K50)/($J50-Table133[[#This Row],[Prior day close]]),(IF($H50&lt;=$K50,($F50-$H50)/($F50-Table133[[#This Row],[Prior day close]]),(Table133[[#This Row],[PM Hi]]-Table133[[#This Row],[Lowest lo from open to squeeze]])/(Table133[[#This Row],[PM Hi]]-Table133[[#This Row],[Prior day close]])))),IF($J50&gt;=$F50,($J50-$K50)/($J50-Table133[[#This Row],[PM LO]]),(IF($H50&lt;=$K50,($F50-$H50)/($F50-Table133[[#This Row],[PM LO]]),(Table133[[#This Row],[PM Hi]]-Table133[[#This Row],[Lowest lo from open to squeeze]])/(Table133[[#This Row],[PM Hi]]-Table133[[#This Row],[PM LO]])))))</f>
        <v>0.63157894736842102</v>
      </c>
      <c r="AO50" s="18">
        <f>IF(J50&gt;=F50,(J50-K50)/(J50-D50),(IF(H50&lt;=K50,(F50-H50)/(F50-D50),(Table133[[#This Row],[PM Hi]]-Table133[[#This Row],[Lowest lo from open to squeeze]])/(Table133[[#This Row],[PM Hi]]-Table133[[#This Row],[Prior day close]]))))</f>
        <v>0.63157894736842102</v>
      </c>
      <c r="AP50" s="17">
        <f>390+Table133[[#This Row],[Time until ideal entry point (mins) from open]]</f>
        <v>393</v>
      </c>
      <c r="AQ50" s="51">
        <f>(Table133[[#This Row],[Time until ideal entry + 390 (6:30)]]+Table133[[#This Row],[Duration of frontside (mins)]])/1440</f>
        <v>0.29652777777777778</v>
      </c>
    </row>
    <row r="51" spans="1:43" x14ac:dyDescent="0.25">
      <c r="A51" s="24" t="s">
        <v>46</v>
      </c>
      <c r="B51" s="47">
        <v>44210</v>
      </c>
      <c r="C51" s="47" t="s">
        <v>78</v>
      </c>
      <c r="D51" s="12">
        <v>2.41</v>
      </c>
      <c r="E51" s="13">
        <v>2.41</v>
      </c>
      <c r="F51" s="12">
        <v>3.3</v>
      </c>
      <c r="G51" s="12">
        <v>2.4</v>
      </c>
      <c r="H51" s="12">
        <v>2.88</v>
      </c>
      <c r="I51" s="12">
        <v>3.03</v>
      </c>
      <c r="J51" s="12">
        <v>3.03</v>
      </c>
      <c r="K51" s="12">
        <v>2.89</v>
      </c>
      <c r="L51" s="12">
        <v>3.3</v>
      </c>
      <c r="M51" s="12">
        <v>3.3</v>
      </c>
      <c r="N51" s="13">
        <v>22715134</v>
      </c>
      <c r="O51" s="12">
        <v>58377894</v>
      </c>
      <c r="P51" s="37">
        <v>35.24</v>
      </c>
      <c r="Q51" s="46">
        <v>20.190000000000001</v>
      </c>
      <c r="R51" s="37">
        <v>5248204</v>
      </c>
      <c r="S51" s="37" t="s">
        <v>42</v>
      </c>
      <c r="T51" s="37" t="s">
        <v>44</v>
      </c>
      <c r="U51" s="38">
        <v>1</v>
      </c>
      <c r="V51" s="46">
        <v>1</v>
      </c>
      <c r="W51" s="37">
        <v>2.92</v>
      </c>
      <c r="X51" s="46">
        <v>4</v>
      </c>
      <c r="Y51" s="41">
        <f>Table133[[#This Row],[Time until ideal entry + 390 (6:30)]]/(1440)</f>
        <v>0.27152777777777776</v>
      </c>
      <c r="Z51" s="18">
        <f>(F51-D51)/D51</f>
        <v>0.36929460580912848</v>
      </c>
      <c r="AA51" s="18">
        <f>IF(Table133[[#This Row],[HOD AFTER PM HI]]&gt;=Table133[[#This Row],[PM Hi]],((Table133[[#This Row],[HOD AFTER PM HI]]-Table133[[#This Row],[Prior day close]])/Table133[[#This Row],[Prior day close]]),Table133[[#This Row],[Prior Close to PM Hi %]])</f>
        <v>0.36929460580912848</v>
      </c>
      <c r="AB51" s="42">
        <f>(Table133[[#This Row],[Price at hi of squeeze]]-Table133[[#This Row],[MKT Open Price]])/Table133[[#This Row],[MKT Open Price]]</f>
        <v>8.9108910891089119E-2</v>
      </c>
      <c r="AC51" s="18">
        <f>(Table133[[#This Row],[Price at hi of squeeze]]-Table133[[#This Row],[PM Hi]])/Table133[[#This Row],[PM Hi]]</f>
        <v>0</v>
      </c>
      <c r="AD51" s="18"/>
      <c r="AE51" s="20">
        <f>Table133[[#This Row],[PM VOL]]/1000000/Table133[[#This Row],[FLOAT(M)]]</f>
        <v>0.25994076275383854</v>
      </c>
      <c r="AF51" s="23">
        <f>(Table133[[#This Row],[Volume]]/1000000)/Table133[[#This Row],[FLOAT(M)]]</f>
        <v>1.125068548786528</v>
      </c>
      <c r="AH51" s="18">
        <f>(Table133[[#This Row],[PM Hi]]-Table133[[#This Row],[MKT Open Price]])/(Table133[[#This Row],[PM Hi]])</f>
        <v>8.1818181818181832E-2</v>
      </c>
      <c r="AI51" s="18">
        <f>IF(Table133[[#This Row],[PM LO]]&gt;Table133[[#This Row],[Prior day close]],(Table133[[#This Row],[PM Hi]]-Table133[[#This Row],[MKT Open Price]])/(Table133[[#This Row],[PM Hi]]-Table133[[#This Row],[Prior day close]]),(Table133[[#This Row],[PM Hi]]-Table133[[#This Row],[MKT Open Price]])/(Table133[[#This Row],[PM Hi]]-Table133[[#This Row],[PM LO]]))</f>
        <v>0.30000000000000004</v>
      </c>
      <c r="AJ51" s="48">
        <f>IF(Table133[[#This Row],[Prior day close]]&lt;Table133[[#This Row],[PM LO]],(I51-K51)/(I51-Table133[[#This Row],[Prior day close]]),(I51-K51)/(I51-Table133[[#This Row],[PM LO]]))</f>
        <v>0.22222222222222177</v>
      </c>
      <c r="AK51" s="48">
        <f>Table133[[#This Row],[Spike % on open before drop]]+AL51</f>
        <v>4.6204620462046105E-2</v>
      </c>
      <c r="AL51" s="16">
        <f>(I51-K51)/I51</f>
        <v>4.6204620462046105E-2</v>
      </c>
      <c r="AM51" s="18">
        <f>IF($J51&gt;=$F51,($J51-$K51)/($J51),(IF($H51&lt;=$K51,($F51-$H51)/($F51),(Table133[[#This Row],[PM Hi]]-Table133[[#This Row],[Lowest lo from open to squeeze]])/(Table133[[#This Row],[PM Hi]]))))</f>
        <v>0.12727272727272726</v>
      </c>
      <c r="AN51" s="48">
        <f>IF(Table133[[#This Row],[Prior day close]]&lt;=Table133[[#This Row],[PM LO]],IF($J51&gt;=$F51,($J51-$K51)/($J51-Table133[[#This Row],[Prior day close]]),(IF($H51&lt;=$K51,($F51-$H51)/($F51-Table133[[#This Row],[Prior day close]]),(Table133[[#This Row],[PM Hi]]-Table133[[#This Row],[Lowest lo from open to squeeze]])/(Table133[[#This Row],[PM Hi]]-Table133[[#This Row],[Prior day close]])))),IF($J51&gt;=$F51,($J51-$K51)/($J51-Table133[[#This Row],[PM LO]]),(IF($H51&lt;=$K51,($F51-$H51)/($F51-Table133[[#This Row],[PM LO]]),(Table133[[#This Row],[PM Hi]]-Table133[[#This Row],[Lowest lo from open to squeeze]])/(Table133[[#This Row],[PM Hi]]-Table133[[#This Row],[PM LO]])))))</f>
        <v>0.46666666666666662</v>
      </c>
      <c r="AO51" s="18">
        <f>IF(J51&gt;=F51,(J51-K51)/(J51-D51),(IF(H51&lt;=K51,(F51-H51)/(F51-D51),(Table133[[#This Row],[PM Hi]]-Table133[[#This Row],[Lowest lo from open to squeeze]])/(Table133[[#This Row],[PM Hi]]-Table133[[#This Row],[Prior day close]]))))</f>
        <v>0.47191011235955066</v>
      </c>
      <c r="AP51" s="17">
        <f>390+Table133[[#This Row],[Time until ideal entry point (mins) from open]]</f>
        <v>391</v>
      </c>
      <c r="AQ51" s="17">
        <f>Table133[[#This Row],[Time until ideal entry + 390 (6:30)]]+Table133[[#This Row],[Duration of frontside (mins)]]</f>
        <v>395</v>
      </c>
    </row>
    <row r="52" spans="1:43" x14ac:dyDescent="0.25">
      <c r="A52" s="24" t="s">
        <v>143</v>
      </c>
      <c r="B52" s="45">
        <v>44168</v>
      </c>
      <c r="C52" s="47" t="s">
        <v>78</v>
      </c>
      <c r="D52" s="12">
        <v>2.42</v>
      </c>
      <c r="E52" s="13">
        <v>2.4</v>
      </c>
      <c r="F52" s="12">
        <v>5.2</v>
      </c>
      <c r="G52" s="12">
        <v>2.4</v>
      </c>
      <c r="H52" s="12">
        <v>4.12</v>
      </c>
      <c r="I52" s="12">
        <v>4.3899999999999997</v>
      </c>
      <c r="J52" s="12">
        <v>4.78</v>
      </c>
      <c r="K52" s="12">
        <v>3.83</v>
      </c>
      <c r="L52" s="12">
        <v>5.91</v>
      </c>
      <c r="M52" s="12">
        <v>5.13</v>
      </c>
      <c r="N52" s="13">
        <v>198937626</v>
      </c>
      <c r="O52" s="12">
        <v>924065272</v>
      </c>
      <c r="P52" s="37">
        <v>107.52</v>
      </c>
      <c r="Q52">
        <v>22.74</v>
      </c>
      <c r="R52" s="37">
        <v>23403663</v>
      </c>
      <c r="S52" s="37" t="s">
        <v>42</v>
      </c>
      <c r="T52" s="37" t="s">
        <v>44</v>
      </c>
      <c r="U52" s="38">
        <v>14</v>
      </c>
      <c r="V52">
        <v>14</v>
      </c>
      <c r="W52" s="39">
        <v>3.9</v>
      </c>
      <c r="X52"/>
      <c r="Y52" s="40">
        <f>Table133[[#This Row],[Time until ideal entry + 390 (6:30)]]/(1440)</f>
        <v>0.28055555555555556</v>
      </c>
      <c r="Z52" s="18">
        <f>(F52-D52)/D52</f>
        <v>1.1487603305785126</v>
      </c>
      <c r="AA52" s="18">
        <f>IF(Table133[[#This Row],[HOD AFTER PM HI]]&gt;=Table133[[#This Row],[PM Hi]],((Table133[[#This Row],[HOD AFTER PM HI]]-Table133[[#This Row],[Prior day close]])/Table133[[#This Row],[Prior day close]]),Table133[[#This Row],[Prior Close to PM Hi %]])</f>
        <v>1.4421487603305787</v>
      </c>
      <c r="AB52" s="42">
        <f>(Table133[[#This Row],[Price at hi of squeeze]]-Table133[[#This Row],[MKT Open Price]])/Table133[[#This Row],[MKT Open Price]]</f>
        <v>0.16856492027334857</v>
      </c>
      <c r="AC52" s="18">
        <f>(Table133[[#This Row],[Price at hi of squeeze]]-Table133[[#This Row],[PM Hi]])/Table133[[#This Row],[PM Hi]]</f>
        <v>-1.3461538461538516E-2</v>
      </c>
      <c r="AD52" s="18">
        <f>(M52-K52)/K52</f>
        <v>0.3394255874673629</v>
      </c>
      <c r="AE52" s="20">
        <f>Table133[[#This Row],[PM VOL]]/1000000/Table133[[#This Row],[FLOAT(M)]]</f>
        <v>1.0291848284960423</v>
      </c>
      <c r="AF52" s="23">
        <f>(Table133[[#This Row],[Volume]]/1000000)/Table133[[#This Row],[FLOAT(M)]]</f>
        <v>8.7483564643799472</v>
      </c>
      <c r="AH52" s="18">
        <f>(Table133[[#This Row],[PM Hi]]-Table133[[#This Row],[MKT Open Price]])/(Table133[[#This Row],[PM Hi]])</f>
        <v>0.15576923076923085</v>
      </c>
      <c r="AI52" s="16">
        <f>IF(Table133[[#This Row],[PM LO]]&gt;Table133[[#This Row],[Prior day close]],(Table133[[#This Row],[PM Hi]]-Table133[[#This Row],[MKT Open Price]])/(Table133[[#This Row],[PM Hi]]-Table133[[#This Row],[Prior day close]]),(Table133[[#This Row],[PM Hi]]-Table133[[#This Row],[MKT Open Price]])/(Table133[[#This Row],[PM Hi]]-Table133[[#This Row],[PM LO]]))</f>
        <v>0.28928571428571442</v>
      </c>
      <c r="AJ52" s="18">
        <f>IF(Table133[[#This Row],[Prior day close]]&lt;Table133[[#This Row],[PM LO]],(I52-K52)/(I52-Table133[[#This Row],[Prior day close]]),(I52-K52)/(I52-Table133[[#This Row],[PM LO]]))</f>
        <v>0.28140703517587923</v>
      </c>
      <c r="AK52" s="18">
        <f>Table133[[#This Row],[Spike % on open before drop]]+AL52</f>
        <v>0.12756264236902043</v>
      </c>
      <c r="AL52" s="16">
        <f>(I52-K52)/I52</f>
        <v>0.12756264236902043</v>
      </c>
      <c r="AM52" s="18">
        <f>IF($J52&gt;=$F52,($J52-$K52)/($J52),(IF($H52&lt;=$K52,($F52-$H52)/($F52),(Table133[[#This Row],[PM Hi]]-Table133[[#This Row],[Lowest lo from open to squeeze]])/(Table133[[#This Row],[PM Hi]]))))</f>
        <v>0.26346153846153847</v>
      </c>
      <c r="AN52" s="18">
        <f>IF(Table133[[#This Row],[Prior day close]]&lt;=Table133[[#This Row],[PM LO]],IF($J52&gt;=$F52,($J52-$K52)/($J52-Table133[[#This Row],[Prior day close]]),(IF($H52&lt;=$K52,($F52-$H52)/($F52-Table133[[#This Row],[Prior day close]]),(Table133[[#This Row],[PM Hi]]-Table133[[#This Row],[Lowest lo from open to squeeze]])/(Table133[[#This Row],[PM Hi]]-Table133[[#This Row],[Prior day close]])))),IF($J52&gt;=$F52,($J52-$K52)/($J52-Table133[[#This Row],[PM LO]]),(IF($H52&lt;=$K52,($F52-$H52)/($F52-Table133[[#This Row],[PM LO]]),(Table133[[#This Row],[PM Hi]]-Table133[[#This Row],[Lowest lo from open to squeeze]])/(Table133[[#This Row],[PM Hi]]-Table133[[#This Row],[PM LO]])))))</f>
        <v>0.48928571428571427</v>
      </c>
      <c r="AO52" s="18">
        <f>IF(J52&gt;=F52,(J52-K52)/(J52-D52),(IF(H52&lt;=K52,(F52-H52)/(F52-D52),(Table133[[#This Row],[PM Hi]]-Table133[[#This Row],[Lowest lo from open to squeeze]])/(Table133[[#This Row],[PM Hi]]-Table133[[#This Row],[Prior day close]]))))</f>
        <v>0.49280575539568344</v>
      </c>
      <c r="AP52" s="17">
        <f>390+Table133[[#This Row],[Time until ideal entry point (mins) from open]]</f>
        <v>404</v>
      </c>
      <c r="AQ52" s="51">
        <f>(Table133[[#This Row],[Time until ideal entry + 390 (6:30)]]+Table133[[#This Row],[Duration of frontside (mins)]])/1440</f>
        <v>0.28055555555555556</v>
      </c>
    </row>
    <row r="53" spans="1:43" x14ac:dyDescent="0.25">
      <c r="A53" s="24" t="s">
        <v>218</v>
      </c>
      <c r="B53" s="47">
        <v>43965</v>
      </c>
      <c r="C53" s="47" t="s">
        <v>78</v>
      </c>
      <c r="D53" s="12">
        <v>2.4300000000000002</v>
      </c>
      <c r="E53" s="13">
        <f>Table133[[#This Row],[Prior day close]]</f>
        <v>2.4300000000000002</v>
      </c>
      <c r="F53" s="12">
        <v>3.47</v>
      </c>
      <c r="G53" s="12">
        <v>2.58</v>
      </c>
      <c r="H53" s="12">
        <v>3.01</v>
      </c>
      <c r="I53" s="12">
        <v>3.25</v>
      </c>
      <c r="J53" s="12">
        <v>3.25</v>
      </c>
      <c r="K53" s="12">
        <v>3.05</v>
      </c>
      <c r="L53" s="12">
        <v>3.47</v>
      </c>
      <c r="M53" s="12">
        <v>3.47</v>
      </c>
      <c r="N53" s="13">
        <v>36754783</v>
      </c>
      <c r="O53" s="12">
        <v>106221322</v>
      </c>
      <c r="P53" s="37"/>
      <c r="Q53" s="46"/>
      <c r="R53" s="37">
        <v>4144865</v>
      </c>
      <c r="S53" s="37" t="s">
        <v>44</v>
      </c>
      <c r="T53" s="37" t="s">
        <v>44</v>
      </c>
      <c r="U53" s="38">
        <v>2</v>
      </c>
      <c r="V53" s="46">
        <v>2</v>
      </c>
      <c r="W53" s="37">
        <v>3.1</v>
      </c>
      <c r="X53" s="46">
        <v>9</v>
      </c>
      <c r="Y53" s="41">
        <f>Table133[[#This Row],[Time until ideal entry + 390 (6:30)]]/(1440)</f>
        <v>0.2722222222222222</v>
      </c>
      <c r="Z53" s="18">
        <f>(F53-D53)/D53</f>
        <v>0.4279835390946502</v>
      </c>
      <c r="AA53" s="18">
        <f>IF(Table133[[#This Row],[HOD AFTER PM HI]]&gt;=Table133[[#This Row],[PM Hi]],((Table133[[#This Row],[HOD AFTER PM HI]]-Table133[[#This Row],[Prior day close]])/Table133[[#This Row],[Prior day close]]),Table133[[#This Row],[Prior Close to PM Hi %]])</f>
        <v>0.4279835390946502</v>
      </c>
      <c r="AB53" s="42">
        <f>(Table133[[#This Row],[Price at hi of squeeze]]-Table133[[#This Row],[MKT Open Price]])/Table133[[#This Row],[MKT Open Price]]</f>
        <v>6.7692307692307746E-2</v>
      </c>
      <c r="AC53" s="18">
        <f>(Table133[[#This Row],[Price at hi of squeeze]]-Table133[[#This Row],[PM Hi]])/Table133[[#This Row],[PM Hi]]</f>
        <v>0</v>
      </c>
      <c r="AD53" s="18"/>
      <c r="AE53" s="20" t="e">
        <f>Table133[[#This Row],[PM VOL]]/1000000/Table133[[#This Row],[FLOAT(M)]]</f>
        <v>#DIV/0!</v>
      </c>
      <c r="AF53" s="23" t="e">
        <f>(Table133[[#This Row],[Volume]]/1000000)/Table133[[#This Row],[FLOAT(M)]]</f>
        <v>#DIV/0!</v>
      </c>
      <c r="AH53" s="18">
        <f>(Table133[[#This Row],[PM Hi]]-Table133[[#This Row],[MKT Open Price]])/(Table133[[#This Row],[PM Hi]])</f>
        <v>6.3400576368876138E-2</v>
      </c>
      <c r="AI53" s="18">
        <f>IF(Table133[[#This Row],[PM LO]]&gt;Table133[[#This Row],[Prior day close]],(Table133[[#This Row],[PM Hi]]-Table133[[#This Row],[MKT Open Price]])/(Table133[[#This Row],[PM Hi]]-Table133[[#This Row],[Prior day close]]),(Table133[[#This Row],[PM Hi]]-Table133[[#This Row],[MKT Open Price]])/(Table133[[#This Row],[PM Hi]]-Table133[[#This Row],[PM LO]]))</f>
        <v>0.21153846153846173</v>
      </c>
      <c r="AJ53" s="48">
        <f>IF(Table133[[#This Row],[Prior day close]]&lt;Table133[[#This Row],[PM LO]],(I53-K53)/(I53-Table133[[#This Row],[Prior day close]]),(I53-K53)/(I53-Table133[[#This Row],[PM LO]]))</f>
        <v>0.24390243902439052</v>
      </c>
      <c r="AK53" s="48">
        <f>Table133[[#This Row],[Spike % on open before drop]]+AL53</f>
        <v>6.153846153846159E-2</v>
      </c>
      <c r="AL53" s="16">
        <f>(I53-K53)/I53</f>
        <v>6.153846153846159E-2</v>
      </c>
      <c r="AM53" s="18">
        <f>IF($J53&gt;=$F53,($J53-$K53)/($J53),(IF($H53&lt;=$K53,($F53-$H53)/($F53),(Table133[[#This Row],[PM Hi]]-Table133[[#This Row],[Lowest lo from open to squeeze]])/(Table133[[#This Row],[PM Hi]]))))</f>
        <v>0.13256484149855918</v>
      </c>
      <c r="AN53" s="48">
        <f>IF(Table133[[#This Row],[Prior day close]]&lt;=Table133[[#This Row],[PM LO]],IF($J53&gt;=$F53,($J53-$K53)/($J53-Table133[[#This Row],[Prior day close]]),(IF($H53&lt;=$K53,($F53-$H53)/($F53-Table133[[#This Row],[Prior day close]]),(Table133[[#This Row],[PM Hi]]-Table133[[#This Row],[Lowest lo from open to squeeze]])/(Table133[[#This Row],[PM Hi]]-Table133[[#This Row],[Prior day close]])))),IF($J53&gt;=$F53,($J53-$K53)/($J53-Table133[[#This Row],[PM LO]]),(IF($H53&lt;=$K53,($F53-$H53)/($F53-Table133[[#This Row],[PM LO]]),(Table133[[#This Row],[PM Hi]]-Table133[[#This Row],[Lowest lo from open to squeeze]])/(Table133[[#This Row],[PM Hi]]-Table133[[#This Row],[PM LO]])))))</f>
        <v>0.44230769230769268</v>
      </c>
      <c r="AO53" s="18">
        <f>IF(J53&gt;=F53,(J53-K53)/(J53-D53),(IF(H53&lt;=K53,(F53-H53)/(F53-D53),(Table133[[#This Row],[PM Hi]]-Table133[[#This Row],[Lowest lo from open to squeeze]])/(Table133[[#This Row],[PM Hi]]-Table133[[#This Row],[Prior day close]]))))</f>
        <v>0.44230769230769268</v>
      </c>
      <c r="AP53" s="17">
        <f>390+Table133[[#This Row],[Time until ideal entry point (mins) from open]]</f>
        <v>392</v>
      </c>
      <c r="AQ53" s="17">
        <f>Table133[[#This Row],[Time until ideal entry + 390 (6:30)]]+Table133[[#This Row],[Duration of frontside (mins)]]</f>
        <v>401</v>
      </c>
    </row>
    <row r="54" spans="1:43" x14ac:dyDescent="0.25">
      <c r="A54" s="24" t="s">
        <v>143</v>
      </c>
      <c r="B54" s="11">
        <v>44116</v>
      </c>
      <c r="C54" s="47" t="s">
        <v>78</v>
      </c>
      <c r="D54" s="12">
        <v>2.48</v>
      </c>
      <c r="E54" s="13">
        <v>2.65</v>
      </c>
      <c r="F54" s="12">
        <v>4.88</v>
      </c>
      <c r="G54" s="12">
        <v>2.65</v>
      </c>
      <c r="H54" s="12">
        <v>3.82</v>
      </c>
      <c r="I54" s="12">
        <v>3.93</v>
      </c>
      <c r="J54" s="12">
        <v>3.96</v>
      </c>
      <c r="K54" s="12">
        <v>3.73</v>
      </c>
      <c r="L54" s="12">
        <v>4.75</v>
      </c>
      <c r="M54" s="12">
        <v>4.75</v>
      </c>
      <c r="N54" s="13">
        <v>111050287</v>
      </c>
      <c r="O54" s="12">
        <v>352029409</v>
      </c>
      <c r="P54" s="37">
        <v>104.99</v>
      </c>
      <c r="Q54">
        <v>22.61</v>
      </c>
      <c r="R54" s="37">
        <v>9684755</v>
      </c>
      <c r="S54" s="37" t="s">
        <v>42</v>
      </c>
      <c r="T54" s="37" t="s">
        <v>44</v>
      </c>
      <c r="U54" s="38">
        <v>2</v>
      </c>
      <c r="V54">
        <v>3</v>
      </c>
      <c r="W54" s="39">
        <v>3.82</v>
      </c>
      <c r="X54">
        <v>38</v>
      </c>
      <c r="Y54" s="40">
        <f>Table133[[#This Row],[Time until ideal entry + 390 (6:30)]]/(1440)</f>
        <v>0.27291666666666664</v>
      </c>
      <c r="Z54" s="18">
        <f>(F54-D54)/D54</f>
        <v>0.96774193548387089</v>
      </c>
      <c r="AA54" s="18">
        <f>IF(Table133[[#This Row],[HOD AFTER PM HI]]&gt;=Table133[[#This Row],[PM Hi]],((Table133[[#This Row],[HOD AFTER PM HI]]-Table133[[#This Row],[Prior day close]])/Table133[[#This Row],[Prior day close]]),Table133[[#This Row],[Prior Close to PM Hi %]])</f>
        <v>0.96774193548387089</v>
      </c>
      <c r="AB54" s="42">
        <f>(Table133[[#This Row],[Price at hi of squeeze]]-Table133[[#This Row],[MKT Open Price]])/Table133[[#This Row],[MKT Open Price]]</f>
        <v>0.2086513994910941</v>
      </c>
      <c r="AC54" s="18">
        <f>(Table133[[#This Row],[Price at hi of squeeze]]-Table133[[#This Row],[PM Hi]])/Table133[[#This Row],[PM Hi]]</f>
        <v>-2.663934426229506E-2</v>
      </c>
      <c r="AD54" s="18">
        <f>(M54-K54)/K54</f>
        <v>0.27345844504021449</v>
      </c>
      <c r="AE54" s="20">
        <f>Table133[[#This Row],[PM VOL]]/1000000/Table133[[#This Row],[FLOAT(M)]]</f>
        <v>0.42833945157010167</v>
      </c>
      <c r="AF54" s="23">
        <f>(Table133[[#This Row],[Volume]]/1000000)/Table133[[#This Row],[FLOAT(M)]]</f>
        <v>4.9115562582927907</v>
      </c>
      <c r="AH54" s="18">
        <f>(Table133[[#This Row],[PM Hi]]-Table133[[#This Row],[MKT Open Price]])/(Table133[[#This Row],[PM Hi]])</f>
        <v>0.19467213114754092</v>
      </c>
      <c r="AI54" s="16">
        <f>IF(Table133[[#This Row],[PM LO]]&gt;Table133[[#This Row],[Prior day close]],(Table133[[#This Row],[PM Hi]]-Table133[[#This Row],[MKT Open Price]])/(Table133[[#This Row],[PM Hi]]-Table133[[#This Row],[Prior day close]]),(Table133[[#This Row],[PM Hi]]-Table133[[#This Row],[MKT Open Price]])/(Table133[[#This Row],[PM Hi]]-Table133[[#This Row],[PM LO]]))</f>
        <v>0.39583333333333326</v>
      </c>
      <c r="AJ54" s="18">
        <f>IF(Table133[[#This Row],[Prior day close]]&lt;Table133[[#This Row],[PM LO]],(I54-K54)/(I54-Table133[[#This Row],[Prior day close]]),(I54-K54)/(I54-Table133[[#This Row],[PM LO]]))</f>
        <v>0.13793103448275873</v>
      </c>
      <c r="AK54" s="18">
        <f>Table133[[#This Row],[Spike % on open before drop]]+AL54</f>
        <v>5.0890585241730325E-2</v>
      </c>
      <c r="AL54" s="16">
        <f>(I54-K54)/I54</f>
        <v>5.0890585241730325E-2</v>
      </c>
      <c r="AM54" s="18">
        <f>IF($J54&gt;=$F54,($J54-$K54)/($J54),(IF($H54&lt;=$K54,($F54-$H54)/($F54),(Table133[[#This Row],[PM Hi]]-Table133[[#This Row],[Lowest lo from open to squeeze]])/(Table133[[#This Row],[PM Hi]]))))</f>
        <v>0.23565573770491802</v>
      </c>
      <c r="AN54" s="18">
        <f>IF(Table133[[#This Row],[Prior day close]]&lt;=Table133[[#This Row],[PM LO]],IF($J54&gt;=$F54,($J54-$K54)/($J54-Table133[[#This Row],[Prior day close]]),(IF($H54&lt;=$K54,($F54-$H54)/($F54-Table133[[#This Row],[Prior day close]]),(Table133[[#This Row],[PM Hi]]-Table133[[#This Row],[Lowest lo from open to squeeze]])/(Table133[[#This Row],[PM Hi]]-Table133[[#This Row],[Prior day close]])))),IF($J54&gt;=$F54,($J54-$K54)/($J54-Table133[[#This Row],[PM LO]]),(IF($H54&lt;=$K54,($F54-$H54)/($F54-Table133[[#This Row],[PM LO]]),(Table133[[#This Row],[PM Hi]]-Table133[[#This Row],[Lowest lo from open to squeeze]])/(Table133[[#This Row],[PM Hi]]-Table133[[#This Row],[PM LO]])))))</f>
        <v>0.47916666666666663</v>
      </c>
      <c r="AO54" s="18">
        <f>IF(J54&gt;=F54,(J54-K54)/(J54-D54),(IF(H54&lt;=K54,(F54-H54)/(F54-D54),(Table133[[#This Row],[PM Hi]]-Table133[[#This Row],[Lowest lo from open to squeeze]])/(Table133[[#This Row],[PM Hi]]-Table133[[#This Row],[Prior day close]]))))</f>
        <v>0.47916666666666663</v>
      </c>
      <c r="AP54" s="17">
        <f>390+Table133[[#This Row],[Time until ideal entry point (mins) from open]]</f>
        <v>393</v>
      </c>
      <c r="AQ54" s="51">
        <f>(Table133[[#This Row],[Time until ideal entry + 390 (6:30)]]+Table133[[#This Row],[Duration of frontside (mins)]])/1440</f>
        <v>0.29930555555555555</v>
      </c>
    </row>
    <row r="55" spans="1:43" x14ac:dyDescent="0.25">
      <c r="A55" s="24" t="s">
        <v>117</v>
      </c>
      <c r="B55" s="11">
        <v>44034</v>
      </c>
      <c r="C55" s="47" t="s">
        <v>78</v>
      </c>
      <c r="D55" s="12">
        <v>2.5</v>
      </c>
      <c r="E55" s="13">
        <v>2.38</v>
      </c>
      <c r="F55" s="12">
        <v>4.2</v>
      </c>
      <c r="G55" s="12"/>
      <c r="H55" s="12">
        <v>3.75</v>
      </c>
      <c r="I55" s="12">
        <v>3.8</v>
      </c>
      <c r="J55" s="12">
        <v>4.0999999999999996</v>
      </c>
      <c r="K55" s="12">
        <v>3.44</v>
      </c>
      <c r="L55" s="12">
        <v>4.8</v>
      </c>
      <c r="M55" s="12">
        <v>4.8</v>
      </c>
      <c r="N55" s="13">
        <v>82729817</v>
      </c>
      <c r="O55" s="12">
        <v>268871905</v>
      </c>
      <c r="P55" s="37">
        <v>16</v>
      </c>
      <c r="Q55"/>
      <c r="R55" s="37"/>
      <c r="S55" s="37"/>
      <c r="T55" s="37"/>
      <c r="U55" s="38"/>
      <c r="V55"/>
      <c r="W55" s="39"/>
      <c r="X55"/>
      <c r="Y55" s="40">
        <f>Table133[[#This Row],[Time until ideal entry + 390 (6:30)]]/(1440)</f>
        <v>0.27083333333333331</v>
      </c>
      <c r="Z55" s="18">
        <f>(F55-D55)/D55</f>
        <v>0.68</v>
      </c>
      <c r="AA55" s="18">
        <f>IF(Table133[[#This Row],[HOD AFTER PM HI]]&gt;=Table133[[#This Row],[PM Hi]],((Table133[[#This Row],[HOD AFTER PM HI]]-Table133[[#This Row],[Prior day close]])/Table133[[#This Row],[Prior day close]]),Table133[[#This Row],[Prior Close to PM Hi %]])</f>
        <v>0.91999999999999993</v>
      </c>
      <c r="AB55" s="18">
        <f>(Table133[[#This Row],[Price at hi of squeeze]]-Table133[[#This Row],[MKT Open Price]])/Table133[[#This Row],[MKT Open Price]]</f>
        <v>0.26315789473684209</v>
      </c>
      <c r="AC55" s="18">
        <f>(Table133[[#This Row],[Price at hi of squeeze]]-Table133[[#This Row],[PM Hi]])/Table133[[#This Row],[PM Hi]]</f>
        <v>0.14285714285714277</v>
      </c>
      <c r="AD55" s="18">
        <f>(M55-K55)/K55</f>
        <v>0.39534883720930231</v>
      </c>
      <c r="AE55" s="20" t="e">
        <f>Table133[[#This Row],[PM VOL]]/1000000/Table133[[#This Row],[FLOAT(M)]]</f>
        <v>#DIV/0!</v>
      </c>
      <c r="AF55" s="23" t="e">
        <f>(Table133[[#This Row],[Volume]]/1000000)/Table133[[#This Row],[FLOAT(M)]]</f>
        <v>#DIV/0!</v>
      </c>
      <c r="AH55" s="18">
        <f>(Table133[[#This Row],[PM Hi]]-Table133[[#This Row],[MKT Open Price]])/(Table133[[#This Row],[PM Hi]])</f>
        <v>9.5238095238095316E-2</v>
      </c>
      <c r="AI55" s="16">
        <f>IF(Table133[[#This Row],[PM LO]]&gt;Table133[[#This Row],[Prior day close]],(Table133[[#This Row],[PM Hi]]-Table133[[#This Row],[MKT Open Price]])/(Table133[[#This Row],[PM Hi]]-Table133[[#This Row],[Prior day close]]),(Table133[[#This Row],[PM Hi]]-Table133[[#This Row],[MKT Open Price]])/(Table133[[#This Row],[PM Hi]]-Table133[[#This Row],[PM LO]]))</f>
        <v>9.5238095238095316E-2</v>
      </c>
      <c r="AJ55" s="18">
        <f>IF(Table133[[#This Row],[Prior day close]]&lt;Table133[[#This Row],[PM LO]],(I55-K55)/(I55-Table133[[#This Row],[Prior day close]]),(I55-K55)/(I55-Table133[[#This Row],[PM LO]]))</f>
        <v>9.4736842105263133E-2</v>
      </c>
      <c r="AK55" s="18">
        <f>Table133[[#This Row],[Spike % on open before drop]]+AL55</f>
        <v>9.4736842105263133E-2</v>
      </c>
      <c r="AL55" s="16">
        <f>(I55-K55)/I55</f>
        <v>9.4736842105263133E-2</v>
      </c>
      <c r="AM55" s="16"/>
      <c r="AN55" s="18">
        <f>IF(Table133[[#This Row],[Prior day close]]&lt;=Table133[[#This Row],[PM LO]],IF($J55&gt;=$F55,($J55-$K55)/($J55-Table133[[#This Row],[Prior day close]]),(IF($H55&lt;=$K55,($F55-$H55)/($F55-Table133[[#This Row],[Prior day close]]),(Table133[[#This Row],[PM Hi]]-Table133[[#This Row],[Lowest lo from open to squeeze]])/(Table133[[#This Row],[PM Hi]]-Table133[[#This Row],[Prior day close]])))),IF($J55&gt;=$F55,($J55-$K55)/($J55-Table133[[#This Row],[PM LO]]),(IF($H55&lt;=$K55,($F55-$H55)/($F55-Table133[[#This Row],[PM LO]]),(Table133[[#This Row],[PM Hi]]-Table133[[#This Row],[Lowest lo from open to squeeze]])/(Table133[[#This Row],[PM Hi]]-Table133[[#This Row],[PM LO]])))))</f>
        <v>0.180952380952381</v>
      </c>
      <c r="AO55" s="18"/>
      <c r="AP55" s="17">
        <f>390+Table133[[#This Row],[Time until ideal entry point (mins) from open]]</f>
        <v>390</v>
      </c>
      <c r="AQ55" s="51">
        <f>(Table133[[#This Row],[Time until ideal entry + 390 (6:30)]]+Table133[[#This Row],[Duration of frontside (mins)]])/1440</f>
        <v>0.27083333333333331</v>
      </c>
    </row>
    <row r="56" spans="1:43" x14ac:dyDescent="0.25">
      <c r="A56" s="43" t="s">
        <v>76</v>
      </c>
      <c r="B56" s="11">
        <v>43966</v>
      </c>
      <c r="C56" s="47" t="s">
        <v>78</v>
      </c>
      <c r="D56" s="12">
        <v>2.68</v>
      </c>
      <c r="E56" s="13">
        <v>2.73</v>
      </c>
      <c r="F56" s="12">
        <v>4.7300000000000004</v>
      </c>
      <c r="G56" s="12">
        <v>2.66</v>
      </c>
      <c r="H56" s="12">
        <v>3.86</v>
      </c>
      <c r="I56" s="12">
        <v>4.41</v>
      </c>
      <c r="J56" s="12">
        <v>4.67</v>
      </c>
      <c r="K56" s="12">
        <v>3.83</v>
      </c>
      <c r="L56" s="12">
        <v>9</v>
      </c>
      <c r="M56" s="12">
        <v>9</v>
      </c>
      <c r="N56" s="13">
        <v>500925310</v>
      </c>
      <c r="O56" s="12">
        <v>3333657938</v>
      </c>
      <c r="P56" s="13">
        <v>549</v>
      </c>
      <c r="Q56" s="13">
        <v>119.3</v>
      </c>
      <c r="R56" s="13">
        <v>9200427</v>
      </c>
      <c r="S56" s="13" t="s">
        <v>44</v>
      </c>
      <c r="T56" t="s">
        <v>44</v>
      </c>
      <c r="U56" s="17">
        <v>19</v>
      </c>
      <c r="V56">
        <v>20</v>
      </c>
      <c r="W56">
        <v>3.89</v>
      </c>
      <c r="X56">
        <v>27</v>
      </c>
      <c r="Y56" s="15">
        <f>Table133[[#This Row],[Time until ideal entry + 390 (6:30)]]/(1440)</f>
        <v>0.28472222222222221</v>
      </c>
      <c r="Z56" s="18">
        <f>(F56-D56)/D56</f>
        <v>0.7649253731343284</v>
      </c>
      <c r="AA56" s="18">
        <f>IF(Table133[[#This Row],[HOD AFTER PM HI]]&gt;=Table133[[#This Row],[PM Hi]],((Table133[[#This Row],[HOD AFTER PM HI]]-Table133[[#This Row],[Prior day close]])/Table133[[#This Row],[Prior day close]]),Table133[[#This Row],[Prior Close to PM Hi %]])</f>
        <v>2.3582089552238807</v>
      </c>
      <c r="AB56" s="18">
        <f>(Table133[[#This Row],[Price at hi of squeeze]]-Table133[[#This Row],[MKT Open Price]])/Table133[[#This Row],[MKT Open Price]]</f>
        <v>1.0408163265306121</v>
      </c>
      <c r="AC56" s="18">
        <f>(Table133[[#This Row],[Price at hi of squeeze]]-Table133[[#This Row],[PM Hi]])/Table133[[#This Row],[PM Hi]]</f>
        <v>0.90274841437632114</v>
      </c>
      <c r="AD56" s="18">
        <f>(M56-K56)/K56</f>
        <v>1.3498694516971279</v>
      </c>
      <c r="AE56" s="20">
        <f>Table133[[#This Row],[PM VOL]]/1000000/Table133[[#This Row],[FLOAT(M)]]</f>
        <v>7.7120092204526397E-2</v>
      </c>
      <c r="AF56" s="23">
        <f>(Table133[[#This Row],[Volume]]/1000000)/Table133[[#This Row],[FLOAT(M)]]</f>
        <v>4.1988709974853311</v>
      </c>
      <c r="AG56" s="18">
        <f>(Table133[[#This Row],[Hi of Spike after open before drop]]-Table133[[#This Row],[MKT Open Price]])/Table133[[#This Row],[MKT Open Price]]</f>
        <v>5.8956916099773195E-2</v>
      </c>
      <c r="AH56" s="18">
        <f>(Table133[[#This Row],[PM Hi]]-Table133[[#This Row],[MKT Open Price]])/(Table133[[#This Row],[PM Hi]])</f>
        <v>6.7653276955602595E-2</v>
      </c>
      <c r="AI56" s="16">
        <f>IF(Table133[[#This Row],[PM LO]]&gt;Table133[[#This Row],[Prior day close]],(Table133[[#This Row],[PM Hi]]-Table133[[#This Row],[MKT Open Price]])/(Table133[[#This Row],[PM Hi]]-Table133[[#This Row],[Prior day close]]),(Table133[[#This Row],[PM Hi]]-Table133[[#This Row],[MKT Open Price]])/(Table133[[#This Row],[PM Hi]]-Table133[[#This Row],[PM LO]]))</f>
        <v>0.15458937198067643</v>
      </c>
      <c r="AJ56" s="16">
        <f>IF(Table133[[#This Row],[Prior day close]]&lt;Table133[[#This Row],[PM LO]],(I56-K56)/(I56-Table133[[#This Row],[Prior day close]]),(I56-K56)/(I56-Table133[[#This Row],[PM LO]]))</f>
        <v>0.33142857142857146</v>
      </c>
      <c r="AK56" s="16">
        <f>Table133[[#This Row],[Spike % on open before drop]]+AL56</f>
        <v>0.19047619047619044</v>
      </c>
      <c r="AL56" s="16">
        <f>(I56-K56)/I56</f>
        <v>0.13151927437641725</v>
      </c>
      <c r="AM56" s="18">
        <f>IF($J56&gt;=$F56,($J56-$K56)/($J56),(IF($H56&lt;=$K56,($F56-$H56)/($F56),(Table133[[#This Row],[PM Hi]]-Table133[[#This Row],[Lowest lo from open to squeeze]])/(Table133[[#This Row],[PM Hi]]))))</f>
        <v>0.19027484143763218</v>
      </c>
      <c r="AN56" s="18">
        <f>IF(Table133[[#This Row],[Prior day close]]&lt;=Table133[[#This Row],[PM LO]],IF($J56&gt;=$F56,($J56-$K56)/($J56-Table133[[#This Row],[Prior day close]]),(IF($H56&lt;=$K56,($F56-$H56)/($F56-Table133[[#This Row],[Prior day close]]),(Table133[[#This Row],[PM Hi]]-Table133[[#This Row],[Lowest lo from open to squeeze]])/(Table133[[#This Row],[PM Hi]]-Table133[[#This Row],[Prior day close]])))),IF($J56&gt;=$F56,($J56-$K56)/($J56-Table133[[#This Row],[PM LO]]),(IF($H56&lt;=$K56,($F56-$H56)/($F56-Table133[[#This Row],[PM LO]]),(Table133[[#This Row],[PM Hi]]-Table133[[#This Row],[Lowest lo from open to squeeze]])/(Table133[[#This Row],[PM Hi]]-Table133[[#This Row],[PM LO]])))))</f>
        <v>0.43478260869565227</v>
      </c>
      <c r="AO56" s="18">
        <f>IF(J56&gt;=F56,(J56-K56)/(J56-D56),(IF(H56&lt;=K56,(F56-H56)/(F56-D56),(Table133[[#This Row],[PM Hi]]-Table133[[#This Row],[Lowest lo from open to squeeze]])/(Table133[[#This Row],[PM Hi]]-Table133[[#This Row],[Prior day close]]))))</f>
        <v>0.43902439024390255</v>
      </c>
      <c r="AP56" s="17">
        <f>390+Table133[[#This Row],[Time until ideal entry point (mins) from open]]</f>
        <v>410</v>
      </c>
      <c r="AQ56" s="51">
        <f>(Table133[[#This Row],[Time until ideal entry + 390 (6:30)]]+Table133[[#This Row],[Duration of frontside (mins)]])/1440</f>
        <v>0.3034722222222222</v>
      </c>
    </row>
    <row r="57" spans="1:43" x14ac:dyDescent="0.25">
      <c r="A57" s="10" t="s">
        <v>84</v>
      </c>
      <c r="B57" s="11">
        <v>43984</v>
      </c>
      <c r="C57" s="47" t="s">
        <v>78</v>
      </c>
      <c r="D57" s="12">
        <v>2.74</v>
      </c>
      <c r="E57" s="13">
        <v>2.67</v>
      </c>
      <c r="F57" s="12">
        <v>3.13</v>
      </c>
      <c r="G57" s="12">
        <v>2.66</v>
      </c>
      <c r="H57" s="12">
        <v>3.04</v>
      </c>
      <c r="I57" s="12">
        <v>3.08</v>
      </c>
      <c r="J57" s="12">
        <v>3.09</v>
      </c>
      <c r="K57" s="12">
        <v>2.91</v>
      </c>
      <c r="L57" s="12">
        <v>4.05</v>
      </c>
      <c r="M57" s="12">
        <v>3.68</v>
      </c>
      <c r="N57" s="13">
        <v>158461167</v>
      </c>
      <c r="O57" s="12">
        <v>634636973</v>
      </c>
      <c r="P57" s="13">
        <v>132.02000000000001</v>
      </c>
      <c r="Q57">
        <v>48.47</v>
      </c>
      <c r="R57" s="13">
        <v>4085615</v>
      </c>
      <c r="S57" s="13" t="s">
        <v>44</v>
      </c>
      <c r="T57" t="s">
        <v>44</v>
      </c>
      <c r="U57">
        <v>1</v>
      </c>
      <c r="V57">
        <v>2</v>
      </c>
      <c r="W57">
        <v>3.01</v>
      </c>
      <c r="X57">
        <v>38</v>
      </c>
      <c r="Y57" s="15">
        <f>Table133[[#This Row],[Time until ideal entry + 390 (6:30)]]/(1440)</f>
        <v>0.2722222222222222</v>
      </c>
      <c r="Z57" s="18">
        <f>(F57-D57)/D57</f>
        <v>0.14233576642335755</v>
      </c>
      <c r="AA57" s="18">
        <f>IF(Table133[[#This Row],[HOD AFTER PM HI]]&gt;=Table133[[#This Row],[PM Hi]],((Table133[[#This Row],[HOD AFTER PM HI]]-Table133[[#This Row],[Prior day close]])/Table133[[#This Row],[Prior day close]]),Table133[[#This Row],[Prior Close to PM Hi %]])</f>
        <v>0.4781021897810217</v>
      </c>
      <c r="AB57" s="18">
        <f>(Table133[[#This Row],[Price at hi of squeeze]]-Table133[[#This Row],[MKT Open Price]])/Table133[[#This Row],[MKT Open Price]]</f>
        <v>0.19480519480519484</v>
      </c>
      <c r="AC57" s="18">
        <f>(Table133[[#This Row],[Price at hi of squeeze]]-Table133[[#This Row],[PM Hi]])/Table133[[#This Row],[PM Hi]]</f>
        <v>0.17571884984025568</v>
      </c>
      <c r="AD57" s="18">
        <f>(M57-K57)/K57</f>
        <v>0.26460481099656358</v>
      </c>
      <c r="AE57" s="20">
        <f>Table133[[#This Row],[PM VOL]]/1000000/Table133[[#This Row],[FLOAT(M)]]</f>
        <v>8.4291623684753458E-2</v>
      </c>
      <c r="AF57" s="21">
        <f>(Table133[[#This Row],[Volume]]/1000000)/Table133[[#This Row],[FLOAT(M)]]</f>
        <v>3.2692627811017121</v>
      </c>
      <c r="AG57" s="18">
        <f>(Table133[[#This Row],[Hi of Spike after open before drop]]-Table133[[#This Row],[MKT Open Price]])/Table133[[#This Row],[MKT Open Price]]</f>
        <v>3.2467532467531776E-3</v>
      </c>
      <c r="AH57" s="18">
        <f>(Table133[[#This Row],[PM Hi]]-Table133[[#This Row],[MKT Open Price]])/(Table133[[#This Row],[PM Hi]])</f>
        <v>1.5974440894568634E-2</v>
      </c>
      <c r="AI57" s="16">
        <f>IF(Table133[[#This Row],[PM LO]]&gt;Table133[[#This Row],[Prior day close]],(Table133[[#This Row],[PM Hi]]-Table133[[#This Row],[MKT Open Price]])/(Table133[[#This Row],[PM Hi]]-Table133[[#This Row],[Prior day close]]),(Table133[[#This Row],[PM Hi]]-Table133[[#This Row],[MKT Open Price]])/(Table133[[#This Row],[PM Hi]]-Table133[[#This Row],[PM LO]]))</f>
        <v>0.10638297872340394</v>
      </c>
      <c r="AJ57" s="16">
        <f>IF(Table133[[#This Row],[Prior day close]]&lt;Table133[[#This Row],[PM LO]],(I57-K57)/(I57-Table133[[#This Row],[Prior day close]]),(I57-K57)/(I57-Table133[[#This Row],[PM LO]]))</f>
        <v>0.40476190476190466</v>
      </c>
      <c r="AK57" s="16">
        <f>Table133[[#This Row],[Spike % on open before drop]]+AL57</f>
        <v>5.844155844155835E-2</v>
      </c>
      <c r="AL57" s="16">
        <f>(I57-K57)/I57</f>
        <v>5.5194805194805172E-2</v>
      </c>
      <c r="AM57" s="18">
        <f>IF($J57&gt;=$F57,($J57-$K57)/($J57),(IF($H57&lt;=$K57,($F57-$H57)/($F57),(Table133[[#This Row],[PM Hi]]-Table133[[#This Row],[Lowest lo from open to squeeze]])/(Table133[[#This Row],[PM Hi]]))))</f>
        <v>7.0287539936102164E-2</v>
      </c>
      <c r="AN57" s="18">
        <f>IF(Table133[[#This Row],[Prior day close]]&lt;=Table133[[#This Row],[PM LO]],IF($J57&gt;=$F57,($J57-$K57)/($J57-Table133[[#This Row],[Prior day close]]),(IF($H57&lt;=$K57,($F57-$H57)/($F57-Table133[[#This Row],[Prior day close]]),(Table133[[#This Row],[PM Hi]]-Table133[[#This Row],[Lowest lo from open to squeeze]])/(Table133[[#This Row],[PM Hi]]-Table133[[#This Row],[Prior day close]])))),IF($J57&gt;=$F57,($J57-$K57)/($J57-Table133[[#This Row],[PM LO]]),(IF($H57&lt;=$K57,($F57-$H57)/($F57-Table133[[#This Row],[PM LO]]),(Table133[[#This Row],[PM Hi]]-Table133[[#This Row],[Lowest lo from open to squeeze]])/(Table133[[#This Row],[PM Hi]]-Table133[[#This Row],[PM LO]])))))</f>
        <v>0.46808510638297846</v>
      </c>
      <c r="AO57" s="18">
        <f>IF(J57&gt;=F57,(J57-K57)/(J57-D57),(IF(H57&lt;=K57,(F57-H57)/(F57-D57),(Table133[[#This Row],[PM Hi]]-Table133[[#This Row],[Lowest lo from open to squeeze]])/(Table133[[#This Row],[PM Hi]]-Table133[[#This Row],[Prior day close]]))))</f>
        <v>0.56410256410256387</v>
      </c>
      <c r="AP57" s="17">
        <f>390+Table133[[#This Row],[Time until ideal entry point (mins) from open]]</f>
        <v>392</v>
      </c>
      <c r="AQ57" s="51">
        <f>(Table133[[#This Row],[Time until ideal entry + 390 (6:30)]]+Table133[[#This Row],[Duration of frontside (mins)]])/1440</f>
        <v>0.2986111111111111</v>
      </c>
    </row>
    <row r="58" spans="1:43" x14ac:dyDescent="0.25">
      <c r="A58" s="24" t="s">
        <v>151</v>
      </c>
      <c r="B58" s="11">
        <v>44124</v>
      </c>
      <c r="C58" s="47" t="s">
        <v>78</v>
      </c>
      <c r="D58" s="12">
        <v>3.13</v>
      </c>
      <c r="E58" s="13">
        <v>2.9</v>
      </c>
      <c r="F58" s="12">
        <v>4.54</v>
      </c>
      <c r="G58" s="12">
        <v>2.48</v>
      </c>
      <c r="H58" s="12">
        <v>4.32</v>
      </c>
      <c r="I58" s="12">
        <v>4.5</v>
      </c>
      <c r="J58" s="12">
        <v>4.88</v>
      </c>
      <c r="K58" s="12">
        <v>3.62</v>
      </c>
      <c r="L58" s="12">
        <v>5.43</v>
      </c>
      <c r="M58" s="12">
        <v>5.43</v>
      </c>
      <c r="N58" s="13">
        <v>133110285</v>
      </c>
      <c r="O58" s="12">
        <v>407983023</v>
      </c>
      <c r="P58" s="37">
        <v>27.04</v>
      </c>
      <c r="Q58">
        <v>5.67</v>
      </c>
      <c r="R58" s="37">
        <v>16477484</v>
      </c>
      <c r="S58" s="37" t="s">
        <v>82</v>
      </c>
      <c r="T58" s="37" t="s">
        <v>44</v>
      </c>
      <c r="U58" s="38">
        <v>13</v>
      </c>
      <c r="V58">
        <v>14</v>
      </c>
      <c r="W58" s="39">
        <v>3.71</v>
      </c>
      <c r="X58">
        <v>27</v>
      </c>
      <c r="Y58" s="40">
        <f>Table133[[#This Row],[Time until ideal entry + 390 (6:30)]]/(1440)</f>
        <v>0.28055555555555556</v>
      </c>
      <c r="Z58" s="18">
        <f>(F58-D58)/D58</f>
        <v>0.45047923322683714</v>
      </c>
      <c r="AA58" s="18">
        <f>IF(Table133[[#This Row],[HOD AFTER PM HI]]&gt;=Table133[[#This Row],[PM Hi]],((Table133[[#This Row],[HOD AFTER PM HI]]-Table133[[#This Row],[Prior day close]])/Table133[[#This Row],[Prior day close]]),Table133[[#This Row],[Prior Close to PM Hi %]])</f>
        <v>0.73482428115015974</v>
      </c>
      <c r="AB58" s="42">
        <f>(Table133[[#This Row],[Price at hi of squeeze]]-Table133[[#This Row],[MKT Open Price]])/Table133[[#This Row],[MKT Open Price]]</f>
        <v>0.20666666666666661</v>
      </c>
      <c r="AC58" s="18">
        <f>(Table133[[#This Row],[Price at hi of squeeze]]-Table133[[#This Row],[PM Hi]])/Table133[[#This Row],[PM Hi]]</f>
        <v>0.19603524229074884</v>
      </c>
      <c r="AD58" s="18">
        <f>(M58-K58)/K58</f>
        <v>0.49999999999999989</v>
      </c>
      <c r="AE58" s="20">
        <f>Table133[[#This Row],[PM VOL]]/1000000/Table133[[#This Row],[FLOAT(M)]]</f>
        <v>2.9060818342151675</v>
      </c>
      <c r="AF58" s="23">
        <f>(Table133[[#This Row],[Volume]]/1000000)/Table133[[#This Row],[FLOAT(M)]]</f>
        <v>23.476240740740742</v>
      </c>
      <c r="AH58" s="18">
        <f>(Table133[[#This Row],[PM Hi]]-Table133[[#This Row],[MKT Open Price]])/(Table133[[#This Row],[PM Hi]])</f>
        <v>8.8105726872246774E-3</v>
      </c>
      <c r="AI58" s="16">
        <f>IF(Table133[[#This Row],[PM LO]]&gt;Table133[[#This Row],[Prior day close]],(Table133[[#This Row],[PM Hi]]-Table133[[#This Row],[MKT Open Price]])/(Table133[[#This Row],[PM Hi]]-Table133[[#This Row],[Prior day close]]),(Table133[[#This Row],[PM Hi]]-Table133[[#This Row],[MKT Open Price]])/(Table133[[#This Row],[PM Hi]]-Table133[[#This Row],[PM LO]]))</f>
        <v>1.9417475728155355E-2</v>
      </c>
      <c r="AJ58" s="18">
        <f>IF(Table133[[#This Row],[Prior day close]]&lt;Table133[[#This Row],[PM LO]],(I58-K58)/(I58-Table133[[#This Row],[Prior day close]]),(I58-K58)/(I58-Table133[[#This Row],[PM LO]]))</f>
        <v>0.43564356435643559</v>
      </c>
      <c r="AK58" s="18">
        <f>Table133[[#This Row],[Spike % on open before drop]]+AL58</f>
        <v>0.19555555555555554</v>
      </c>
      <c r="AL58" s="16">
        <f>(I58-K58)/I58</f>
        <v>0.19555555555555554</v>
      </c>
      <c r="AM58" s="18">
        <f>IF($J58&gt;=$F58,($J58-$K58)/($J58),(IF($H58&lt;=$K58,($F58-$H58)/($F58),(Table133[[#This Row],[PM Hi]]-Table133[[#This Row],[Lowest lo from open to squeeze]])/(Table133[[#This Row],[PM Hi]]))))</f>
        <v>0.25819672131147536</v>
      </c>
      <c r="AN58" s="18">
        <f>IF(Table133[[#This Row],[Prior day close]]&lt;=Table133[[#This Row],[PM LO]],IF($J58&gt;=$F58,($J58-$K58)/($J58-Table133[[#This Row],[Prior day close]]),(IF($H58&lt;=$K58,($F58-$H58)/($F58-Table133[[#This Row],[Prior day close]]),(Table133[[#This Row],[PM Hi]]-Table133[[#This Row],[Lowest lo from open to squeeze]])/(Table133[[#This Row],[PM Hi]]-Table133[[#This Row],[Prior day close]])))),IF($J58&gt;=$F58,($J58-$K58)/($J58-Table133[[#This Row],[PM LO]]),(IF($H58&lt;=$K58,($F58-$H58)/($F58-Table133[[#This Row],[PM LO]]),(Table133[[#This Row],[PM Hi]]-Table133[[#This Row],[Lowest lo from open to squeeze]])/(Table133[[#This Row],[PM Hi]]-Table133[[#This Row],[PM LO]])))))</f>
        <v>0.52499999999999991</v>
      </c>
      <c r="AO58" s="18">
        <f>IF(J58&gt;=F58,(J58-K58)/(J58-D58),(IF(H58&lt;=K58,(F58-H58)/(F58-D58),(Table133[[#This Row],[PM Hi]]-Table133[[#This Row],[Lowest lo from open to squeeze]])/(Table133[[#This Row],[PM Hi]]-Table133[[#This Row],[Prior day close]]))))</f>
        <v>0.71999999999999986</v>
      </c>
      <c r="AP58" s="17">
        <f>390+Table133[[#This Row],[Time until ideal entry point (mins) from open]]</f>
        <v>404</v>
      </c>
      <c r="AQ58" s="51">
        <f>(Table133[[#This Row],[Time until ideal entry + 390 (6:30)]]+Table133[[#This Row],[Duration of frontside (mins)]])/1440</f>
        <v>0.29930555555555555</v>
      </c>
    </row>
    <row r="59" spans="1:43" x14ac:dyDescent="0.25">
      <c r="A59" s="10" t="s">
        <v>101</v>
      </c>
      <c r="B59" s="11">
        <v>44007</v>
      </c>
      <c r="C59" s="47" t="s">
        <v>78</v>
      </c>
      <c r="D59" s="12">
        <v>3.15</v>
      </c>
      <c r="E59" s="13">
        <v>3.06</v>
      </c>
      <c r="F59" s="12">
        <v>5.95</v>
      </c>
      <c r="G59" s="12">
        <v>3</v>
      </c>
      <c r="H59" s="12">
        <v>5.27</v>
      </c>
      <c r="I59" s="12">
        <v>5.55</v>
      </c>
      <c r="J59" s="12">
        <v>6.9</v>
      </c>
      <c r="K59" s="12">
        <v>5.0599999999999996</v>
      </c>
      <c r="L59" s="12">
        <v>8.76</v>
      </c>
      <c r="M59" s="12">
        <v>8.76</v>
      </c>
      <c r="N59" s="13">
        <v>119673198</v>
      </c>
      <c r="O59" s="12">
        <v>873284391</v>
      </c>
      <c r="P59" s="13">
        <v>23.56</v>
      </c>
      <c r="Q59">
        <v>4.59</v>
      </c>
      <c r="R59" s="13">
        <v>8440043</v>
      </c>
      <c r="S59" s="13"/>
      <c r="T59" t="s">
        <v>44</v>
      </c>
      <c r="U59">
        <v>63</v>
      </c>
      <c r="V59">
        <v>64</v>
      </c>
      <c r="W59">
        <v>5.14</v>
      </c>
      <c r="X59">
        <v>76</v>
      </c>
      <c r="Y59" s="15">
        <f>Table133[[#This Row],[Time until ideal entry + 390 (6:30)]]/(1440)</f>
        <v>0.31527777777777777</v>
      </c>
      <c r="Z59" s="18">
        <f>(F59-D59)/D59</f>
        <v>0.88888888888888895</v>
      </c>
      <c r="AA59" s="18">
        <f>IF(Table133[[#This Row],[HOD AFTER PM HI]]&gt;=Table133[[#This Row],[PM Hi]],((Table133[[#This Row],[HOD AFTER PM HI]]-Table133[[#This Row],[Prior day close]])/Table133[[#This Row],[Prior day close]]),Table133[[#This Row],[Prior Close to PM Hi %]])</f>
        <v>1.7809523809523808</v>
      </c>
      <c r="AB59" s="18">
        <f>(Table133[[#This Row],[Price at hi of squeeze]]-Table133[[#This Row],[MKT Open Price]])/Table133[[#This Row],[MKT Open Price]]</f>
        <v>0.57837837837837835</v>
      </c>
      <c r="AC59" s="18">
        <f>(Table133[[#This Row],[Price at hi of squeeze]]-Table133[[#This Row],[PM Hi]])/Table133[[#This Row],[PM Hi]]</f>
        <v>0.47226890756302514</v>
      </c>
      <c r="AD59" s="18">
        <f>(M59-K59)/K59</f>
        <v>0.73122529644268786</v>
      </c>
      <c r="AE59" s="20">
        <f>Table133[[#This Row],[PM VOL]]/1000000/Table133[[#This Row],[FLOAT(M)]]</f>
        <v>1.8387893246187363</v>
      </c>
      <c r="AF59" s="21">
        <f>(Table133[[#This Row],[Volume]]/1000000)/Table133[[#This Row],[FLOAT(M)]]</f>
        <v>26.072592156862747</v>
      </c>
      <c r="AG59" s="18">
        <f>(Table133[[#This Row],[Hi of Spike after open before drop]]-Table133[[#This Row],[MKT Open Price]])/Table133[[#This Row],[MKT Open Price]]</f>
        <v>0.24324324324324334</v>
      </c>
      <c r="AH59" s="18">
        <f>(Table133[[#This Row],[PM Hi]]-Table133[[#This Row],[MKT Open Price]])/(Table133[[#This Row],[PM Hi]])</f>
        <v>6.7226890756302574E-2</v>
      </c>
      <c r="AI59" s="16">
        <f>IF(Table133[[#This Row],[PM LO]]&gt;Table133[[#This Row],[Prior day close]],(Table133[[#This Row],[PM Hi]]-Table133[[#This Row],[MKT Open Price]])/(Table133[[#This Row],[PM Hi]]-Table133[[#This Row],[Prior day close]]),(Table133[[#This Row],[PM Hi]]-Table133[[#This Row],[MKT Open Price]])/(Table133[[#This Row],[PM Hi]]-Table133[[#This Row],[PM LO]]))</f>
        <v>0.13559322033898316</v>
      </c>
      <c r="AJ59" s="16">
        <f>IF(Table133[[#This Row],[Prior day close]]&lt;Table133[[#This Row],[PM LO]],(I59-K59)/(I59-Table133[[#This Row],[Prior day close]]),(I59-K59)/(I59-Table133[[#This Row],[PM LO]]))</f>
        <v>0.19215686274509813</v>
      </c>
      <c r="AK59" s="16">
        <f>Table133[[#This Row],[Spike % on open before drop]]+AL59</f>
        <v>0.3315315315315317</v>
      </c>
      <c r="AL59" s="16">
        <f>(I59-K59)/I59</f>
        <v>8.828828828828833E-2</v>
      </c>
      <c r="AM59" s="18">
        <f>IF($J59&gt;=$F59,($J59-$K59)/($J59),(IF($H59&lt;=$K59,($F59-$H59)/($F59),(Table133[[#This Row],[PM Hi]]-Table133[[#This Row],[Lowest lo from open to squeeze]])/(Table133[[#This Row],[PM Hi]]))))</f>
        <v>0.26666666666666677</v>
      </c>
      <c r="AN59" s="18">
        <f>IF(Table133[[#This Row],[Prior day close]]&lt;=Table133[[#This Row],[PM LO]],IF($J59&gt;=$F59,($J59-$K59)/($J59-Table133[[#This Row],[Prior day close]]),(IF($H59&lt;=$K59,($F59-$H59)/($F59-Table133[[#This Row],[Prior day close]]),(Table133[[#This Row],[PM Hi]]-Table133[[#This Row],[Lowest lo from open to squeeze]])/(Table133[[#This Row],[PM Hi]]-Table133[[#This Row],[Prior day close]])))),IF($J59&gt;=$F59,($J59-$K59)/($J59-Table133[[#This Row],[PM LO]]),(IF($H59&lt;=$K59,($F59-$H59)/($F59-Table133[[#This Row],[PM LO]]),(Table133[[#This Row],[PM Hi]]-Table133[[#This Row],[Lowest lo from open to squeeze]])/(Table133[[#This Row],[PM Hi]]-Table133[[#This Row],[PM LO]])))))</f>
        <v>0.47179487179487195</v>
      </c>
      <c r="AO59" s="18">
        <f>IF(J59&gt;=F59,(J59-K59)/(J59-D59),(IF(H59&lt;=K59,(F59-H59)/(F59-D59),(Table133[[#This Row],[PM Hi]]-Table133[[#This Row],[Lowest lo from open to squeeze]])/(Table133[[#This Row],[PM Hi]]-Table133[[#This Row],[Prior day close]]))))</f>
        <v>0.49066666666666681</v>
      </c>
      <c r="AP59" s="17">
        <f>390+Table133[[#This Row],[Time until ideal entry point (mins) from open]]</f>
        <v>454</v>
      </c>
      <c r="AQ59" s="51">
        <f>(Table133[[#This Row],[Time until ideal entry + 390 (6:30)]]+Table133[[#This Row],[Duration of frontside (mins)]])/1440</f>
        <v>0.36805555555555558</v>
      </c>
    </row>
    <row r="60" spans="1:43" x14ac:dyDescent="0.25">
      <c r="A60" s="10" t="s">
        <v>105</v>
      </c>
      <c r="B60" s="11">
        <v>44018</v>
      </c>
      <c r="C60" s="47" t="s">
        <v>78</v>
      </c>
      <c r="D60" s="12">
        <v>3.28</v>
      </c>
      <c r="E60" s="13">
        <v>3.48</v>
      </c>
      <c r="F60" s="12">
        <v>5.28</v>
      </c>
      <c r="G60" s="12">
        <v>3.48</v>
      </c>
      <c r="H60" s="12">
        <v>4.87</v>
      </c>
      <c r="I60" s="12">
        <v>4.97</v>
      </c>
      <c r="J60" s="12">
        <v>5.43</v>
      </c>
      <c r="K60" s="12">
        <v>4.63</v>
      </c>
      <c r="L60" s="12">
        <v>8.18</v>
      </c>
      <c r="M60" s="12">
        <v>8.18</v>
      </c>
      <c r="N60" s="13">
        <v>228115370</v>
      </c>
      <c r="O60" s="12">
        <v>1220996281</v>
      </c>
      <c r="P60" s="13">
        <v>43.1</v>
      </c>
      <c r="Q60">
        <v>1.83</v>
      </c>
      <c r="R60" s="13">
        <v>12184552</v>
      </c>
      <c r="S60" s="13"/>
      <c r="T60" t="s">
        <v>44</v>
      </c>
      <c r="U60">
        <v>3</v>
      </c>
      <c r="V60">
        <v>4</v>
      </c>
      <c r="W60">
        <v>4.74</v>
      </c>
      <c r="X60">
        <v>110</v>
      </c>
      <c r="Y60" s="15">
        <f>Table133[[#This Row],[Time until ideal entry + 390 (6:30)]]/(1440)</f>
        <v>0.27361111111111114</v>
      </c>
      <c r="Z60" s="18">
        <f>(F60-D60)/D60</f>
        <v>0.60975609756097582</v>
      </c>
      <c r="AA60" s="18">
        <f>IF(Table133[[#This Row],[HOD AFTER PM HI]]&gt;=Table133[[#This Row],[PM Hi]],((Table133[[#This Row],[HOD AFTER PM HI]]-Table133[[#This Row],[Prior day close]])/Table133[[#This Row],[Prior day close]]),Table133[[#This Row],[Prior Close to PM Hi %]])</f>
        <v>1.4939024390243905</v>
      </c>
      <c r="AB60" s="18">
        <f>(Table133[[#This Row],[Price at hi of squeeze]]-Table133[[#This Row],[MKT Open Price]])/Table133[[#This Row],[MKT Open Price]]</f>
        <v>0.64587525150905434</v>
      </c>
      <c r="AC60" s="18">
        <f>(Table133[[#This Row],[Price at hi of squeeze]]-Table133[[#This Row],[PM Hi]])/Table133[[#This Row],[PM Hi]]</f>
        <v>0.54924242424242409</v>
      </c>
      <c r="AD60" s="18">
        <f>(M60-K60)/K60</f>
        <v>0.76673866090712739</v>
      </c>
      <c r="AE60" s="20">
        <f>Table133[[#This Row],[PM VOL]]/1000000/Table133[[#This Row],[FLOAT(M)]]</f>
        <v>6.658225136612022</v>
      </c>
      <c r="AF60" s="21">
        <f>(Table133[[#This Row],[Volume]]/1000000)/Table133[[#This Row],[FLOAT(M)]]</f>
        <v>124.65320765027323</v>
      </c>
      <c r="AG60" s="18">
        <f>(Table133[[#This Row],[Hi of Spike after open before drop]]-Table133[[#This Row],[MKT Open Price]])/Table133[[#This Row],[MKT Open Price]]</f>
        <v>9.2555331991951706E-2</v>
      </c>
      <c r="AH60" s="18">
        <f>(Table133[[#This Row],[PM Hi]]-Table133[[#This Row],[MKT Open Price]])/(Table133[[#This Row],[PM Hi]])</f>
        <v>5.8712121212121306E-2</v>
      </c>
      <c r="AI60" s="16">
        <f>IF(Table133[[#This Row],[PM LO]]&gt;Table133[[#This Row],[Prior day close]],(Table133[[#This Row],[PM Hi]]-Table133[[#This Row],[MKT Open Price]])/(Table133[[#This Row],[PM Hi]]-Table133[[#This Row],[Prior day close]]),(Table133[[#This Row],[PM Hi]]-Table133[[#This Row],[MKT Open Price]])/(Table133[[#This Row],[PM Hi]]-Table133[[#This Row],[PM LO]]))</f>
        <v>0.15500000000000022</v>
      </c>
      <c r="AJ60" s="16">
        <f>IF(Table133[[#This Row],[Prior day close]]&lt;Table133[[#This Row],[PM LO]],(I60-K60)/(I60-Table133[[#This Row],[Prior day close]]),(I60-K60)/(I60-Table133[[#This Row],[PM LO]]))</f>
        <v>0.20118343195266264</v>
      </c>
      <c r="AK60" s="16">
        <f>Table133[[#This Row],[Spike % on open before drop]]+AL60</f>
        <v>0.16096579476861164</v>
      </c>
      <c r="AL60" s="16">
        <f>(I60-K60)/I60</f>
        <v>6.8410462776659936E-2</v>
      </c>
      <c r="AM60" s="18">
        <f>IF($J60&gt;=$F60,($J60-$K60)/($J60),(IF($H60&lt;=$K60,($F60-$H60)/($F60),(Table133[[#This Row],[PM Hi]]-Table133[[#This Row],[Lowest lo from open to squeeze]])/(Table133[[#This Row],[PM Hi]]))))</f>
        <v>0.14732965009208102</v>
      </c>
      <c r="AN60" s="18">
        <f>IF(Table133[[#This Row],[Prior day close]]&lt;=Table133[[#This Row],[PM LO]],IF($J60&gt;=$F60,($J60-$K60)/($J60-Table133[[#This Row],[Prior day close]]),(IF($H60&lt;=$K60,($F60-$H60)/($F60-Table133[[#This Row],[Prior day close]]),(Table133[[#This Row],[PM Hi]]-Table133[[#This Row],[Lowest lo from open to squeeze]])/(Table133[[#This Row],[PM Hi]]-Table133[[#This Row],[Prior day close]])))),IF($J60&gt;=$F60,($J60-$K60)/($J60-Table133[[#This Row],[PM LO]]),(IF($H60&lt;=$K60,($F60-$H60)/($F60-Table133[[#This Row],[PM LO]]),(Table133[[#This Row],[PM Hi]]-Table133[[#This Row],[Lowest lo from open to squeeze]])/(Table133[[#This Row],[PM Hi]]-Table133[[#This Row],[PM LO]])))))</f>
        <v>0.37209302325581389</v>
      </c>
      <c r="AO60" s="18">
        <f>IF(J60&gt;=F60,(J60-K60)/(J60-D60),(IF(H60&lt;=K60,(F60-H60)/(F60-D60),(Table133[[#This Row],[PM Hi]]-Table133[[#This Row],[Lowest lo from open to squeeze]])/(Table133[[#This Row],[PM Hi]]-Table133[[#This Row],[Prior day close]]))))</f>
        <v>0.37209302325581389</v>
      </c>
      <c r="AP60" s="17">
        <f>390+Table133[[#This Row],[Time until ideal entry point (mins) from open]]</f>
        <v>394</v>
      </c>
      <c r="AQ60" s="51">
        <f>(Table133[[#This Row],[Time until ideal entry + 390 (6:30)]]+Table133[[#This Row],[Duration of frontside (mins)]])/1440</f>
        <v>0.35</v>
      </c>
    </row>
    <row r="61" spans="1:43" x14ac:dyDescent="0.25">
      <c r="A61" s="10" t="s">
        <v>106</v>
      </c>
      <c r="B61" s="11">
        <v>44018</v>
      </c>
      <c r="C61" s="47" t="s">
        <v>78</v>
      </c>
      <c r="D61" s="12">
        <v>3.32</v>
      </c>
      <c r="E61" s="13">
        <v>3.49</v>
      </c>
      <c r="F61" s="12">
        <v>4.34</v>
      </c>
      <c r="G61" s="12">
        <v>3.34</v>
      </c>
      <c r="H61" s="12">
        <v>3.93</v>
      </c>
      <c r="I61" s="12">
        <v>4</v>
      </c>
      <c r="J61" s="12">
        <v>4.1500000000000004</v>
      </c>
      <c r="K61" s="12">
        <v>3.9</v>
      </c>
      <c r="L61" s="12">
        <v>6</v>
      </c>
      <c r="M61" s="12">
        <v>6</v>
      </c>
      <c r="N61" s="13">
        <v>172499430</v>
      </c>
      <c r="O61" s="12">
        <v>811193813</v>
      </c>
      <c r="P61" s="13">
        <v>146.69999999999999</v>
      </c>
      <c r="Q61">
        <v>30.44</v>
      </c>
      <c r="R61" s="13">
        <v>4635766</v>
      </c>
      <c r="S61" s="13"/>
      <c r="T61" t="s">
        <v>44</v>
      </c>
      <c r="U61">
        <v>3</v>
      </c>
      <c r="V61">
        <v>4</v>
      </c>
      <c r="W61">
        <v>4.08</v>
      </c>
      <c r="X61">
        <v>13</v>
      </c>
      <c r="Y61" s="15">
        <f>Table133[[#This Row],[Time until ideal entry + 390 (6:30)]]/(1440)</f>
        <v>0.27361111111111114</v>
      </c>
      <c r="Z61" s="18">
        <f>(F61-D61)/D61</f>
        <v>0.30722891566265065</v>
      </c>
      <c r="AA61" s="18">
        <f>IF(Table133[[#This Row],[HOD AFTER PM HI]]&gt;=Table133[[#This Row],[PM Hi]],((Table133[[#This Row],[HOD AFTER PM HI]]-Table133[[#This Row],[Prior day close]])/Table133[[#This Row],[Prior day close]]),Table133[[#This Row],[Prior Close to PM Hi %]])</f>
        <v>0.80722891566265065</v>
      </c>
      <c r="AB61" s="18">
        <f>(Table133[[#This Row],[Price at hi of squeeze]]-Table133[[#This Row],[MKT Open Price]])/Table133[[#This Row],[MKT Open Price]]</f>
        <v>0.5</v>
      </c>
      <c r="AC61" s="18">
        <f>(Table133[[#This Row],[Price at hi of squeeze]]-Table133[[#This Row],[PM Hi]])/Table133[[#This Row],[PM Hi]]</f>
        <v>0.38248847926267288</v>
      </c>
      <c r="AD61" s="18">
        <f>(M61-K61)/K61</f>
        <v>0.53846153846153855</v>
      </c>
      <c r="AE61" s="20">
        <f>Table133[[#This Row],[PM VOL]]/1000000/Table133[[#This Row],[FLOAT(M)]]</f>
        <v>0.1522919185282523</v>
      </c>
      <c r="AF61" s="21">
        <f>(Table133[[#This Row],[Volume]]/1000000)/Table133[[#This Row],[FLOAT(M)]]</f>
        <v>5.6668669513797632</v>
      </c>
      <c r="AG61" s="18">
        <f>(Table133[[#This Row],[Hi of Spike after open before drop]]-Table133[[#This Row],[MKT Open Price]])/Table133[[#This Row],[MKT Open Price]]</f>
        <v>3.7500000000000089E-2</v>
      </c>
      <c r="AH61" s="18">
        <f>(Table133[[#This Row],[PM Hi]]-Table133[[#This Row],[MKT Open Price]])/(Table133[[#This Row],[PM Hi]])</f>
        <v>7.8341013824884759E-2</v>
      </c>
      <c r="AI61" s="16">
        <f>IF(Table133[[#This Row],[PM LO]]&gt;Table133[[#This Row],[Prior day close]],(Table133[[#This Row],[PM Hi]]-Table133[[#This Row],[MKT Open Price]])/(Table133[[#This Row],[PM Hi]]-Table133[[#This Row],[Prior day close]]),(Table133[[#This Row],[PM Hi]]-Table133[[#This Row],[MKT Open Price]])/(Table133[[#This Row],[PM Hi]]-Table133[[#This Row],[PM LO]]))</f>
        <v>0.3333333333333332</v>
      </c>
      <c r="AJ61" s="16">
        <f>IF(Table133[[#This Row],[Prior day close]]&lt;Table133[[#This Row],[PM LO]],(I61-K61)/(I61-Table133[[#This Row],[Prior day close]]),(I61-K61)/(I61-Table133[[#This Row],[PM LO]]))</f>
        <v>0.14705882352941185</v>
      </c>
      <c r="AK61" s="16">
        <f>Table133[[#This Row],[Spike % on open before drop]]+AL61</f>
        <v>6.2500000000000111E-2</v>
      </c>
      <c r="AL61" s="16">
        <f>(I61-K61)/I61</f>
        <v>2.5000000000000022E-2</v>
      </c>
      <c r="AM61" s="18">
        <f>IF($J61&gt;=$F61,($J61-$K61)/($J61),(IF($H61&lt;=$K61,($F61-$H61)/($F61),(Table133[[#This Row],[PM Hi]]-Table133[[#This Row],[Lowest lo from open to squeeze]])/(Table133[[#This Row],[PM Hi]]))))</f>
        <v>0.10138248847926266</v>
      </c>
      <c r="AN61" s="18">
        <f>IF(Table133[[#This Row],[Prior day close]]&lt;=Table133[[#This Row],[PM LO]],IF($J61&gt;=$F61,($J61-$K61)/($J61-Table133[[#This Row],[Prior day close]]),(IF($H61&lt;=$K61,($F61-$H61)/($F61-Table133[[#This Row],[Prior day close]]),(Table133[[#This Row],[PM Hi]]-Table133[[#This Row],[Lowest lo from open to squeeze]])/(Table133[[#This Row],[PM Hi]]-Table133[[#This Row],[Prior day close]])))),IF($J61&gt;=$F61,($J61-$K61)/($J61-Table133[[#This Row],[PM LO]]),(IF($H61&lt;=$K61,($F61-$H61)/($F61-Table133[[#This Row],[PM LO]]),(Table133[[#This Row],[PM Hi]]-Table133[[#This Row],[Lowest lo from open to squeeze]])/(Table133[[#This Row],[PM Hi]]-Table133[[#This Row],[PM LO]])))))</f>
        <v>0.43137254901960781</v>
      </c>
      <c r="AO61" s="18">
        <f>IF(J61&gt;=F61,(J61-K61)/(J61-D61),(IF(H61&lt;=K61,(F61-H61)/(F61-D61),(Table133[[#This Row],[PM Hi]]-Table133[[#This Row],[Lowest lo from open to squeeze]])/(Table133[[#This Row],[PM Hi]]-Table133[[#This Row],[Prior day close]]))))</f>
        <v>0.43137254901960781</v>
      </c>
      <c r="AP61" s="17">
        <f>390+Table133[[#This Row],[Time until ideal entry point (mins) from open]]</f>
        <v>394</v>
      </c>
      <c r="AQ61" s="51">
        <f>(Table133[[#This Row],[Time until ideal entry + 390 (6:30)]]+Table133[[#This Row],[Duration of frontside (mins)]])/1440</f>
        <v>0.28263888888888888</v>
      </c>
    </row>
    <row r="62" spans="1:43" x14ac:dyDescent="0.25">
      <c r="A62" s="24" t="s">
        <v>133</v>
      </c>
      <c r="B62" s="45">
        <v>44169</v>
      </c>
      <c r="C62" s="47" t="s">
        <v>78</v>
      </c>
      <c r="D62" s="12">
        <v>3.59</v>
      </c>
      <c r="E62" s="13">
        <v>3.54</v>
      </c>
      <c r="F62" s="12">
        <v>5.27</v>
      </c>
      <c r="G62" s="12">
        <v>3.54</v>
      </c>
      <c r="H62" s="12">
        <v>4.91</v>
      </c>
      <c r="I62" s="12">
        <v>5.04</v>
      </c>
      <c r="J62" s="12">
        <v>5.4</v>
      </c>
      <c r="K62" s="12">
        <v>4.8099999999999996</v>
      </c>
      <c r="L62" s="12">
        <v>6.16</v>
      </c>
      <c r="M62" s="12">
        <v>6.06</v>
      </c>
      <c r="N62" s="13">
        <v>118051116</v>
      </c>
      <c r="O62" s="12">
        <v>492863409</v>
      </c>
      <c r="P62" s="37">
        <v>31.59</v>
      </c>
      <c r="Q62">
        <v>3</v>
      </c>
      <c r="R62" s="37">
        <v>7417196</v>
      </c>
      <c r="S62" s="37" t="s">
        <v>44</v>
      </c>
      <c r="T62" s="37" t="s">
        <v>44</v>
      </c>
      <c r="U62" s="38">
        <v>8</v>
      </c>
      <c r="V62">
        <v>8</v>
      </c>
      <c r="W62" s="39">
        <v>4.8</v>
      </c>
      <c r="X62">
        <v>20</v>
      </c>
      <c r="Y62" s="40">
        <f>Table133[[#This Row],[Time until ideal entry + 390 (6:30)]]/(1440)</f>
        <v>0.27638888888888891</v>
      </c>
      <c r="Z62" s="18">
        <f>(F62-D62)/D62</f>
        <v>0.46796657381615592</v>
      </c>
      <c r="AA62" s="18">
        <f>IF(Table133[[#This Row],[HOD AFTER PM HI]]&gt;=Table133[[#This Row],[PM Hi]],((Table133[[#This Row],[HOD AFTER PM HI]]-Table133[[#This Row],[Prior day close]])/Table133[[#This Row],[Prior day close]]),Table133[[#This Row],[Prior Close to PM Hi %]])</f>
        <v>0.71587743732590536</v>
      </c>
      <c r="AB62" s="42">
        <f>(Table133[[#This Row],[Price at hi of squeeze]]-Table133[[#This Row],[MKT Open Price]])/Table133[[#This Row],[MKT Open Price]]</f>
        <v>0.2023809523809523</v>
      </c>
      <c r="AC62" s="18">
        <f>(Table133[[#This Row],[Price at hi of squeeze]]-Table133[[#This Row],[PM Hi]])/Table133[[#This Row],[PM Hi]]</f>
        <v>0.14990512333965847</v>
      </c>
      <c r="AD62" s="18">
        <f>(M62-K62)/K62</f>
        <v>0.25987525987525989</v>
      </c>
      <c r="AE62" s="20">
        <f>Table133[[#This Row],[PM VOL]]/1000000/Table133[[#This Row],[FLOAT(M)]]</f>
        <v>2.4723986666666664</v>
      </c>
      <c r="AF62" s="23">
        <f>(Table133[[#This Row],[Volume]]/1000000)/Table133[[#This Row],[FLOAT(M)]]</f>
        <v>39.350372</v>
      </c>
      <c r="AH62" s="18">
        <f>(Table133[[#This Row],[PM Hi]]-Table133[[#This Row],[MKT Open Price]])/(Table133[[#This Row],[PM Hi]])</f>
        <v>4.3643263757115663E-2</v>
      </c>
      <c r="AI62" s="16">
        <f>IF(Table133[[#This Row],[PM LO]]&gt;Table133[[#This Row],[Prior day close]],(Table133[[#This Row],[PM Hi]]-Table133[[#This Row],[MKT Open Price]])/(Table133[[#This Row],[PM Hi]]-Table133[[#This Row],[Prior day close]]),(Table133[[#This Row],[PM Hi]]-Table133[[#This Row],[MKT Open Price]])/(Table133[[#This Row],[PM Hi]]-Table133[[#This Row],[PM LO]]))</f>
        <v>0.13294797687861248</v>
      </c>
      <c r="AJ62" s="18">
        <f>IF(Table133[[#This Row],[Prior day close]]&lt;Table133[[#This Row],[PM LO]],(I62-K62)/(I62-Table133[[#This Row],[Prior day close]]),(I62-K62)/(I62-Table133[[#This Row],[PM LO]]))</f>
        <v>0.15333333333333363</v>
      </c>
      <c r="AK62" s="18">
        <f>Table133[[#This Row],[Spike % on open before drop]]+AL62</f>
        <v>4.5634920634920723E-2</v>
      </c>
      <c r="AL62" s="16">
        <f>(I62-K62)/I62</f>
        <v>4.5634920634920723E-2</v>
      </c>
      <c r="AM62" s="18">
        <f>IF($J62&gt;=$F62,($J62-$K62)/($J62),(IF($H62&lt;=$K62,($F62-$H62)/($F62),(Table133[[#This Row],[PM Hi]]-Table133[[#This Row],[Lowest lo from open to squeeze]])/(Table133[[#This Row],[PM Hi]]))))</f>
        <v>0.10925925925925939</v>
      </c>
      <c r="AN62" s="18">
        <f>IF(Table133[[#This Row],[Prior day close]]&lt;=Table133[[#This Row],[PM LO]],IF($J62&gt;=$F62,($J62-$K62)/($J62-Table133[[#This Row],[Prior day close]]),(IF($H62&lt;=$K62,($F62-$H62)/($F62-Table133[[#This Row],[Prior day close]]),(Table133[[#This Row],[PM Hi]]-Table133[[#This Row],[Lowest lo from open to squeeze]])/(Table133[[#This Row],[PM Hi]]-Table133[[#This Row],[Prior day close]])))),IF($J62&gt;=$F62,($J62-$K62)/($J62-Table133[[#This Row],[PM LO]]),(IF($H62&lt;=$K62,($F62-$H62)/($F62-Table133[[#This Row],[PM LO]]),(Table133[[#This Row],[PM Hi]]-Table133[[#This Row],[Lowest lo from open to squeeze]])/(Table133[[#This Row],[PM Hi]]-Table133[[#This Row],[PM LO]])))))</f>
        <v>0.31720430107526915</v>
      </c>
      <c r="AO62" s="18">
        <f>IF(J62&gt;=F62,(J62-K62)/(J62-D62),(IF(H62&lt;=K62,(F62-H62)/(F62-D62),(Table133[[#This Row],[PM Hi]]-Table133[[#This Row],[Lowest lo from open to squeeze]])/(Table133[[#This Row],[PM Hi]]-Table133[[#This Row],[Prior day close]]))))</f>
        <v>0.32596685082872962</v>
      </c>
      <c r="AP62" s="17">
        <f>390+Table133[[#This Row],[Time until ideal entry point (mins) from open]]</f>
        <v>398</v>
      </c>
      <c r="AQ62" s="51">
        <f>(Table133[[#This Row],[Time until ideal entry + 390 (6:30)]]+Table133[[#This Row],[Duration of frontside (mins)]])/1440</f>
        <v>0.2902777777777778</v>
      </c>
    </row>
    <row r="63" spans="1:43" x14ac:dyDescent="0.25">
      <c r="A63" s="10" t="s">
        <v>80</v>
      </c>
      <c r="B63" s="11">
        <v>43979</v>
      </c>
      <c r="C63" s="47" t="s">
        <v>78</v>
      </c>
      <c r="D63" s="12">
        <v>3.95</v>
      </c>
      <c r="E63" s="13">
        <v>4.32</v>
      </c>
      <c r="F63" s="12">
        <v>8.8800000000000008</v>
      </c>
      <c r="G63" s="12">
        <v>4.32</v>
      </c>
      <c r="H63" s="12">
        <v>8.25</v>
      </c>
      <c r="I63" s="12">
        <v>8.82</v>
      </c>
      <c r="J63" s="12">
        <v>9</v>
      </c>
      <c r="K63" s="12">
        <v>7.48</v>
      </c>
      <c r="L63" s="12">
        <v>22</v>
      </c>
      <c r="M63" s="12">
        <v>22</v>
      </c>
      <c r="N63" s="13">
        <v>83294905</v>
      </c>
      <c r="O63" s="12">
        <v>1579773917</v>
      </c>
      <c r="P63" s="13">
        <f>1.6*8</f>
        <v>12.8</v>
      </c>
      <c r="Q63">
        <v>1.59</v>
      </c>
      <c r="R63" s="13">
        <v>1535631</v>
      </c>
      <c r="S63" s="13" t="s">
        <v>44</v>
      </c>
      <c r="T63" t="s">
        <v>44</v>
      </c>
      <c r="U63">
        <v>31</v>
      </c>
      <c r="V63">
        <v>32</v>
      </c>
      <c r="W63">
        <v>7.63</v>
      </c>
      <c r="X63">
        <v>55</v>
      </c>
      <c r="Y63" s="15">
        <f>Table133[[#This Row],[Time until ideal entry + 390 (6:30)]]/(1440)</f>
        <v>0.29305555555555557</v>
      </c>
      <c r="Z63" s="18">
        <f>(F63-D63)/D63</f>
        <v>1.2481012658227848</v>
      </c>
      <c r="AA63" s="18">
        <f>IF(Table133[[#This Row],[HOD AFTER PM HI]]&gt;=Table133[[#This Row],[PM Hi]],((Table133[[#This Row],[HOD AFTER PM HI]]-Table133[[#This Row],[Prior day close]])/Table133[[#This Row],[Prior day close]]),Table133[[#This Row],[Prior Close to PM Hi %]])</f>
        <v>4.5696202531645573</v>
      </c>
      <c r="AB63" s="18">
        <f>(Table133[[#This Row],[Price at hi of squeeze]]-Table133[[#This Row],[MKT Open Price]])/Table133[[#This Row],[MKT Open Price]]</f>
        <v>1.4943310657596371</v>
      </c>
      <c r="AC63" s="18">
        <f>(Table133[[#This Row],[Price at hi of squeeze]]-Table133[[#This Row],[PM Hi]])/Table133[[#This Row],[PM Hi]]</f>
        <v>1.4774774774774773</v>
      </c>
      <c r="AD63" s="18">
        <f>(M63-K63)/K63</f>
        <v>1.9411764705882351</v>
      </c>
      <c r="AE63" s="20">
        <f>Table133[[#This Row],[PM VOL]]/1000000/Table133[[#This Row],[FLOAT(M)]]</f>
        <v>0.96580566037735838</v>
      </c>
      <c r="AF63" s="21">
        <f>(Table133[[#This Row],[Volume]]/1000000)/Table133[[#This Row],[FLOAT(M)]]</f>
        <v>52.386732704402512</v>
      </c>
      <c r="AG63" s="18">
        <f>(Table133[[#This Row],[Hi of Spike after open before drop]]-Table133[[#This Row],[MKT Open Price]])/Table133[[#This Row],[MKT Open Price]]</f>
        <v>2.040816326530609E-2</v>
      </c>
      <c r="AH63" s="18">
        <f>(Table133[[#This Row],[PM Hi]]-Table133[[#This Row],[MKT Open Price]])/(Table133[[#This Row],[PM Hi]])</f>
        <v>6.7567567567568118E-3</v>
      </c>
      <c r="AI63" s="16">
        <f>IF(Table133[[#This Row],[PM LO]]&gt;Table133[[#This Row],[Prior day close]],(Table133[[#This Row],[PM Hi]]-Table133[[#This Row],[MKT Open Price]])/(Table133[[#This Row],[PM Hi]]-Table133[[#This Row],[Prior day close]]),(Table133[[#This Row],[PM Hi]]-Table133[[#This Row],[MKT Open Price]])/(Table133[[#This Row],[PM Hi]]-Table133[[#This Row],[PM LO]]))</f>
        <v>1.2170385395537624E-2</v>
      </c>
      <c r="AJ63" s="16">
        <f>IF(Table133[[#This Row],[Prior day close]]&lt;Table133[[#This Row],[PM LO]],(I63-K63)/(I63-Table133[[#This Row],[Prior day close]]),(I63-K63)/(I63-Table133[[#This Row],[PM LO]]))</f>
        <v>0.27515400410677615</v>
      </c>
      <c r="AK63" s="16">
        <f>Table133[[#This Row],[Spike % on open before drop]]+AL63</f>
        <v>0.17233560090702943</v>
      </c>
      <c r="AL63" s="16">
        <f>(I63-K63)/I63</f>
        <v>0.15192743764172334</v>
      </c>
      <c r="AM63" s="18">
        <f>IF($J63&gt;=$F63,($J63-$K63)/($J63),(IF($H63&lt;=$K63,($F63-$H63)/($F63),(Table133[[#This Row],[PM Hi]]-Table133[[#This Row],[Lowest lo from open to squeeze]])/(Table133[[#This Row],[PM Hi]]))))</f>
        <v>0.16888888888888884</v>
      </c>
      <c r="AN63" s="18">
        <f>IF(Table133[[#This Row],[Prior day close]]&lt;=Table133[[#This Row],[PM LO]],IF($J63&gt;=$F63,($J63-$K63)/($J63-Table133[[#This Row],[Prior day close]]),(IF($H63&lt;=$K63,($F63-$H63)/($F63-Table133[[#This Row],[Prior day close]]),(Table133[[#This Row],[PM Hi]]-Table133[[#This Row],[Lowest lo from open to squeeze]])/(Table133[[#This Row],[PM Hi]]-Table133[[#This Row],[Prior day close]])))),IF($J63&gt;=$F63,($J63-$K63)/($J63-Table133[[#This Row],[PM LO]]),(IF($H63&lt;=$K63,($F63-$H63)/($F63-Table133[[#This Row],[PM LO]]),(Table133[[#This Row],[PM Hi]]-Table133[[#This Row],[Lowest lo from open to squeeze]])/(Table133[[#This Row],[PM Hi]]-Table133[[#This Row],[PM LO]])))))</f>
        <v>0.30099009900990092</v>
      </c>
      <c r="AO63" s="18">
        <f>IF(J63&gt;=F63,(J63-K63)/(J63-D63),(IF(H63&lt;=K63,(F63-H63)/(F63-D63),(Table133[[#This Row],[PM Hi]]-Table133[[#This Row],[Lowest lo from open to squeeze]])/(Table133[[#This Row],[PM Hi]]-Table133[[#This Row],[Prior day close]]))))</f>
        <v>0.30099009900990092</v>
      </c>
      <c r="AP63" s="17">
        <f>390+Table133[[#This Row],[Time until ideal entry point (mins) from open]]</f>
        <v>422</v>
      </c>
      <c r="AQ63" s="51">
        <f>(Table133[[#This Row],[Time until ideal entry + 390 (6:30)]]+Table133[[#This Row],[Duration of frontside (mins)]])/1440</f>
        <v>0.33124999999999999</v>
      </c>
    </row>
    <row r="64" spans="1:43" x14ac:dyDescent="0.25">
      <c r="A64" s="24" t="s">
        <v>172</v>
      </c>
      <c r="B64" s="11">
        <v>44193</v>
      </c>
      <c r="C64" s="47" t="s">
        <v>78</v>
      </c>
      <c r="D64" s="12">
        <v>4</v>
      </c>
      <c r="E64" s="13">
        <v>3.8</v>
      </c>
      <c r="F64" s="12">
        <v>7.89</v>
      </c>
      <c r="G64" s="12">
        <v>3.27</v>
      </c>
      <c r="H64" s="12">
        <v>5.62</v>
      </c>
      <c r="I64" s="12">
        <v>6</v>
      </c>
      <c r="J64" s="12">
        <v>6.37</v>
      </c>
      <c r="K64" s="12">
        <v>5.62</v>
      </c>
      <c r="L64" s="12">
        <v>38</v>
      </c>
      <c r="M64" s="12">
        <v>38</v>
      </c>
      <c r="N64" s="13">
        <v>46701175</v>
      </c>
      <c r="O64" s="12">
        <v>493631419</v>
      </c>
      <c r="P64" s="37">
        <v>21</v>
      </c>
      <c r="Q64">
        <v>5</v>
      </c>
      <c r="R64" s="37">
        <v>3964156</v>
      </c>
      <c r="S64" s="37" t="s">
        <v>42</v>
      </c>
      <c r="T64" s="37" t="s">
        <v>44</v>
      </c>
      <c r="U64" s="38">
        <v>2</v>
      </c>
      <c r="V64">
        <v>2</v>
      </c>
      <c r="W64" s="39">
        <v>5.71</v>
      </c>
      <c r="X64">
        <v>240</v>
      </c>
      <c r="Y64" s="40">
        <f>Table133[[#This Row],[Time until ideal entry + 390 (6:30)]]/(1440)</f>
        <v>0.2722222222222222</v>
      </c>
      <c r="Z64" s="18">
        <f>(F64-D64)/D64</f>
        <v>0.97249999999999992</v>
      </c>
      <c r="AA64" s="18">
        <f>IF(Table133[[#This Row],[HOD AFTER PM HI]]&gt;=Table133[[#This Row],[PM Hi]],((Table133[[#This Row],[HOD AFTER PM HI]]-Table133[[#This Row],[Prior day close]])/Table133[[#This Row],[Prior day close]]),Table133[[#This Row],[Prior Close to PM Hi %]])</f>
        <v>8.5</v>
      </c>
      <c r="AB64" s="42">
        <f>(Table133[[#This Row],[Price at hi of squeeze]]-Table133[[#This Row],[MKT Open Price]])/Table133[[#This Row],[MKT Open Price]]</f>
        <v>5.333333333333333</v>
      </c>
      <c r="AC64" s="18">
        <f>(Table133[[#This Row],[Price at hi of squeeze]]-Table133[[#This Row],[PM Hi]])/Table133[[#This Row],[PM Hi]]</f>
        <v>3.8162230671736377</v>
      </c>
      <c r="AD64" s="18">
        <f>(M64-K64)/K64</f>
        <v>5.7615658362989324</v>
      </c>
      <c r="AE64" s="20">
        <f>Table133[[#This Row],[PM VOL]]/1000000/Table133[[#This Row],[FLOAT(M)]]</f>
        <v>0.79283119999999996</v>
      </c>
      <c r="AF64" s="23">
        <f>(Table133[[#This Row],[Volume]]/1000000)/Table133[[#This Row],[FLOAT(M)]]</f>
        <v>9.3402349999999998</v>
      </c>
      <c r="AH64" s="18">
        <f>(Table133[[#This Row],[PM Hi]]-Table133[[#This Row],[MKT Open Price]])/(Table133[[#This Row],[PM Hi]])</f>
        <v>0.23954372623574141</v>
      </c>
      <c r="AI64" s="16">
        <f>IF(Table133[[#This Row],[PM LO]]&gt;Table133[[#This Row],[Prior day close]],(Table133[[#This Row],[PM Hi]]-Table133[[#This Row],[MKT Open Price]])/(Table133[[#This Row],[PM Hi]]-Table133[[#This Row],[Prior day close]]),(Table133[[#This Row],[PM Hi]]-Table133[[#This Row],[MKT Open Price]])/(Table133[[#This Row],[PM Hi]]-Table133[[#This Row],[PM LO]]))</f>
        <v>0.40909090909090912</v>
      </c>
      <c r="AJ64" s="18">
        <f>IF(Table133[[#This Row],[Prior day close]]&lt;Table133[[#This Row],[PM LO]],(I64-K64)/(I64-Table133[[#This Row],[Prior day close]]),(I64-K64)/(I64-Table133[[#This Row],[PM LO]]))</f>
        <v>0.13919413919413914</v>
      </c>
      <c r="AK64" s="18">
        <f>Table133[[#This Row],[Spike % on open before drop]]+AL64</f>
        <v>6.3333333333333311E-2</v>
      </c>
      <c r="AL64" s="16">
        <f>(I64-K64)/I64</f>
        <v>6.3333333333333311E-2</v>
      </c>
      <c r="AM64" s="18">
        <f>IF($J64&gt;=$F64,($J64-$K64)/($J64),(IF($H64&lt;=$K64,($F64-$H64)/($F64),(Table133[[#This Row],[PM Hi]]-Table133[[#This Row],[Lowest lo from open to squeeze]])/(Table133[[#This Row],[PM Hi]]))))</f>
        <v>0.2877059569074778</v>
      </c>
      <c r="AN64" s="18">
        <f>IF(Table133[[#This Row],[Prior day close]]&lt;=Table133[[#This Row],[PM LO]],IF($J64&gt;=$F64,($J64-$K64)/($J64-Table133[[#This Row],[Prior day close]]),(IF($H64&lt;=$K64,($F64-$H64)/($F64-Table133[[#This Row],[Prior day close]]),(Table133[[#This Row],[PM Hi]]-Table133[[#This Row],[Lowest lo from open to squeeze]])/(Table133[[#This Row],[PM Hi]]-Table133[[#This Row],[Prior day close]])))),IF($J64&gt;=$F64,($J64-$K64)/($J64-Table133[[#This Row],[PM LO]]),(IF($H64&lt;=$K64,($F64-$H64)/($F64-Table133[[#This Row],[PM LO]]),(Table133[[#This Row],[PM Hi]]-Table133[[#This Row],[Lowest lo from open to squeeze]])/(Table133[[#This Row],[PM Hi]]-Table133[[#This Row],[PM LO]])))))</f>
        <v>0.49134199134199136</v>
      </c>
      <c r="AO64" s="18">
        <f>IF(J64&gt;=F64,(J64-K64)/(J64-D64),(IF(H64&lt;=K64,(F64-H64)/(F64-D64),(Table133[[#This Row],[PM Hi]]-Table133[[#This Row],[Lowest lo from open to squeeze]])/(Table133[[#This Row],[PM Hi]]-Table133[[#This Row],[Prior day close]]))))</f>
        <v>0.58354755784061696</v>
      </c>
      <c r="AP64" s="17">
        <f>390+Table133[[#This Row],[Time until ideal entry point (mins) from open]]</f>
        <v>392</v>
      </c>
      <c r="AQ64" s="51">
        <f>(Table133[[#This Row],[Time until ideal entry + 390 (6:30)]]+Table133[[#This Row],[Duration of frontside (mins)]])/1440</f>
        <v>0.43888888888888888</v>
      </c>
    </row>
    <row r="65" spans="1:43" x14ac:dyDescent="0.25">
      <c r="A65" s="10" t="s">
        <v>107</v>
      </c>
      <c r="B65" s="11">
        <v>44022</v>
      </c>
      <c r="C65" s="47" t="s">
        <v>78</v>
      </c>
      <c r="D65" s="12">
        <v>4.1500000000000004</v>
      </c>
      <c r="E65" s="13">
        <v>4.1500000000000004</v>
      </c>
      <c r="F65" s="12">
        <v>9.25</v>
      </c>
      <c r="G65" s="12">
        <v>4.07</v>
      </c>
      <c r="H65" s="12">
        <v>8.07</v>
      </c>
      <c r="I65" s="12">
        <v>8</v>
      </c>
      <c r="J65" s="12">
        <v>8.23</v>
      </c>
      <c r="K65" s="12">
        <v>6.6</v>
      </c>
      <c r="L65" s="12">
        <v>15.56</v>
      </c>
      <c r="M65" s="12">
        <v>15.56</v>
      </c>
      <c r="N65" s="13">
        <v>141844070</v>
      </c>
      <c r="O65" s="12">
        <v>21276058814</v>
      </c>
      <c r="P65" s="13">
        <v>225.41</v>
      </c>
      <c r="Q65">
        <v>4.92</v>
      </c>
      <c r="R65" s="13">
        <v>12624094</v>
      </c>
      <c r="S65" s="13" t="s">
        <v>42</v>
      </c>
      <c r="T65" t="s">
        <v>44</v>
      </c>
      <c r="U65">
        <v>23</v>
      </c>
      <c r="V65">
        <v>24</v>
      </c>
      <c r="W65">
        <v>6.73</v>
      </c>
      <c r="X65">
        <v>16</v>
      </c>
      <c r="Y65" s="15">
        <f>Table133[[#This Row],[Time until ideal entry + 390 (6:30)]]/(1440)</f>
        <v>0.28749999999999998</v>
      </c>
      <c r="Z65" s="18">
        <f>(F65-D65)/D65</f>
        <v>1.2289156626506021</v>
      </c>
      <c r="AA65" s="18">
        <f>IF(Table133[[#This Row],[HOD AFTER PM HI]]&gt;=Table133[[#This Row],[PM Hi]],((Table133[[#This Row],[HOD AFTER PM HI]]-Table133[[#This Row],[Prior day close]])/Table133[[#This Row],[Prior day close]]),Table133[[#This Row],[Prior Close to PM Hi %]])</f>
        <v>2.7493975903614456</v>
      </c>
      <c r="AB65" s="18">
        <f>(Table133[[#This Row],[Price at hi of squeeze]]-Table133[[#This Row],[MKT Open Price]])/Table133[[#This Row],[MKT Open Price]]</f>
        <v>0.94500000000000006</v>
      </c>
      <c r="AC65" s="18">
        <f>(Table133[[#This Row],[Price at hi of squeeze]]-Table133[[#This Row],[PM Hi]])/Table133[[#This Row],[PM Hi]]</f>
        <v>0.68216216216216219</v>
      </c>
      <c r="AD65" s="18">
        <f>(M65-K65)/K65</f>
        <v>1.3575757575757579</v>
      </c>
      <c r="AE65" s="20">
        <f>Table133[[#This Row],[PM VOL]]/1000000/Table133[[#This Row],[FLOAT(M)]]</f>
        <v>2.5658727642276422</v>
      </c>
      <c r="AF65" s="21">
        <f>(Table133[[#This Row],[Volume]]/1000000)/Table133[[#This Row],[FLOAT(M)]]</f>
        <v>28.830095528455281</v>
      </c>
      <c r="AG65" s="18">
        <f>(Table133[[#This Row],[Hi of Spike after open before drop]]-Table133[[#This Row],[MKT Open Price]])/Table133[[#This Row],[MKT Open Price]]</f>
        <v>2.8750000000000053E-2</v>
      </c>
      <c r="AH65" s="18">
        <f>(Table133[[#This Row],[PM Hi]]-Table133[[#This Row],[MKT Open Price]])/(Table133[[#This Row],[PM Hi]])</f>
        <v>0.13513513513513514</v>
      </c>
      <c r="AI65" s="16">
        <f>IF(Table133[[#This Row],[PM LO]]&gt;Table133[[#This Row],[Prior day close]],(Table133[[#This Row],[PM Hi]]-Table133[[#This Row],[MKT Open Price]])/(Table133[[#This Row],[PM Hi]]-Table133[[#This Row],[Prior day close]]),(Table133[[#This Row],[PM Hi]]-Table133[[#This Row],[MKT Open Price]])/(Table133[[#This Row],[PM Hi]]-Table133[[#This Row],[PM LO]]))</f>
        <v>0.24131274131274133</v>
      </c>
      <c r="AJ65" s="16">
        <f>IF(Table133[[#This Row],[Prior day close]]&lt;Table133[[#This Row],[PM LO]],(I65-K65)/(I65-Table133[[#This Row],[Prior day close]]),(I65-K65)/(I65-Table133[[#This Row],[PM LO]]))</f>
        <v>0.35623409669211209</v>
      </c>
      <c r="AK65" s="16">
        <f>Table133[[#This Row],[Spike % on open before drop]]+AL65</f>
        <v>0.2037500000000001</v>
      </c>
      <c r="AL65" s="16">
        <f>(I65-K65)/I65</f>
        <v>0.17500000000000004</v>
      </c>
      <c r="AM65" s="18">
        <f>IF($J65&gt;=$F65,($J65-$K65)/($J65),(IF($H65&lt;=$K65,($F65-$H65)/($F65),(Table133[[#This Row],[PM Hi]]-Table133[[#This Row],[Lowest lo from open to squeeze]])/(Table133[[#This Row],[PM Hi]]))))</f>
        <v>0.2864864864864865</v>
      </c>
      <c r="AN65" s="18">
        <f>IF(Table133[[#This Row],[Prior day close]]&lt;=Table133[[#This Row],[PM LO]],IF($J65&gt;=$F65,($J65-$K65)/($J65-Table133[[#This Row],[Prior day close]]),(IF($H65&lt;=$K65,($F65-$H65)/($F65-Table133[[#This Row],[Prior day close]]),(Table133[[#This Row],[PM Hi]]-Table133[[#This Row],[Lowest lo from open to squeeze]])/(Table133[[#This Row],[PM Hi]]-Table133[[#This Row],[Prior day close]])))),IF($J65&gt;=$F65,($J65-$K65)/($J65-Table133[[#This Row],[PM LO]]),(IF($H65&lt;=$K65,($F65-$H65)/($F65-Table133[[#This Row],[PM LO]]),(Table133[[#This Row],[PM Hi]]-Table133[[#This Row],[Lowest lo from open to squeeze]])/(Table133[[#This Row],[PM Hi]]-Table133[[#This Row],[PM LO]])))))</f>
        <v>0.51158301158301167</v>
      </c>
      <c r="AO65" s="18">
        <f>IF(J65&gt;=F65,(J65-K65)/(J65-D65),(IF(H65&lt;=K65,(F65-H65)/(F65-D65),(Table133[[#This Row],[PM Hi]]-Table133[[#This Row],[Lowest lo from open to squeeze]])/(Table133[[#This Row],[PM Hi]]-Table133[[#This Row],[Prior day close]]))))</f>
        <v>0.51960784313725505</v>
      </c>
      <c r="AP65" s="17">
        <f>390+Table133[[#This Row],[Time until ideal entry point (mins) from open]]</f>
        <v>414</v>
      </c>
      <c r="AQ65" s="51">
        <f>(Table133[[#This Row],[Time until ideal entry + 390 (6:30)]]+Table133[[#This Row],[Duration of frontside (mins)]])/1440</f>
        <v>0.2986111111111111</v>
      </c>
    </row>
    <row r="66" spans="1:43" x14ac:dyDescent="0.25">
      <c r="A66" s="24" t="s">
        <v>175</v>
      </c>
      <c r="B66" s="47">
        <v>44201</v>
      </c>
      <c r="C66" s="47" t="s">
        <v>78</v>
      </c>
      <c r="D66" s="12">
        <v>4.18</v>
      </c>
      <c r="E66" s="13">
        <v>4.1399999999999997</v>
      </c>
      <c r="F66" s="12">
        <v>6.59</v>
      </c>
      <c r="G66" s="12">
        <v>4.05</v>
      </c>
      <c r="H66" s="12">
        <v>5.26</v>
      </c>
      <c r="I66" s="12">
        <v>5.5</v>
      </c>
      <c r="J66" s="12">
        <v>5.5</v>
      </c>
      <c r="K66" s="12">
        <v>5.25</v>
      </c>
      <c r="L66" s="12">
        <v>6.74</v>
      </c>
      <c r="M66" s="12">
        <v>6.74</v>
      </c>
      <c r="N66" s="13">
        <v>18393589</v>
      </c>
      <c r="O66" s="12">
        <v>91048265</v>
      </c>
      <c r="P66" s="37">
        <v>19.850000000000001</v>
      </c>
      <c r="Q66" s="46">
        <v>4.45</v>
      </c>
      <c r="R66" s="37">
        <v>2871168</v>
      </c>
      <c r="S66" s="37" t="s">
        <v>42</v>
      </c>
      <c r="T66" s="37" t="s">
        <v>44</v>
      </c>
      <c r="U66" s="38">
        <v>2</v>
      </c>
      <c r="V66" s="46">
        <v>4</v>
      </c>
      <c r="W66" s="39">
        <v>5.4</v>
      </c>
      <c r="X66" s="46">
        <v>65</v>
      </c>
      <c r="Y66" s="40">
        <f>Table133[[#This Row],[Time until ideal entry + 390 (6:30)]]/(1440)</f>
        <v>0.27361111111111114</v>
      </c>
      <c r="Z66" s="18">
        <f>(F66-D66)/D66</f>
        <v>0.57655502392344504</v>
      </c>
      <c r="AA66" s="18">
        <f>IF(Table133[[#This Row],[HOD AFTER PM HI]]&gt;=Table133[[#This Row],[PM Hi]],((Table133[[#This Row],[HOD AFTER PM HI]]-Table133[[#This Row],[Prior day close]])/Table133[[#This Row],[Prior day close]]),Table133[[#This Row],[Prior Close to PM Hi %]])</f>
        <v>0.61244019138756001</v>
      </c>
      <c r="AB66" s="42">
        <f>(Table133[[#This Row],[Price at hi of squeeze]]-Table133[[#This Row],[MKT Open Price]])/Table133[[#This Row],[MKT Open Price]]</f>
        <v>0.22545454545454549</v>
      </c>
      <c r="AC66" s="18">
        <f>(Table133[[#This Row],[Price at hi of squeeze]]-Table133[[#This Row],[PM Hi]])/Table133[[#This Row],[PM Hi]]</f>
        <v>2.2761760242792164E-2</v>
      </c>
      <c r="AD66" s="18"/>
      <c r="AE66" s="20">
        <f>Table133[[#This Row],[PM VOL]]/1000000/Table133[[#This Row],[FLOAT(M)]]</f>
        <v>0.64520629213483138</v>
      </c>
      <c r="AF66" s="23">
        <f>(Table133[[#This Row],[Volume]]/1000000)/Table133[[#This Row],[FLOAT(M)]]</f>
        <v>4.1333907865168538</v>
      </c>
      <c r="AH66" s="18">
        <f>(Table133[[#This Row],[PM Hi]]-Table133[[#This Row],[MKT Open Price]])/(Table133[[#This Row],[PM Hi]])</f>
        <v>0.16540212443095598</v>
      </c>
      <c r="AI66" s="16">
        <f>IF(Table133[[#This Row],[PM LO]]&gt;Table133[[#This Row],[Prior day close]],(Table133[[#This Row],[PM Hi]]-Table133[[#This Row],[MKT Open Price]])/(Table133[[#This Row],[PM Hi]]-Table133[[#This Row],[Prior day close]]),(Table133[[#This Row],[PM Hi]]-Table133[[#This Row],[MKT Open Price]])/(Table133[[#This Row],[PM Hi]]-Table133[[#This Row],[PM LO]]))</f>
        <v>0.42913385826771649</v>
      </c>
      <c r="AJ66" s="48">
        <f>IF(Table133[[#This Row],[Prior day close]]&lt;Table133[[#This Row],[PM LO]],(I66-K66)/(I66-Table133[[#This Row],[Prior day close]]),(I66-K66)/(I66-Table133[[#This Row],[PM LO]]))</f>
        <v>0.17241379310344826</v>
      </c>
      <c r="AK66" s="48">
        <f>Table133[[#This Row],[Spike % on open before drop]]+AL66</f>
        <v>4.5454545454545456E-2</v>
      </c>
      <c r="AL66" s="16">
        <f>(I66-K66)/I66</f>
        <v>4.5454545454545456E-2</v>
      </c>
      <c r="AM66" s="16"/>
      <c r="AN66" s="48">
        <f>IF(Table133[[#This Row],[Prior day close]]&lt;=Table133[[#This Row],[PM LO]],IF($J66&gt;=$F66,($J66-$K66)/($J66-Table133[[#This Row],[Prior day close]]),(IF($H66&lt;=$K66,($F66-$H66)/($F66-Table133[[#This Row],[Prior day close]]),(Table133[[#This Row],[PM Hi]]-Table133[[#This Row],[Lowest lo from open to squeeze]])/(Table133[[#This Row],[PM Hi]]-Table133[[#This Row],[Prior day close]])))),IF($J66&gt;=$F66,($J66-$K66)/($J66-Table133[[#This Row],[PM LO]]),(IF($H66&lt;=$K66,($F66-$H66)/($F66-Table133[[#This Row],[PM LO]]),(Table133[[#This Row],[PM Hi]]-Table133[[#This Row],[Lowest lo from open to squeeze]])/(Table133[[#This Row],[PM Hi]]-Table133[[#This Row],[PM LO]])))))</f>
        <v>0.52755905511811019</v>
      </c>
      <c r="AO66" s="18"/>
      <c r="AP66" s="17">
        <f>390+Table133[[#This Row],[Time until ideal entry point (mins) from open]]</f>
        <v>394</v>
      </c>
      <c r="AQ66" s="51">
        <f>(Table133[[#This Row],[Time until ideal entry + 390 (6:30)]]+Table133[[#This Row],[Duration of frontside (mins)]])/1440</f>
        <v>0.31874999999999998</v>
      </c>
    </row>
    <row r="67" spans="1:43" x14ac:dyDescent="0.25">
      <c r="A67" s="24" t="s">
        <v>224</v>
      </c>
      <c r="B67" s="47">
        <v>43937</v>
      </c>
      <c r="C67" s="47" t="s">
        <v>78</v>
      </c>
      <c r="D67" s="12">
        <v>4.53</v>
      </c>
      <c r="E67" s="13">
        <f>Table133[[#This Row],[Prior day close]]</f>
        <v>4.53</v>
      </c>
      <c r="F67" s="12">
        <v>8.1300000000000008</v>
      </c>
      <c r="G67" s="12">
        <v>4.6399999999999997</v>
      </c>
      <c r="H67" s="12">
        <v>6.81</v>
      </c>
      <c r="I67" s="12">
        <v>7.85</v>
      </c>
      <c r="J67" s="12">
        <v>8.7799999999999994</v>
      </c>
      <c r="K67" s="12">
        <v>6.94</v>
      </c>
      <c r="L67" s="12">
        <v>8.7799999999999994</v>
      </c>
      <c r="M67" s="12">
        <v>8.26</v>
      </c>
      <c r="N67" s="13">
        <v>14971394</v>
      </c>
      <c r="O67" s="12">
        <v>91699788</v>
      </c>
      <c r="P67" s="37">
        <v>26</v>
      </c>
      <c r="Q67" s="46"/>
      <c r="R67" s="37">
        <v>1491555</v>
      </c>
      <c r="S67" s="37" t="s">
        <v>42</v>
      </c>
      <c r="T67" s="37" t="s">
        <v>44</v>
      </c>
      <c r="U67" s="38">
        <v>14</v>
      </c>
      <c r="V67" s="46">
        <v>14</v>
      </c>
      <c r="W67" s="37">
        <v>7.07</v>
      </c>
      <c r="X67" s="46">
        <v>7</v>
      </c>
      <c r="Y67" s="41">
        <f>Table133[[#This Row],[Time until ideal entry + 390 (6:30)]]/(1440)</f>
        <v>0.28055555555555556</v>
      </c>
      <c r="Z67" s="18">
        <f>(F67-D67)/D67</f>
        <v>0.79470198675496695</v>
      </c>
      <c r="AA67" s="18">
        <f>IF(Table133[[#This Row],[HOD AFTER PM HI]]&gt;=Table133[[#This Row],[PM Hi]],((Table133[[#This Row],[HOD AFTER PM HI]]-Table133[[#This Row],[Prior day close]])/Table133[[#This Row],[Prior day close]]),Table133[[#This Row],[Prior Close to PM Hi %]])</f>
        <v>0.93818984547461348</v>
      </c>
      <c r="AB67" s="42">
        <f>(Table133[[#This Row],[Price at hi of squeeze]]-Table133[[#This Row],[MKT Open Price]])/Table133[[#This Row],[MKT Open Price]]</f>
        <v>5.2229299363057348E-2</v>
      </c>
      <c r="AC67" s="18">
        <f>(Table133[[#This Row],[Price at hi of squeeze]]-Table133[[#This Row],[PM Hi]])/Table133[[#This Row],[PM Hi]]</f>
        <v>1.5990159901598893E-2</v>
      </c>
      <c r="AD67" s="18"/>
      <c r="AE67" s="20" t="e">
        <f>Table133[[#This Row],[PM VOL]]/1000000/Table133[[#This Row],[FLOAT(M)]]</f>
        <v>#DIV/0!</v>
      </c>
      <c r="AF67" s="23" t="e">
        <f>(Table133[[#This Row],[Volume]]/1000000)/Table133[[#This Row],[FLOAT(M)]]</f>
        <v>#DIV/0!</v>
      </c>
      <c r="AH67" s="18">
        <f>(Table133[[#This Row],[PM Hi]]-Table133[[#This Row],[MKT Open Price]])/(Table133[[#This Row],[PM Hi]])</f>
        <v>3.4440344403444172E-2</v>
      </c>
      <c r="AI67" s="18">
        <f>IF(Table133[[#This Row],[PM LO]]&gt;Table133[[#This Row],[Prior day close]],(Table133[[#This Row],[PM Hi]]-Table133[[#This Row],[MKT Open Price]])/(Table133[[#This Row],[PM Hi]]-Table133[[#This Row],[Prior day close]]),(Table133[[#This Row],[PM Hi]]-Table133[[#This Row],[MKT Open Price]])/(Table133[[#This Row],[PM Hi]]-Table133[[#This Row],[PM LO]]))</f>
        <v>7.7777777777778084E-2</v>
      </c>
      <c r="AJ67" s="48">
        <f>IF(Table133[[#This Row],[Prior day close]]&lt;Table133[[#This Row],[PM LO]],(I67-K67)/(I67-Table133[[#This Row],[Prior day close]]),(I67-K67)/(I67-Table133[[#This Row],[PM LO]]))</f>
        <v>0.27409638554216847</v>
      </c>
      <c r="AK67" s="48">
        <f>Table133[[#This Row],[Spike % on open before drop]]+AL67</f>
        <v>0.1159235668789808</v>
      </c>
      <c r="AL67" s="16">
        <f>(I67-K67)/I67</f>
        <v>0.1159235668789808</v>
      </c>
      <c r="AM67" s="18">
        <f>IF($J67&gt;=$F67,($J67-$K67)/($J67),(IF($H67&lt;=$K67,($F67-$H67)/($F67),(Table133[[#This Row],[PM Hi]]-Table133[[#This Row],[Lowest lo from open to squeeze]])/(Table133[[#This Row],[PM Hi]]))))</f>
        <v>0.20956719817767644</v>
      </c>
      <c r="AN67" s="48">
        <f>IF(Table133[[#This Row],[Prior day close]]&lt;=Table133[[#This Row],[PM LO]],IF($J67&gt;=$F67,($J67-$K67)/($J67-Table133[[#This Row],[Prior day close]]),(IF($H67&lt;=$K67,($F67-$H67)/($F67-Table133[[#This Row],[Prior day close]]),(Table133[[#This Row],[PM Hi]]-Table133[[#This Row],[Lowest lo from open to squeeze]])/(Table133[[#This Row],[PM Hi]]-Table133[[#This Row],[Prior day close]])))),IF($J67&gt;=$F67,($J67-$K67)/($J67-Table133[[#This Row],[PM LO]]),(IF($H67&lt;=$K67,($F67-$H67)/($F67-Table133[[#This Row],[PM LO]]),(Table133[[#This Row],[PM Hi]]-Table133[[#This Row],[Lowest lo from open to squeeze]])/(Table133[[#This Row],[PM Hi]]-Table133[[#This Row],[PM LO]])))))</f>
        <v>0.43294117647058811</v>
      </c>
      <c r="AO67" s="18">
        <f>IF(J67&gt;=F67,(J67-K67)/(J67-D67),(IF(H67&lt;=K67,(F67-H67)/(F67-D67),(Table133[[#This Row],[PM Hi]]-Table133[[#This Row],[Lowest lo from open to squeeze]])/(Table133[[#This Row],[PM Hi]]-Table133[[#This Row],[Prior day close]]))))</f>
        <v>0.43294117647058811</v>
      </c>
      <c r="AP67" s="17">
        <f>390+Table133[[#This Row],[Time until ideal entry point (mins) from open]]</f>
        <v>404</v>
      </c>
      <c r="AQ67" s="17">
        <f>Table133[[#This Row],[Time until ideal entry + 390 (6:30)]]+Table133[[#This Row],[Duration of frontside (mins)]]</f>
        <v>411</v>
      </c>
    </row>
    <row r="68" spans="1:43" x14ac:dyDescent="0.25">
      <c r="A68" s="10" t="s">
        <v>94</v>
      </c>
      <c r="B68" s="11">
        <v>43993</v>
      </c>
      <c r="C68" s="47" t="s">
        <v>78</v>
      </c>
      <c r="D68" s="12">
        <v>4.53</v>
      </c>
      <c r="E68" s="13">
        <v>4.5</v>
      </c>
      <c r="F68" s="12">
        <v>15.5</v>
      </c>
      <c r="G68" s="12">
        <v>3.03</v>
      </c>
      <c r="H68" s="12">
        <v>8.52</v>
      </c>
      <c r="I68" s="12">
        <v>11</v>
      </c>
      <c r="J68" s="12">
        <v>12.5</v>
      </c>
      <c r="K68" s="12">
        <v>7.5</v>
      </c>
      <c r="L68" s="12">
        <v>15.39</v>
      </c>
      <c r="M68" s="12">
        <v>15.39</v>
      </c>
      <c r="N68" s="13">
        <v>64708377</v>
      </c>
      <c r="O68" s="12">
        <v>445008023</v>
      </c>
      <c r="P68" s="13">
        <v>9.66</v>
      </c>
      <c r="Q68">
        <v>1.18</v>
      </c>
      <c r="R68" s="13">
        <v>4484811</v>
      </c>
      <c r="S68" s="13" t="s">
        <v>42</v>
      </c>
      <c r="T68" t="s">
        <v>44</v>
      </c>
      <c r="U68">
        <v>38</v>
      </c>
      <c r="V68">
        <v>39</v>
      </c>
      <c r="W68">
        <v>7.79</v>
      </c>
      <c r="X68">
        <v>20</v>
      </c>
      <c r="Y68" s="15">
        <f>Table133[[#This Row],[Time until ideal entry + 390 (6:30)]]/(1440)</f>
        <v>0.29791666666666666</v>
      </c>
      <c r="Z68" s="18">
        <f>(F68-D68)/D68</f>
        <v>2.4216335540838849</v>
      </c>
      <c r="AA68" s="18">
        <f>IF(Table133[[#This Row],[HOD AFTER PM HI]]&gt;=Table133[[#This Row],[PM Hi]],((Table133[[#This Row],[HOD AFTER PM HI]]-Table133[[#This Row],[Prior day close]])/Table133[[#This Row],[Prior day close]]),Table133[[#This Row],[Prior Close to PM Hi %]])</f>
        <v>2.4216335540838849</v>
      </c>
      <c r="AB68" s="18">
        <f>(Table133[[#This Row],[Price at hi of squeeze]]-Table133[[#This Row],[MKT Open Price]])/Table133[[#This Row],[MKT Open Price]]</f>
        <v>0.39909090909090916</v>
      </c>
      <c r="AC68" s="18">
        <f>(Table133[[#This Row],[Price at hi of squeeze]]-Table133[[#This Row],[PM Hi]])/Table133[[#This Row],[PM Hi]]</f>
        <v>-7.0967741935483502E-3</v>
      </c>
      <c r="AD68" s="18">
        <f>(M68-K68)/K68</f>
        <v>1.052</v>
      </c>
      <c r="AE68" s="20">
        <f>Table133[[#This Row],[PM VOL]]/1000000/Table133[[#This Row],[FLOAT(M)]]</f>
        <v>3.8006872881355931</v>
      </c>
      <c r="AF68" s="21">
        <f>(Table133[[#This Row],[Volume]]/1000000)/Table133[[#This Row],[FLOAT(M)]]</f>
        <v>54.837607627118643</v>
      </c>
      <c r="AG68" s="18">
        <f>(Table133[[#This Row],[Hi of Spike after open before drop]]-Table133[[#This Row],[MKT Open Price]])/Table133[[#This Row],[MKT Open Price]]</f>
        <v>0.13636363636363635</v>
      </c>
      <c r="AH68" s="18">
        <f>(Table133[[#This Row],[PM Hi]]-Table133[[#This Row],[MKT Open Price]])/(Table133[[#This Row],[PM Hi]])</f>
        <v>0.29032258064516131</v>
      </c>
      <c r="AI68" s="16">
        <f>IF(Table133[[#This Row],[PM LO]]&gt;Table133[[#This Row],[Prior day close]],(Table133[[#This Row],[PM Hi]]-Table133[[#This Row],[MKT Open Price]])/(Table133[[#This Row],[PM Hi]]-Table133[[#This Row],[Prior day close]]),(Table133[[#This Row],[PM Hi]]-Table133[[#This Row],[MKT Open Price]])/(Table133[[#This Row],[PM Hi]]-Table133[[#This Row],[PM LO]]))</f>
        <v>0.36086607858861264</v>
      </c>
      <c r="AJ68" s="16">
        <f>IF(Table133[[#This Row],[Prior day close]]&lt;Table133[[#This Row],[PM LO]],(I68-K68)/(I68-Table133[[#This Row],[Prior day close]]),(I68-K68)/(I68-Table133[[#This Row],[PM LO]]))</f>
        <v>0.43914680050188204</v>
      </c>
      <c r="AK68" s="16">
        <f>Table133[[#This Row],[Spike % on open before drop]]+AL68</f>
        <v>0.45454545454545453</v>
      </c>
      <c r="AL68" s="16">
        <f>(I68-K68)/I68</f>
        <v>0.31818181818181818</v>
      </c>
      <c r="AM68" s="18">
        <f>IF($J68&gt;=$F68,($J68-$K68)/($J68),(IF($H68&lt;=$K68,($F68-$H68)/($F68),(Table133[[#This Row],[PM Hi]]-Table133[[#This Row],[Lowest lo from open to squeeze]])/(Table133[[#This Row],[PM Hi]]))))</f>
        <v>0.5161290322580645</v>
      </c>
      <c r="AN68" s="18">
        <f>IF(Table133[[#This Row],[Prior day close]]&lt;=Table133[[#This Row],[PM LO]],IF($J68&gt;=$F68,($J68-$K68)/($J68-Table133[[#This Row],[Prior day close]]),(IF($H68&lt;=$K68,($F68-$H68)/($F68-Table133[[#This Row],[Prior day close]]),(Table133[[#This Row],[PM Hi]]-Table133[[#This Row],[Lowest lo from open to squeeze]])/(Table133[[#This Row],[PM Hi]]-Table133[[#This Row],[Prior day close]])))),IF($J68&gt;=$F68,($J68-$K68)/($J68-Table133[[#This Row],[PM LO]]),(IF($H68&lt;=$K68,($F68-$H68)/($F68-Table133[[#This Row],[PM LO]]),(Table133[[#This Row],[PM Hi]]-Table133[[#This Row],[Lowest lo from open to squeeze]])/(Table133[[#This Row],[PM Hi]]-Table133[[#This Row],[PM LO]])))))</f>
        <v>0.64153969526864474</v>
      </c>
      <c r="AO68" s="18">
        <f>IF(J68&gt;=F68,(J68-K68)/(J68-D68),(IF(H68&lt;=K68,(F68-H68)/(F68-D68),(Table133[[#This Row],[PM Hi]]-Table133[[#This Row],[Lowest lo from open to squeeze]])/(Table133[[#This Row],[PM Hi]]-Table133[[#This Row],[Prior day close]]))))</f>
        <v>0.72926162260711036</v>
      </c>
      <c r="AP68" s="17">
        <f>390+Table133[[#This Row],[Time until ideal entry point (mins) from open]]</f>
        <v>429</v>
      </c>
      <c r="AQ68" s="51">
        <f>(Table133[[#This Row],[Time until ideal entry + 390 (6:30)]]+Table133[[#This Row],[Duration of frontside (mins)]])/1440</f>
        <v>0.31180555555555556</v>
      </c>
    </row>
    <row r="69" spans="1:43" x14ac:dyDescent="0.25">
      <c r="A69" s="25" t="s">
        <v>51</v>
      </c>
      <c r="B69" s="11">
        <v>43532</v>
      </c>
      <c r="C69" s="47" t="s">
        <v>78</v>
      </c>
      <c r="D69" s="12">
        <v>4.67</v>
      </c>
      <c r="E69" s="13">
        <v>4.79</v>
      </c>
      <c r="F69" s="12">
        <v>9.6999999999999993</v>
      </c>
      <c r="G69" s="12">
        <v>4.24</v>
      </c>
      <c r="H69" s="12">
        <v>8.6</v>
      </c>
      <c r="I69" s="12">
        <v>8.9</v>
      </c>
      <c r="J69" s="12">
        <v>8.9600000000000009</v>
      </c>
      <c r="K69" s="12">
        <v>6.53</v>
      </c>
      <c r="L69" s="12">
        <v>9.65</v>
      </c>
      <c r="M69" s="12">
        <v>9.65</v>
      </c>
      <c r="N69" s="13">
        <v>28558128</v>
      </c>
      <c r="O69" s="12">
        <v>122533509</v>
      </c>
      <c r="P69" s="13">
        <f>1.97*4.7</f>
        <v>9.2590000000000003</v>
      </c>
      <c r="Q69" s="13">
        <v>1.97</v>
      </c>
      <c r="R69" s="13">
        <v>2814049</v>
      </c>
      <c r="S69" s="13" t="s">
        <v>44</v>
      </c>
      <c r="T69" t="s">
        <v>44</v>
      </c>
      <c r="U69">
        <v>10</v>
      </c>
      <c r="V69">
        <v>62</v>
      </c>
      <c r="W69">
        <v>6.97</v>
      </c>
      <c r="X69">
        <v>51</v>
      </c>
      <c r="Y69" s="15">
        <f>Table133[[#This Row],[Time until ideal entry + 390 (6:30)]]/(1440)</f>
        <v>0.31388888888888888</v>
      </c>
      <c r="Z69" s="18">
        <f>(F69-D69)/D69</f>
        <v>1.0770877944325481</v>
      </c>
      <c r="AA69" s="18">
        <f>IF(Table133[[#This Row],[HOD AFTER PM HI]]&gt;=Table133[[#This Row],[PM Hi]],((Table133[[#This Row],[HOD AFTER PM HI]]-Table133[[#This Row],[Prior day close]])/Table133[[#This Row],[Prior day close]]),Table133[[#This Row],[Prior Close to PM Hi %]])</f>
        <v>1.0770877944325481</v>
      </c>
      <c r="AB69" s="18">
        <f>(Table133[[#This Row],[Price at hi of squeeze]]-Table133[[#This Row],[MKT Open Price]])/Table133[[#This Row],[MKT Open Price]]</f>
        <v>8.4269662921348312E-2</v>
      </c>
      <c r="AC69" s="18">
        <f>(Table133[[#This Row],[Price at hi of squeeze]]-Table133[[#This Row],[PM Hi]])/Table133[[#This Row],[PM Hi]]</f>
        <v>-5.1546391752576226E-3</v>
      </c>
      <c r="AD69" s="18">
        <f>(M69-K69)/K69</f>
        <v>0.4777947932618683</v>
      </c>
      <c r="AE69" s="20">
        <f>Table133[[#This Row],[PM VOL]]/1000000/Table133[[#This Row],[FLOAT(M)]]</f>
        <v>1.4284512690355329</v>
      </c>
      <c r="AF69" s="23">
        <f>(Table133[[#This Row],[Volume]]/1000000)/Table133[[#This Row],[FLOAT(M)]]</f>
        <v>14.496511675126904</v>
      </c>
      <c r="AG69" s="18">
        <f>(Table133[[#This Row],[Hi of Spike after open before drop]]-Table133[[#This Row],[MKT Open Price]])/Table133[[#This Row],[MKT Open Price]]</f>
        <v>6.7415730337079208E-3</v>
      </c>
      <c r="AH69" s="18">
        <f>(Table133[[#This Row],[PM Hi]]-Table133[[#This Row],[MKT Open Price]])/(Table133[[#This Row],[PM Hi]])</f>
        <v>8.2474226804123613E-2</v>
      </c>
      <c r="AI69" s="16">
        <f>IF(Table133[[#This Row],[PM LO]]&gt;Table133[[#This Row],[Prior day close]],(Table133[[#This Row],[PM Hi]]-Table133[[#This Row],[MKT Open Price]])/(Table133[[#This Row],[PM Hi]]-Table133[[#This Row],[Prior day close]]),(Table133[[#This Row],[PM Hi]]-Table133[[#This Row],[MKT Open Price]])/(Table133[[#This Row],[PM Hi]]-Table133[[#This Row],[PM LO]]))</f>
        <v>0.14652014652014636</v>
      </c>
      <c r="AJ69" s="16">
        <f>IF(Table133[[#This Row],[Prior day close]]&lt;Table133[[#This Row],[PM LO]],(I69-K69)/(I69-Table133[[#This Row],[Prior day close]]),(I69-K69)/(I69-Table133[[#This Row],[PM LO]]))</f>
        <v>0.50858369098712453</v>
      </c>
      <c r="AK69" s="16">
        <f>Table133[[#This Row],[Spike % on open before drop]]+AL69</f>
        <v>0.27303370786516862</v>
      </c>
      <c r="AL69" s="16">
        <f>(I69-K69)/I69</f>
        <v>0.26629213483146069</v>
      </c>
      <c r="AM69" s="18">
        <f>IF($J69&gt;=$F69,($J69-$K69)/($J69-$D69),(IF($H69&lt;=$K69,($F69-$H69)/($F69-$D69),(Table133[[#This Row],[PM Hi]]-Table133[[#This Row],[Lowest lo from open to squeeze]])/(Table133[[#This Row],[PM Hi]]-Table133[[#This Row],[Prior day close]]))))</f>
        <v>0.63021868787276336</v>
      </c>
      <c r="AN69" s="18">
        <f>IF(Table133[[#This Row],[Prior day close]]&lt;=Table133[[#This Row],[PM LO]],IF($J69&gt;=$F69,($J69-$K69)/($J69-Table133[[#This Row],[Prior day close]]),(IF($H69&lt;=$K69,($F69-$H69)/($F69-Table133[[#This Row],[Prior day close]]),(Table133[[#This Row],[PM Hi]]-Table133[[#This Row],[Lowest lo from open to squeeze]])/(Table133[[#This Row],[PM Hi]]-Table133[[#This Row],[Prior day close]])))),IF($J69&gt;=$F69,($J69-$K69)/($J69-Table133[[#This Row],[PM LO]]),(IF($H69&lt;=$K69,($F69-$H69)/($F69-Table133[[#This Row],[PM LO]]),(Table133[[#This Row],[PM Hi]]-Table133[[#This Row],[Lowest lo from open to squeeze]])/(Table133[[#This Row],[PM Hi]]-Table133[[#This Row],[PM LO]])))))</f>
        <v>0.58058608058608052</v>
      </c>
      <c r="AO69" s="18">
        <f>3.14/5.02</f>
        <v>0.6254980079681276</v>
      </c>
      <c r="AP69" s="17">
        <f>390+Table133[[#This Row],[Time until ideal entry point (mins) from open]]</f>
        <v>452</v>
      </c>
      <c r="AQ69" s="51">
        <f>(Table133[[#This Row],[Time until ideal entry + 390 (6:30)]]+Table133[[#This Row],[Duration of frontside (mins)]])/1440</f>
        <v>0.34930555555555554</v>
      </c>
    </row>
    <row r="70" spans="1:43" x14ac:dyDescent="0.25">
      <c r="A70" s="10" t="s">
        <v>113</v>
      </c>
      <c r="B70" s="11">
        <v>44029</v>
      </c>
      <c r="C70" s="47" t="s">
        <v>78</v>
      </c>
      <c r="D70" s="12">
        <v>4.7300000000000004</v>
      </c>
      <c r="E70" s="13">
        <v>5.75</v>
      </c>
      <c r="F70" s="12">
        <v>10.83</v>
      </c>
      <c r="G70" s="12">
        <v>5.75</v>
      </c>
      <c r="H70" s="12">
        <v>8.7200000000000006</v>
      </c>
      <c r="I70" s="12">
        <v>9.6300000000000008</v>
      </c>
      <c r="J70" s="12">
        <v>9.98</v>
      </c>
      <c r="K70" s="12">
        <v>8</v>
      </c>
      <c r="L70" s="12">
        <v>15.71</v>
      </c>
      <c r="M70" s="12">
        <v>12.7</v>
      </c>
      <c r="N70" s="13">
        <v>95312904</v>
      </c>
      <c r="O70" s="12">
        <v>961352552</v>
      </c>
      <c r="P70" s="13">
        <v>62.98</v>
      </c>
      <c r="Q70">
        <v>5.82</v>
      </c>
      <c r="R70" s="13">
        <v>3705243</v>
      </c>
      <c r="S70" s="13"/>
      <c r="T70" t="s">
        <v>44</v>
      </c>
      <c r="U70">
        <v>24</v>
      </c>
      <c r="V70">
        <v>25</v>
      </c>
      <c r="W70">
        <v>8.14</v>
      </c>
      <c r="X70">
        <v>48</v>
      </c>
      <c r="Y70" s="15">
        <f>Table133[[#This Row],[Time until ideal entry + 390 (6:30)]]/(1440)</f>
        <v>0.28819444444444442</v>
      </c>
      <c r="Z70" s="18">
        <f>(F70-D70)/D70</f>
        <v>1.2896405919661731</v>
      </c>
      <c r="AA70" s="18">
        <f>IF(Table133[[#This Row],[HOD AFTER PM HI]]&gt;=Table133[[#This Row],[PM Hi]],((Table133[[#This Row],[HOD AFTER PM HI]]-Table133[[#This Row],[Prior day close]])/Table133[[#This Row],[Prior day close]]),Table133[[#This Row],[Prior Close to PM Hi %]])</f>
        <v>2.3213530655391121</v>
      </c>
      <c r="AB70" s="18">
        <f>(Table133[[#This Row],[Price at hi of squeeze]]-Table133[[#This Row],[MKT Open Price]])/Table133[[#This Row],[MKT Open Price]]</f>
        <v>0.31879543094496349</v>
      </c>
      <c r="AC70" s="18">
        <f>(Table133[[#This Row],[Price at hi of squeeze]]-Table133[[#This Row],[PM Hi]])/Table133[[#This Row],[PM Hi]]</f>
        <v>0.17266851338873493</v>
      </c>
      <c r="AD70" s="18">
        <f>(M70-K70)/K70</f>
        <v>0.58749999999999991</v>
      </c>
      <c r="AE70" s="20">
        <f>Table133[[#This Row],[PM VOL]]/1000000/Table133[[#This Row],[FLOAT(M)]]</f>
        <v>0.63663969072164939</v>
      </c>
      <c r="AF70" s="21">
        <f>(Table133[[#This Row],[Volume]]/1000000)/Table133[[#This Row],[FLOAT(M)]]</f>
        <v>16.37678762886598</v>
      </c>
      <c r="AG70" s="18">
        <f>(Table133[[#This Row],[Hi of Spike after open before drop]]-Table133[[#This Row],[MKT Open Price]])/Table133[[#This Row],[MKT Open Price]]</f>
        <v>3.6344755970924153E-2</v>
      </c>
      <c r="AH70" s="18">
        <f>(Table133[[#This Row],[PM Hi]]-Table133[[#This Row],[MKT Open Price]])/(Table133[[#This Row],[PM Hi]])</f>
        <v>0.11080332409972292</v>
      </c>
      <c r="AI70" s="16">
        <f>IF(Table133[[#This Row],[PM LO]]&gt;Table133[[#This Row],[Prior day close]],(Table133[[#This Row],[PM Hi]]-Table133[[#This Row],[MKT Open Price]])/(Table133[[#This Row],[PM Hi]]-Table133[[#This Row],[Prior day close]]),(Table133[[#This Row],[PM Hi]]-Table133[[#This Row],[MKT Open Price]])/(Table133[[#This Row],[PM Hi]]-Table133[[#This Row],[PM LO]]))</f>
        <v>0.19672131147540972</v>
      </c>
      <c r="AJ70" s="16">
        <f>IF(Table133[[#This Row],[Prior day close]]&lt;Table133[[#This Row],[PM LO]],(I70-K70)/(I70-Table133[[#This Row],[Prior day close]]),(I70-K70)/(I70-Table133[[#This Row],[PM LO]]))</f>
        <v>0.33265306122448995</v>
      </c>
      <c r="AK70" s="16">
        <f>Table133[[#This Row],[Spike % on open before drop]]+AL70</f>
        <v>0.20560747663551404</v>
      </c>
      <c r="AL70" s="16">
        <f>(I70-K70)/I70</f>
        <v>0.16926272066458989</v>
      </c>
      <c r="AM70" s="18">
        <f>IF($J70&gt;=$F70,($J70-$K70)/($J70),(IF($H70&lt;=$K70,($F70-$H70)/($F70),(Table133[[#This Row],[PM Hi]]-Table133[[#This Row],[Lowest lo from open to squeeze]])/(Table133[[#This Row],[PM Hi]]))))</f>
        <v>0.26131117266851339</v>
      </c>
      <c r="AN70" s="18">
        <f>IF(Table133[[#This Row],[Prior day close]]&lt;=Table133[[#This Row],[PM LO]],IF($J70&gt;=$F70,($J70-$K70)/($J70-Table133[[#This Row],[Prior day close]]),(IF($H70&lt;=$K70,($F70-$H70)/($F70-Table133[[#This Row],[Prior day close]]),(Table133[[#This Row],[PM Hi]]-Table133[[#This Row],[Lowest lo from open to squeeze]])/(Table133[[#This Row],[PM Hi]]-Table133[[#This Row],[Prior day close]])))),IF($J70&gt;=$F70,($J70-$K70)/($J70-Table133[[#This Row],[PM LO]]),(IF($H70&lt;=$K70,($F70-$H70)/($F70-Table133[[#This Row],[PM LO]]),(Table133[[#This Row],[PM Hi]]-Table133[[#This Row],[Lowest lo from open to squeeze]])/(Table133[[#This Row],[PM Hi]]-Table133[[#This Row],[PM LO]])))))</f>
        <v>0.46393442622950826</v>
      </c>
      <c r="AO70" s="18">
        <f>IF(J70&gt;=F70,(J70-K70)/(J70-D70),(IF(H70&lt;=K70,(F70-H70)/(F70-D70),(Table133[[#This Row],[PM Hi]]-Table133[[#This Row],[Lowest lo from open to squeeze]])/(Table133[[#This Row],[PM Hi]]-Table133[[#This Row],[Prior day close]]))))</f>
        <v>0.46393442622950826</v>
      </c>
      <c r="AP70" s="17">
        <f>390+Table133[[#This Row],[Time until ideal entry point (mins) from open]]</f>
        <v>415</v>
      </c>
      <c r="AQ70" s="51">
        <f>(Table133[[#This Row],[Time until ideal entry + 390 (6:30)]]+Table133[[#This Row],[Duration of frontside (mins)]])/1440</f>
        <v>0.3215277777777778</v>
      </c>
    </row>
    <row r="71" spans="1:43" x14ac:dyDescent="0.25">
      <c r="A71" s="25" t="s">
        <v>59</v>
      </c>
      <c r="B71" s="11">
        <v>43839</v>
      </c>
      <c r="C71" s="47" t="s">
        <v>78</v>
      </c>
      <c r="D71" s="12">
        <v>4.9000000000000004</v>
      </c>
      <c r="E71" s="13">
        <v>4.41</v>
      </c>
      <c r="F71" s="12">
        <v>7.75</v>
      </c>
      <c r="G71" s="12">
        <v>4.41</v>
      </c>
      <c r="H71" s="12">
        <v>5.13</v>
      </c>
      <c r="I71" s="12">
        <v>6.65</v>
      </c>
      <c r="J71" s="12">
        <v>6.69</v>
      </c>
      <c r="K71" s="12">
        <v>6.2</v>
      </c>
      <c r="L71" s="12">
        <v>9.5</v>
      </c>
      <c r="M71" s="12">
        <v>7.15</v>
      </c>
      <c r="N71" s="13">
        <v>41847146</v>
      </c>
      <c r="O71" s="12">
        <v>341730596</v>
      </c>
      <c r="P71" s="13">
        <v>76</v>
      </c>
      <c r="Q71" s="13">
        <v>18.03</v>
      </c>
      <c r="R71" s="13">
        <v>2608684</v>
      </c>
      <c r="S71" s="13" t="s">
        <v>44</v>
      </c>
      <c r="T71" t="s">
        <v>44</v>
      </c>
      <c r="U71">
        <v>8</v>
      </c>
      <c r="V71">
        <v>8</v>
      </c>
      <c r="W71">
        <v>6.41</v>
      </c>
      <c r="X71">
        <v>7</v>
      </c>
      <c r="Y71" s="15">
        <f>Table133[[#This Row],[Time until ideal entry + 390 (6:30)]]/(1440)</f>
        <v>0.27638888888888891</v>
      </c>
      <c r="Z71" s="18">
        <f>(F71-D71)/D71</f>
        <v>0.58163265306122436</v>
      </c>
      <c r="AA71" s="18">
        <f>IF(Table133[[#This Row],[HOD AFTER PM HI]]&gt;=Table133[[#This Row],[PM Hi]],((Table133[[#This Row],[HOD AFTER PM HI]]-Table133[[#This Row],[Prior day close]])/Table133[[#This Row],[Prior day close]]),Table133[[#This Row],[Prior Close to PM Hi %]])</f>
        <v>0.93877551020408145</v>
      </c>
      <c r="AB71" s="18">
        <f>(Table133[[#This Row],[Price at hi of squeeze]]-Table133[[#This Row],[MKT Open Price]])/Table133[[#This Row],[MKT Open Price]]</f>
        <v>7.5187969924812026E-2</v>
      </c>
      <c r="AC71" s="18">
        <f>(Table133[[#This Row],[Price at hi of squeeze]]-Table133[[#This Row],[PM Hi]])/Table133[[#This Row],[PM Hi]]</f>
        <v>-7.7419354838709625E-2</v>
      </c>
      <c r="AD71" s="18">
        <f>(M71-K71)/K71</f>
        <v>0.15322580645161293</v>
      </c>
      <c r="AE71" s="20">
        <f>Table133[[#This Row],[PM VOL]]/1000000/Table133[[#This Row],[FLOAT(M)]]</f>
        <v>0.144685745978924</v>
      </c>
      <c r="AF71" s="23">
        <f>(Table133[[#This Row],[Volume]]/1000000)/Table133[[#This Row],[FLOAT(M)]]</f>
        <v>2.3209731558513589</v>
      </c>
      <c r="AG71" s="18">
        <f>(Table133[[#This Row],[Hi of Spike after open before drop]]-Table133[[#This Row],[MKT Open Price]])/Table133[[#This Row],[MKT Open Price]]</f>
        <v>6.0150375939849671E-3</v>
      </c>
      <c r="AH71" s="18">
        <f>(Table133[[#This Row],[PM Hi]]-Table133[[#This Row],[MKT Open Price]])/(Table133[[#This Row],[PM Hi]])</f>
        <v>0.14193548387096769</v>
      </c>
      <c r="AI71" s="16">
        <f>IF(Table133[[#This Row],[PM LO]]&gt;Table133[[#This Row],[Prior day close]],(Table133[[#This Row],[PM Hi]]-Table133[[#This Row],[MKT Open Price]])/(Table133[[#This Row],[PM Hi]]-Table133[[#This Row],[Prior day close]]),(Table133[[#This Row],[PM Hi]]-Table133[[#This Row],[MKT Open Price]])/(Table133[[#This Row],[PM Hi]]-Table133[[#This Row],[PM LO]]))</f>
        <v>0.32934131736526939</v>
      </c>
      <c r="AJ71" s="16">
        <f>IF(Table133[[#This Row],[Prior day close]]&lt;Table133[[#This Row],[PM LO]],(I71-K71)/(I71-Table133[[#This Row],[Prior day close]]),(I71-K71)/(I71-Table133[[#This Row],[PM LO]]))</f>
        <v>0.20089285714285721</v>
      </c>
      <c r="AK71" s="16">
        <f>Table133[[#This Row],[Spike % on open before drop]]+AL71</f>
        <v>7.3684210526315824E-2</v>
      </c>
      <c r="AL71" s="16">
        <f>(I71-K71)/I71</f>
        <v>6.7669172932330851E-2</v>
      </c>
      <c r="AM71" s="18">
        <f>IF($J71&gt;=$F71,($J71-$K71)/($J71-$D71),(IF($H71&lt;=$K71,($F71-$H71)/($F71-$D71),(Table133[[#This Row],[PM Hi]]-Table133[[#This Row],[Lowest lo from open to squeeze]])/(Table133[[#This Row],[PM Hi]]-Table133[[#This Row],[Prior day close]]))))</f>
        <v>0.91929824561403528</v>
      </c>
      <c r="AN71" s="18">
        <f>IF(Table133[[#This Row],[Prior day close]]&lt;=Table133[[#This Row],[PM LO]],IF($J71&gt;=$F71,($J71-$K71)/($J71-Table133[[#This Row],[Prior day close]]),(IF($H71&lt;=$K71,($F71-$H71)/($F71-Table133[[#This Row],[Prior day close]]),(Table133[[#This Row],[PM Hi]]-Table133[[#This Row],[Lowest lo from open to squeeze]])/(Table133[[#This Row],[PM Hi]]-Table133[[#This Row],[Prior day close]])))),IF($J71&gt;=$F71,($J71-$K71)/($J71-Table133[[#This Row],[PM LO]]),(IF($H71&lt;=$K71,($F71-$H71)/($F71-Table133[[#This Row],[PM LO]]),(Table133[[#This Row],[PM Hi]]-Table133[[#This Row],[Lowest lo from open to squeeze]])/(Table133[[#This Row],[PM Hi]]-Table133[[#This Row],[PM LO]])))))</f>
        <v>0.78443113772455098</v>
      </c>
      <c r="AO71" s="18">
        <f>2.6/2.86</f>
        <v>0.90909090909090917</v>
      </c>
      <c r="AP71" s="17">
        <f>390+Table133[[#This Row],[Time until ideal entry point (mins) from open]]</f>
        <v>398</v>
      </c>
      <c r="AQ71" s="51">
        <f>(Table133[[#This Row],[Time until ideal entry + 390 (6:30)]]+Table133[[#This Row],[Duration of frontside (mins)]])/1440</f>
        <v>0.28125</v>
      </c>
    </row>
    <row r="72" spans="1:43" x14ac:dyDescent="0.25">
      <c r="A72" s="10" t="s">
        <v>75</v>
      </c>
      <c r="B72" s="11">
        <v>43948</v>
      </c>
      <c r="C72" s="47" t="s">
        <v>78</v>
      </c>
      <c r="D72" s="12">
        <v>5.15</v>
      </c>
      <c r="E72" s="13">
        <v>5.69</v>
      </c>
      <c r="F72" s="12">
        <v>8</v>
      </c>
      <c r="G72" s="12">
        <v>5.53</v>
      </c>
      <c r="H72" s="12">
        <v>6.28</v>
      </c>
      <c r="I72" s="12">
        <v>7.21</v>
      </c>
      <c r="J72" s="12">
        <v>7.55</v>
      </c>
      <c r="K72" s="12">
        <v>6.28</v>
      </c>
      <c r="L72" s="12">
        <v>10.15</v>
      </c>
      <c r="M72" s="12">
        <v>9.08</v>
      </c>
      <c r="N72" s="13">
        <v>33905783</v>
      </c>
      <c r="O72" s="12">
        <v>252314710</v>
      </c>
      <c r="P72" s="13">
        <v>13.5</v>
      </c>
      <c r="Q72" s="13">
        <v>1.92</v>
      </c>
      <c r="R72" s="13">
        <v>446041</v>
      </c>
      <c r="S72" s="13" t="s">
        <v>44</v>
      </c>
      <c r="T72" t="s">
        <v>44</v>
      </c>
      <c r="U72">
        <v>4</v>
      </c>
      <c r="V72">
        <v>5</v>
      </c>
      <c r="W72">
        <v>6.77</v>
      </c>
      <c r="X72">
        <v>49</v>
      </c>
      <c r="Y72" s="15">
        <f>Table133[[#This Row],[Time until ideal entry + 390 (6:30)]]/(1440)</f>
        <v>0.27430555555555558</v>
      </c>
      <c r="Z72" s="18">
        <f>(F72-D72)/D72</f>
        <v>0.55339805825242705</v>
      </c>
      <c r="AA72" s="18">
        <f>IF(Table133[[#This Row],[HOD AFTER PM HI]]&gt;=Table133[[#This Row],[PM Hi]],((Table133[[#This Row],[HOD AFTER PM HI]]-Table133[[#This Row],[Prior day close]])/Table133[[#This Row],[Prior day close]]),Table133[[#This Row],[Prior Close to PM Hi %]])</f>
        <v>0.97087378640776689</v>
      </c>
      <c r="AB72" s="18">
        <f>(Table133[[#This Row],[Price at hi of squeeze]]-Table133[[#This Row],[MKT Open Price]])/Table133[[#This Row],[MKT Open Price]]</f>
        <v>0.25936199722607489</v>
      </c>
      <c r="AC72" s="18">
        <f>(Table133[[#This Row],[Price at hi of squeeze]]-Table133[[#This Row],[PM Hi]])/Table133[[#This Row],[PM Hi]]</f>
        <v>0.13500000000000001</v>
      </c>
      <c r="AD72" s="18">
        <f>(M72-K72)/K72</f>
        <v>0.44585987261146492</v>
      </c>
      <c r="AE72" s="20">
        <f>Table133[[#This Row],[PM VOL]]/1000000/Table133[[#This Row],[FLOAT(M)]]</f>
        <v>0.23231302083333336</v>
      </c>
      <c r="AF72" s="21">
        <f>(Table133[[#This Row],[Volume]]/1000000)/Table133[[#This Row],[FLOAT(M)]]</f>
        <v>17.659261979166669</v>
      </c>
      <c r="AG72" s="18">
        <f>(Table133[[#This Row],[Hi of Spike after open before drop]]-Table133[[#This Row],[MKT Open Price]])/Table133[[#This Row],[MKT Open Price]]</f>
        <v>4.7156726768377233E-2</v>
      </c>
      <c r="AH72" s="18">
        <f>(Table133[[#This Row],[PM Hi]]-Table133[[#This Row],[MKT Open Price]])/(Table133[[#This Row],[PM Hi]])</f>
        <v>9.8750000000000004E-2</v>
      </c>
      <c r="AI72" s="16">
        <f>IF(Table133[[#This Row],[PM LO]]&gt;Table133[[#This Row],[Prior day close]],(Table133[[#This Row],[PM Hi]]-Table133[[#This Row],[MKT Open Price]])/(Table133[[#This Row],[PM Hi]]-Table133[[#This Row],[Prior day close]]),(Table133[[#This Row],[PM Hi]]-Table133[[#This Row],[MKT Open Price]])/(Table133[[#This Row],[PM Hi]]-Table133[[#This Row],[PM LO]]))</f>
        <v>0.27719298245614038</v>
      </c>
      <c r="AJ72" s="16">
        <f>IF(Table133[[#This Row],[Prior day close]]&lt;Table133[[#This Row],[PM LO]],(I72-K72)/(I72-Table133[[#This Row],[Prior day close]]),(I72-K72)/(I72-Table133[[#This Row],[PM LO]]))</f>
        <v>0.45145631067961162</v>
      </c>
      <c r="AK72" s="16">
        <f>Table133[[#This Row],[Spike % on open before drop]]+AL72</f>
        <v>0.1761442441054091</v>
      </c>
      <c r="AL72" s="16">
        <f>(I72-K72)/I72</f>
        <v>0.12898751733703187</v>
      </c>
      <c r="AM72" s="18">
        <f>IF($J72&gt;=$F72,($J72-$K72)/($J72-$D72),(IF($H72&lt;=$K72,($F72-$H72)/($F72-$D72),(Table133[[#This Row],[PM Hi]]-Table133[[#This Row],[Lowest lo from open to squeeze]])/(Table133[[#This Row],[PM Hi]]-Table133[[#This Row],[Prior day close]]))))</f>
        <v>0.60350877192982455</v>
      </c>
      <c r="AN72" s="18">
        <f>IF(Table133[[#This Row],[Prior day close]]&lt;=Table133[[#This Row],[PM LO]],IF($J72&gt;=$F72,($J72-$K72)/($J72-Table133[[#This Row],[Prior day close]]),(IF($H72&lt;=$K72,($F72-$H72)/($F72-Table133[[#This Row],[Prior day close]]),(Table133[[#This Row],[PM Hi]]-Table133[[#This Row],[Lowest lo from open to squeeze]])/(Table133[[#This Row],[PM Hi]]-Table133[[#This Row],[Prior day close]])))),IF($J72&gt;=$F72,($J72-$K72)/($J72-Table133[[#This Row],[PM LO]]),(IF($H72&lt;=$K72,($F72-$H72)/($F72-Table133[[#This Row],[PM LO]]),(Table133[[#This Row],[PM Hi]]-Table133[[#This Row],[Lowest lo from open to squeeze]])/(Table133[[#This Row],[PM Hi]]-Table133[[#This Row],[PM LO]])))))</f>
        <v>0.60350877192982455</v>
      </c>
      <c r="AO72" s="18">
        <f>1.71/2.88</f>
        <v>0.59375</v>
      </c>
      <c r="AP72" s="17">
        <f>390+Table133[[#This Row],[Time until ideal entry point (mins) from open]]</f>
        <v>395</v>
      </c>
      <c r="AQ72" s="51">
        <f>(Table133[[#This Row],[Time until ideal entry + 390 (6:30)]]+Table133[[#This Row],[Duration of frontside (mins)]])/1440</f>
        <v>0.30833333333333335</v>
      </c>
    </row>
    <row r="73" spans="1:43" x14ac:dyDescent="0.25">
      <c r="A73" s="25" t="s">
        <v>58</v>
      </c>
      <c r="B73" s="11">
        <v>43626</v>
      </c>
      <c r="C73" s="47" t="s">
        <v>78</v>
      </c>
      <c r="D73" s="12">
        <v>5.5</v>
      </c>
      <c r="E73" s="13">
        <v>6.22</v>
      </c>
      <c r="F73" s="12">
        <v>12.9</v>
      </c>
      <c r="G73" s="12">
        <v>6.22</v>
      </c>
      <c r="H73" s="12">
        <v>10.41</v>
      </c>
      <c r="I73" s="12">
        <v>10.79</v>
      </c>
      <c r="J73" s="12">
        <v>11.22</v>
      </c>
      <c r="K73" s="12">
        <v>9.75</v>
      </c>
      <c r="L73" s="12">
        <v>22.82</v>
      </c>
      <c r="M73" s="12">
        <v>22.82</v>
      </c>
      <c r="N73" s="13">
        <v>26121380</v>
      </c>
      <c r="O73" s="12">
        <v>323502243</v>
      </c>
      <c r="P73" s="13">
        <v>163</v>
      </c>
      <c r="Q73" s="13">
        <v>24.62</v>
      </c>
      <c r="R73" s="13">
        <v>1153010</v>
      </c>
      <c r="S73" s="13" t="s">
        <v>42</v>
      </c>
      <c r="T73" t="s">
        <v>44</v>
      </c>
      <c r="U73">
        <v>4</v>
      </c>
      <c r="V73">
        <v>5</v>
      </c>
      <c r="W73">
        <v>10.23</v>
      </c>
      <c r="X73">
        <v>51</v>
      </c>
      <c r="Y73" s="15">
        <f>Table133[[#This Row],[Time until ideal entry + 390 (6:30)]]/(1440)</f>
        <v>0.27430555555555558</v>
      </c>
      <c r="Z73" s="18">
        <f>(F73-D73)/D73</f>
        <v>1.3454545454545455</v>
      </c>
      <c r="AA73" s="18">
        <f>IF(Table133[[#This Row],[HOD AFTER PM HI]]&gt;=Table133[[#This Row],[PM Hi]],((Table133[[#This Row],[HOD AFTER PM HI]]-Table133[[#This Row],[Prior day close]])/Table133[[#This Row],[Prior day close]]),Table133[[#This Row],[Prior Close to PM Hi %]])</f>
        <v>3.1490909090909089</v>
      </c>
      <c r="AB73" s="18">
        <f>(Table133[[#This Row],[Price at hi of squeeze]]-Table133[[#This Row],[MKT Open Price]])/Table133[[#This Row],[MKT Open Price]]</f>
        <v>1.1149212233549586</v>
      </c>
      <c r="AC73" s="18">
        <f>(Table133[[#This Row],[Price at hi of squeeze]]-Table133[[#This Row],[PM Hi]])/Table133[[#This Row],[PM Hi]]</f>
        <v>0.76899224806201549</v>
      </c>
      <c r="AD73" s="18">
        <f>(M73-K73)/K73</f>
        <v>1.3405128205128205</v>
      </c>
      <c r="AE73" s="20">
        <f>Table133[[#This Row],[PM VOL]]/1000000/Table133[[#This Row],[FLOAT(M)]]</f>
        <v>4.6832250203086921E-2</v>
      </c>
      <c r="AF73" s="21">
        <f>(Table133[[#This Row],[Volume]]/1000000)/Table133[[#This Row],[FLOAT(M)]]</f>
        <v>1.0609821283509342</v>
      </c>
      <c r="AG73" s="18">
        <f>(Table133[[#This Row],[Hi of Spike after open before drop]]-Table133[[#This Row],[MKT Open Price]])/Table133[[#This Row],[MKT Open Price]]</f>
        <v>3.985171455050987E-2</v>
      </c>
      <c r="AH73" s="18">
        <f>(Table133[[#This Row],[PM Hi]]-Table133[[#This Row],[MKT Open Price]])/(Table133[[#This Row],[PM Hi]])</f>
        <v>0.16356589147286832</v>
      </c>
      <c r="AI73" s="16">
        <f>IF(Table133[[#This Row],[PM LO]]&gt;Table133[[#This Row],[Prior day close]],(Table133[[#This Row],[PM Hi]]-Table133[[#This Row],[MKT Open Price]])/(Table133[[#This Row],[PM Hi]]-Table133[[#This Row],[Prior day close]]),(Table133[[#This Row],[PM Hi]]-Table133[[#This Row],[MKT Open Price]])/(Table133[[#This Row],[PM Hi]]-Table133[[#This Row],[PM LO]]))</f>
        <v>0.28513513513513528</v>
      </c>
      <c r="AJ73" s="16">
        <f>IF(Table133[[#This Row],[Prior day close]]&lt;Table133[[#This Row],[PM LO]],(I73-K73)/(I73-Table133[[#This Row],[Prior day close]]),(I73-K73)/(I73-Table133[[#This Row],[PM LO]]))</f>
        <v>0.19659735349716434</v>
      </c>
      <c r="AK73" s="16">
        <f>Table133[[#This Row],[Spike % on open before drop]]+AL73</f>
        <v>0.13623725671918449</v>
      </c>
      <c r="AL73" s="16">
        <f>(I73-K73)/I73</f>
        <v>9.6385542168674621E-2</v>
      </c>
      <c r="AM73" s="18">
        <f>IF($J73&gt;=$F73,($J73-$K73)/($J73-$D73),(IF($H73&lt;=$K73,($F73-$H73)/($F73-$D73),(Table133[[#This Row],[PM Hi]]-Table133[[#This Row],[Lowest lo from open to squeeze]])/(Table133[[#This Row],[PM Hi]]-Table133[[#This Row],[Prior day close]]))))</f>
        <v>0.42567567567567571</v>
      </c>
      <c r="AN73" s="18">
        <f>IF(Table133[[#This Row],[Prior day close]]&lt;=Table133[[#This Row],[PM LO]],IF($J73&gt;=$F73,($J73-$K73)/($J73-Table133[[#This Row],[Prior day close]]),(IF($H73&lt;=$K73,($F73-$H73)/($F73-Table133[[#This Row],[Prior day close]]),(Table133[[#This Row],[PM Hi]]-Table133[[#This Row],[Lowest lo from open to squeeze]])/(Table133[[#This Row],[PM Hi]]-Table133[[#This Row],[Prior day close]])))),IF($J73&gt;=$F73,($J73-$K73)/($J73-Table133[[#This Row],[PM LO]]),(IF($H73&lt;=$K73,($F73-$H73)/($F73-Table133[[#This Row],[PM LO]]),(Table133[[#This Row],[PM Hi]]-Table133[[#This Row],[Lowest lo from open to squeeze]])/(Table133[[#This Row],[PM Hi]]-Table133[[#This Row],[PM LO]])))))</f>
        <v>0.42567567567567571</v>
      </c>
      <c r="AO73" s="18">
        <f>3.13/7.44</f>
        <v>0.42069892473118276</v>
      </c>
      <c r="AP73" s="17">
        <f>390+Table133[[#This Row],[Time until ideal entry point (mins) from open]]</f>
        <v>395</v>
      </c>
      <c r="AQ73" s="51">
        <f>(Table133[[#This Row],[Time until ideal entry + 390 (6:30)]]+Table133[[#This Row],[Duration of frontside (mins)]])/1440</f>
        <v>0.30972222222222223</v>
      </c>
    </row>
    <row r="74" spans="1:43" x14ac:dyDescent="0.25">
      <c r="A74" s="24" t="s">
        <v>219</v>
      </c>
      <c r="B74" s="47">
        <v>43901</v>
      </c>
      <c r="C74" s="47" t="s">
        <v>78</v>
      </c>
      <c r="D74" s="12">
        <v>6.18</v>
      </c>
      <c r="E74" s="13">
        <f>Table133[[#This Row],[Prior day close]]</f>
        <v>6.18</v>
      </c>
      <c r="F74" s="12">
        <v>7.37</v>
      </c>
      <c r="G74" s="12">
        <v>5.92</v>
      </c>
      <c r="H74" s="12">
        <v>6.65</v>
      </c>
      <c r="I74" s="12">
        <v>6.85</v>
      </c>
      <c r="J74" s="12">
        <v>6.95</v>
      </c>
      <c r="K74" s="12">
        <v>6.34</v>
      </c>
      <c r="L74" s="12">
        <v>8.6</v>
      </c>
      <c r="M74" s="12">
        <v>7.88</v>
      </c>
      <c r="N74" s="13">
        <v>90564336</v>
      </c>
      <c r="O74" s="12">
        <v>786551258</v>
      </c>
      <c r="P74" s="37">
        <v>998</v>
      </c>
      <c r="Q74" s="46">
        <v>96.23</v>
      </c>
      <c r="R74" s="37">
        <v>2707654</v>
      </c>
      <c r="S74" s="37" t="s">
        <v>42</v>
      </c>
      <c r="T74" s="37" t="s">
        <v>44</v>
      </c>
      <c r="U74" s="38">
        <v>2</v>
      </c>
      <c r="V74" s="46">
        <v>2</v>
      </c>
      <c r="W74" s="37">
        <v>6.65</v>
      </c>
      <c r="X74" s="46">
        <v>9</v>
      </c>
      <c r="Y74" s="41">
        <f>Table133[[#This Row],[Time until ideal entry + 390 (6:30)]]/(1440)</f>
        <v>0.2722222222222222</v>
      </c>
      <c r="Z74" s="18">
        <f>(F74-D74)/D74</f>
        <v>0.19255663430420719</v>
      </c>
      <c r="AA74" s="18">
        <f>IF(Table133[[#This Row],[HOD AFTER PM HI]]&gt;=Table133[[#This Row],[PM Hi]],((Table133[[#This Row],[HOD AFTER PM HI]]-Table133[[#This Row],[Prior day close]])/Table133[[#This Row],[Prior day close]]),Table133[[#This Row],[Prior Close to PM Hi %]])</f>
        <v>0.39158576051779936</v>
      </c>
      <c r="AB74" s="42">
        <f>(Table133[[#This Row],[Price at hi of squeeze]]-Table133[[#This Row],[MKT Open Price]])/Table133[[#This Row],[MKT Open Price]]</f>
        <v>0.15036496350364967</v>
      </c>
      <c r="AC74" s="18">
        <f>(Table133[[#This Row],[Price at hi of squeeze]]-Table133[[#This Row],[PM Hi]])/Table133[[#This Row],[PM Hi]]</f>
        <v>6.9199457259158728E-2</v>
      </c>
      <c r="AD74" s="18"/>
      <c r="AE74" s="20">
        <f>Table133[[#This Row],[PM VOL]]/1000000/Table133[[#This Row],[FLOAT(M)]]</f>
        <v>2.813731684505871E-2</v>
      </c>
      <c r="AF74" s="23">
        <f>(Table133[[#This Row],[Volume]]/1000000)/Table133[[#This Row],[FLOAT(M)]]</f>
        <v>0.94112372441026704</v>
      </c>
      <c r="AH74" s="18">
        <f>(Table133[[#This Row],[PM Hi]]-Table133[[#This Row],[MKT Open Price]])/(Table133[[#This Row],[PM Hi]])</f>
        <v>7.0556309362279579E-2</v>
      </c>
      <c r="AI74" s="18">
        <f>IF(Table133[[#This Row],[PM LO]]&gt;Table133[[#This Row],[Prior day close]],(Table133[[#This Row],[PM Hi]]-Table133[[#This Row],[MKT Open Price]])/(Table133[[#This Row],[PM Hi]]-Table133[[#This Row],[Prior day close]]),(Table133[[#This Row],[PM Hi]]-Table133[[#This Row],[MKT Open Price]])/(Table133[[#This Row],[PM Hi]]-Table133[[#This Row],[PM LO]]))</f>
        <v>0.35862068965517269</v>
      </c>
      <c r="AJ74" s="48">
        <f>IF(Table133[[#This Row],[Prior day close]]&lt;Table133[[#This Row],[PM LO]],(I74-K74)/(I74-Table133[[#This Row],[Prior day close]]),(I74-K74)/(I74-Table133[[#This Row],[PM LO]]))</f>
        <v>0.54838709677419351</v>
      </c>
      <c r="AK74" s="48">
        <f>Table133[[#This Row],[Spike % on open before drop]]+AL74</f>
        <v>7.4452554744525515E-2</v>
      </c>
      <c r="AL74" s="16">
        <f>(I74-K74)/I74</f>
        <v>7.4452554744525515E-2</v>
      </c>
      <c r="AM74" s="18">
        <f>IF($J74&gt;=$F74,($J74-$K74)/($J74),(IF($H74&lt;=$K74,($F74-$H74)/($F74),(Table133[[#This Row],[PM Hi]]-Table133[[#This Row],[Lowest lo from open to squeeze]])/(Table133[[#This Row],[PM Hi]]))))</f>
        <v>0.13975576662143829</v>
      </c>
      <c r="AN74" s="48">
        <f>IF(Table133[[#This Row],[Prior day close]]&lt;=Table133[[#This Row],[PM LO]],IF($J74&gt;=$F74,($J74-$K74)/($J74-Table133[[#This Row],[Prior day close]]),(IF($H74&lt;=$K74,($F74-$H74)/($F74-Table133[[#This Row],[Prior day close]]),(Table133[[#This Row],[PM Hi]]-Table133[[#This Row],[Lowest lo from open to squeeze]])/(Table133[[#This Row],[PM Hi]]-Table133[[#This Row],[Prior day close]])))),IF($J74&gt;=$F74,($J74-$K74)/($J74-Table133[[#This Row],[PM LO]]),(IF($H74&lt;=$K74,($F74-$H74)/($F74-Table133[[#This Row],[PM LO]]),(Table133[[#This Row],[PM Hi]]-Table133[[#This Row],[Lowest lo from open to squeeze]])/(Table133[[#This Row],[PM Hi]]-Table133[[#This Row],[PM LO]])))))</f>
        <v>0.71034482758620698</v>
      </c>
      <c r="AO74" s="18">
        <f>IF(J74&gt;=F74,(J74-K74)/(J74-D74),(IF(H74&lt;=K74,(F74-H74)/(F74-D74),(Table133[[#This Row],[PM Hi]]-Table133[[#This Row],[Lowest lo from open to squeeze]])/(Table133[[#This Row],[PM Hi]]-Table133[[#This Row],[Prior day close]]))))</f>
        <v>0.86554621848739488</v>
      </c>
      <c r="AP74" s="17">
        <f>390+Table133[[#This Row],[Time until ideal entry point (mins) from open]]</f>
        <v>392</v>
      </c>
      <c r="AQ74" s="17">
        <f>Table133[[#This Row],[Time until ideal entry + 390 (6:30)]]+Table133[[#This Row],[Duration of frontside (mins)]]</f>
        <v>401</v>
      </c>
    </row>
    <row r="75" spans="1:43" x14ac:dyDescent="0.25">
      <c r="A75" s="24" t="s">
        <v>211</v>
      </c>
      <c r="B75" s="47">
        <v>43874</v>
      </c>
      <c r="C75" s="47" t="s">
        <v>78</v>
      </c>
      <c r="D75" s="12">
        <v>6.2</v>
      </c>
      <c r="E75" s="13">
        <f>Table133[[#This Row],[Prior day close]]</f>
        <v>6.2</v>
      </c>
      <c r="F75" s="12">
        <v>7.7</v>
      </c>
      <c r="G75" s="12">
        <v>6.08</v>
      </c>
      <c r="H75" s="12">
        <v>6.88</v>
      </c>
      <c r="I75" s="12">
        <v>6.96</v>
      </c>
      <c r="J75" s="12">
        <v>6.96</v>
      </c>
      <c r="K75" s="12">
        <v>6.88</v>
      </c>
      <c r="L75" s="12">
        <v>9.52</v>
      </c>
      <c r="M75" s="12">
        <v>9.52</v>
      </c>
      <c r="N75" s="13">
        <v>11745721</v>
      </c>
      <c r="O75" s="12">
        <v>50736229</v>
      </c>
      <c r="P75" s="37">
        <v>32</v>
      </c>
      <c r="Q75" s="46">
        <v>3</v>
      </c>
      <c r="R75" s="37">
        <v>113820</v>
      </c>
      <c r="S75" s="37" t="s">
        <v>42</v>
      </c>
      <c r="T75" s="37" t="s">
        <v>44</v>
      </c>
      <c r="U75" s="38">
        <v>1</v>
      </c>
      <c r="V75" s="46">
        <v>1</v>
      </c>
      <c r="W75" s="37">
        <v>6.9</v>
      </c>
      <c r="X75" s="46">
        <v>32</v>
      </c>
      <c r="Y75" s="41">
        <f>Table133[[#This Row],[Time until ideal entry + 390 (6:30)]]/(1440)</f>
        <v>0.27152777777777776</v>
      </c>
      <c r="Z75" s="18">
        <f>(F75-D75)/D75</f>
        <v>0.24193548387096772</v>
      </c>
      <c r="AA75" s="18">
        <f>IF(Table133[[#This Row],[HOD AFTER PM HI]]&gt;=Table133[[#This Row],[PM Hi]],((Table133[[#This Row],[HOD AFTER PM HI]]-Table133[[#This Row],[Prior day close]])/Table133[[#This Row],[Prior day close]]),Table133[[#This Row],[Prior Close to PM Hi %]])</f>
        <v>0.53548387096774186</v>
      </c>
      <c r="AB75" s="42">
        <f>(Table133[[#This Row],[Price at hi of squeeze]]-Table133[[#This Row],[MKT Open Price]])/Table133[[#This Row],[MKT Open Price]]</f>
        <v>0.36781609195402293</v>
      </c>
      <c r="AC75" s="18">
        <f>(Table133[[#This Row],[Price at hi of squeeze]]-Table133[[#This Row],[PM Hi]])/Table133[[#This Row],[PM Hi]]</f>
        <v>0.23636363636363628</v>
      </c>
      <c r="AD75" s="18"/>
      <c r="AE75" s="20">
        <f>Table133[[#This Row],[PM VOL]]/1000000/Table133[[#This Row],[FLOAT(M)]]</f>
        <v>3.7940000000000002E-2</v>
      </c>
      <c r="AF75" s="23">
        <f>(Table133[[#This Row],[Volume]]/1000000)/Table133[[#This Row],[FLOAT(M)]]</f>
        <v>3.9152403333333332</v>
      </c>
      <c r="AH75" s="18">
        <f>(Table133[[#This Row],[PM Hi]]-Table133[[#This Row],[MKT Open Price]])/(Table133[[#This Row],[PM Hi]])</f>
        <v>9.6103896103896136E-2</v>
      </c>
      <c r="AI75" s="18">
        <f>IF(Table133[[#This Row],[PM LO]]&gt;Table133[[#This Row],[Prior day close]],(Table133[[#This Row],[PM Hi]]-Table133[[#This Row],[MKT Open Price]])/(Table133[[#This Row],[PM Hi]]-Table133[[#This Row],[Prior day close]]),(Table133[[#This Row],[PM Hi]]-Table133[[#This Row],[MKT Open Price]])/(Table133[[#This Row],[PM Hi]]-Table133[[#This Row],[PM LO]]))</f>
        <v>0.45679012345679021</v>
      </c>
      <c r="AJ75" s="48">
        <f>IF(Table133[[#This Row],[Prior day close]]&lt;Table133[[#This Row],[PM LO]],(I75-K75)/(I75-Table133[[#This Row],[Prior day close]]),(I75-K75)/(I75-Table133[[#This Row],[PM LO]]))</f>
        <v>9.0909090909090995E-2</v>
      </c>
      <c r="AK75" s="48">
        <f>Table133[[#This Row],[Spike % on open before drop]]+AL75</f>
        <v>1.1494252873563229E-2</v>
      </c>
      <c r="AL75" s="16">
        <f>(I75-K75)/I75</f>
        <v>1.1494252873563229E-2</v>
      </c>
      <c r="AM75" s="18">
        <f>IF($J75&gt;=$F75,($J75-$K75)/($J75),(IF($H75&lt;=$K75,($F75-$H75)/($F75),(Table133[[#This Row],[PM Hi]]-Table133[[#This Row],[Lowest lo from open to squeeze]])/(Table133[[#This Row],[PM Hi]]))))</f>
        <v>0.10649350649350653</v>
      </c>
      <c r="AN75" s="48">
        <f>IF(Table133[[#This Row],[Prior day close]]&lt;=Table133[[#This Row],[PM LO]],IF($J75&gt;=$F75,($J75-$K75)/($J75-Table133[[#This Row],[Prior day close]]),(IF($H75&lt;=$K75,($F75-$H75)/($F75-Table133[[#This Row],[Prior day close]]),(Table133[[#This Row],[PM Hi]]-Table133[[#This Row],[Lowest lo from open to squeeze]])/(Table133[[#This Row],[PM Hi]]-Table133[[#This Row],[Prior day close]])))),IF($J75&gt;=$F75,($J75-$K75)/($J75-Table133[[#This Row],[PM LO]]),(IF($H75&lt;=$K75,($F75-$H75)/($F75-Table133[[#This Row],[PM LO]]),(Table133[[#This Row],[PM Hi]]-Table133[[#This Row],[Lowest lo from open to squeeze]])/(Table133[[#This Row],[PM Hi]]-Table133[[#This Row],[PM LO]])))))</f>
        <v>0.50617283950617298</v>
      </c>
      <c r="AO75" s="18">
        <f>IF(J75&gt;=F75,(J75-K75)/(J75-D75),(IF(H75&lt;=K75,(F75-H75)/(F75-D75),(Table133[[#This Row],[PM Hi]]-Table133[[#This Row],[Lowest lo from open to squeeze]])/(Table133[[#This Row],[PM Hi]]-Table133[[#This Row],[Prior day close]]))))</f>
        <v>0.54666666666666686</v>
      </c>
      <c r="AP75" s="17">
        <f>390+Table133[[#This Row],[Time until ideal entry point (mins) from open]]</f>
        <v>391</v>
      </c>
      <c r="AQ75" s="17">
        <f>Table133[[#This Row],[Time until ideal entry + 390 (6:30)]]+Table133[[#This Row],[Duration of frontside (mins)]]</f>
        <v>423</v>
      </c>
    </row>
    <row r="76" spans="1:43" x14ac:dyDescent="0.25">
      <c r="A76" s="25" t="s">
        <v>61</v>
      </c>
      <c r="B76" s="11">
        <v>43908</v>
      </c>
      <c r="C76" s="47" t="s">
        <v>78</v>
      </c>
      <c r="D76" s="39">
        <v>7.17</v>
      </c>
      <c r="E76" s="37">
        <v>6.98</v>
      </c>
      <c r="F76" s="39">
        <v>9.99</v>
      </c>
      <c r="G76" s="39">
        <v>6.8</v>
      </c>
      <c r="H76" s="12">
        <v>9.1999999999999993</v>
      </c>
      <c r="I76" s="39">
        <v>9.4</v>
      </c>
      <c r="J76" s="12">
        <v>9.66</v>
      </c>
      <c r="K76" s="39">
        <v>8.6999999999999993</v>
      </c>
      <c r="L76" s="39">
        <v>19.489999999999998</v>
      </c>
      <c r="M76" s="12">
        <v>19.489999999999998</v>
      </c>
      <c r="N76" s="13">
        <v>48278791</v>
      </c>
      <c r="O76" s="12">
        <v>758023024</v>
      </c>
      <c r="P76" s="13">
        <v>87</v>
      </c>
      <c r="Q76" s="13">
        <v>8.1300000000000008</v>
      </c>
      <c r="R76" s="13">
        <v>1291599</v>
      </c>
      <c r="S76" s="13" t="s">
        <v>44</v>
      </c>
      <c r="T76" t="s">
        <v>42</v>
      </c>
      <c r="U76">
        <v>15</v>
      </c>
      <c r="V76">
        <v>16</v>
      </c>
      <c r="W76">
        <v>9</v>
      </c>
      <c r="X76">
        <v>54</v>
      </c>
      <c r="Y76" s="15">
        <f>Table133[[#This Row],[Time until ideal entry + 390 (6:30)]]/(1440)</f>
        <v>0.28194444444444444</v>
      </c>
      <c r="Z76" s="18">
        <f>(F76-D76)/D76</f>
        <v>0.39330543933054396</v>
      </c>
      <c r="AA76" s="16">
        <f>IF(Table133[[#This Row],[HOD AFTER PM HI]]&gt;=Table133[[#This Row],[PM Hi]],((Table133[[#This Row],[HOD AFTER PM HI]]-Table133[[#This Row],[Prior day close]])/Table133[[#This Row],[Prior day close]]),Table133[[#This Row],[Prior Close to PM Hi %]])</f>
        <v>1.718270571827057</v>
      </c>
      <c r="AB76" s="18">
        <f>(Table133[[#This Row],[Price at hi of squeeze]]-Table133[[#This Row],[MKT Open Price]])/Table133[[#This Row],[MKT Open Price]]</f>
        <v>1.0734042553191487</v>
      </c>
      <c r="AC76" s="18">
        <f>(Table133[[#This Row],[Price at hi of squeeze]]-Table133[[#This Row],[PM Hi]])/Table133[[#This Row],[PM Hi]]</f>
        <v>0.95095095095095072</v>
      </c>
      <c r="AD76" s="18">
        <f>(M76-K76)/K76</f>
        <v>1.2402298850574713</v>
      </c>
      <c r="AE76" s="20">
        <f>Table133[[#This Row],[PM VOL]]/1000000/Table133[[#This Row],[FLOAT(M)]]</f>
        <v>0.1588682656826568</v>
      </c>
      <c r="AF76" s="21">
        <f>(Table133[[#This Row],[Volume]]/1000000)/Table133[[#This Row],[FLOAT(M)]]</f>
        <v>5.9383506765067642</v>
      </c>
      <c r="AG76" s="18">
        <f>(Table133[[#This Row],[Hi of Spike after open before drop]]-Table133[[#This Row],[MKT Open Price]])/Table133[[#This Row],[MKT Open Price]]</f>
        <v>2.7659574468085084E-2</v>
      </c>
      <c r="AH76" s="18">
        <f>(Table133[[#This Row],[PM Hi]]-Table133[[#This Row],[MKT Open Price]])/(Table133[[#This Row],[PM Hi]])</f>
        <v>5.9059059059059046E-2</v>
      </c>
      <c r="AI76" s="16">
        <f>IF(Table133[[#This Row],[PM LO]]&gt;Table133[[#This Row],[Prior day close]],(Table133[[#This Row],[PM Hi]]-Table133[[#This Row],[MKT Open Price]])/(Table133[[#This Row],[PM Hi]]-Table133[[#This Row],[Prior day close]]),(Table133[[#This Row],[PM Hi]]-Table133[[#This Row],[MKT Open Price]])/(Table133[[#This Row],[PM Hi]]-Table133[[#This Row],[PM LO]]))</f>
        <v>0.18495297805642627</v>
      </c>
      <c r="AJ76" s="16">
        <f>IF(Table133[[#This Row],[Prior day close]]&lt;Table133[[#This Row],[PM LO]],(I76-K76)/(I76-Table133[[#This Row],[Prior day close]]),(I76-K76)/(I76-Table133[[#This Row],[PM LO]]))</f>
        <v>0.26923076923076961</v>
      </c>
      <c r="AK76" s="16">
        <f>Table133[[#This Row],[Spike % on open before drop]]+AL76</f>
        <v>0.10212765957446818</v>
      </c>
      <c r="AL76" s="16">
        <f>(I76-K76)/I76</f>
        <v>7.4468085106383086E-2</v>
      </c>
      <c r="AM76" s="18">
        <f>IF($J76&gt;=$F76,($J76-$K76)/($J76-$D76),(IF($H76&lt;=$K76,($F76-$H76)/($F76-$D76),(Table133[[#This Row],[PM Hi]]-Table133[[#This Row],[Lowest lo from open to squeeze]])/(Table133[[#This Row],[PM Hi]]-Table133[[#This Row],[Prior day close]]))))</f>
        <v>0.45744680851063857</v>
      </c>
      <c r="AN76" s="18">
        <f>IF(Table133[[#This Row],[Prior day close]]&lt;=Table133[[#This Row],[PM LO]],IF($J76&gt;=$F76,($J76-$K76)/($J76-Table133[[#This Row],[Prior day close]]),(IF($H76&lt;=$K76,($F76-$H76)/($F76-Table133[[#This Row],[Prior day close]]),(Table133[[#This Row],[PM Hi]]-Table133[[#This Row],[Lowest lo from open to squeeze]])/(Table133[[#This Row],[PM Hi]]-Table133[[#This Row],[Prior day close]])))),IF($J76&gt;=$F76,($J76-$K76)/($J76-Table133[[#This Row],[PM LO]]),(IF($H76&lt;=$K76,($F76-$H76)/($F76-Table133[[#This Row],[PM LO]]),(Table133[[#This Row],[PM Hi]]-Table133[[#This Row],[Lowest lo from open to squeeze]])/(Table133[[#This Row],[PM Hi]]-Table133[[#This Row],[PM LO]])))))</f>
        <v>0.40438871473354254</v>
      </c>
      <c r="AO76" s="18">
        <f>1.28/2.81</f>
        <v>0.45551601423487542</v>
      </c>
      <c r="AP76" s="17">
        <f>390+Table133[[#This Row],[Time until ideal entry point (mins) from open]]</f>
        <v>406</v>
      </c>
      <c r="AQ76" s="51">
        <f>(Table133[[#This Row],[Time until ideal entry + 390 (6:30)]]+Table133[[#This Row],[Duration of frontside (mins)]])/1440</f>
        <v>0.31944444444444442</v>
      </c>
    </row>
    <row r="77" spans="1:43" x14ac:dyDescent="0.25">
      <c r="A77" s="24" t="s">
        <v>233</v>
      </c>
      <c r="B77" s="47">
        <v>43963</v>
      </c>
      <c r="C77" s="47" t="s">
        <v>78</v>
      </c>
      <c r="D77" s="12">
        <v>7.25</v>
      </c>
      <c r="E77" s="13">
        <f>Table133[[#This Row],[Prior day close]]</f>
        <v>7.25</v>
      </c>
      <c r="F77" s="12">
        <v>10.25</v>
      </c>
      <c r="G77" s="12">
        <v>7.29</v>
      </c>
      <c r="H77" s="12">
        <v>9.11</v>
      </c>
      <c r="I77" s="12">
        <v>9.65</v>
      </c>
      <c r="J77" s="12">
        <v>9.9</v>
      </c>
      <c r="K77" s="12">
        <v>9.0500000000000007</v>
      </c>
      <c r="L77" s="12">
        <v>10.6</v>
      </c>
      <c r="M77" s="12">
        <v>10.6</v>
      </c>
      <c r="N77" s="13">
        <v>12375504</v>
      </c>
      <c r="O77" s="12">
        <v>112617086</v>
      </c>
      <c r="P77" s="37">
        <v>53</v>
      </c>
      <c r="Q77" s="46"/>
      <c r="R77" s="37">
        <v>942006</v>
      </c>
      <c r="S77" s="37" t="s">
        <v>42</v>
      </c>
      <c r="T77" s="37" t="s">
        <v>44</v>
      </c>
      <c r="U77" s="38">
        <v>5</v>
      </c>
      <c r="V77" s="46">
        <v>5</v>
      </c>
      <c r="W77" s="37">
        <v>9.08</v>
      </c>
      <c r="X77" s="46">
        <v>8</v>
      </c>
      <c r="Y77" s="41">
        <f>Table133[[#This Row],[Time until ideal entry + 390 (6:30)]]/(1440)</f>
        <v>0.27430555555555558</v>
      </c>
      <c r="Z77" s="18">
        <f>(F77-D77)/D77</f>
        <v>0.41379310344827586</v>
      </c>
      <c r="AA77" s="18">
        <f>IF(Table133[[#This Row],[HOD AFTER PM HI]]&gt;=Table133[[#This Row],[PM Hi]],((Table133[[#This Row],[HOD AFTER PM HI]]-Table133[[#This Row],[Prior day close]])/Table133[[#This Row],[Prior day close]]),Table133[[#This Row],[Prior Close to PM Hi %]])</f>
        <v>0.4620689655172413</v>
      </c>
      <c r="AB77" s="42">
        <f>(Table133[[#This Row],[Price at hi of squeeze]]-Table133[[#This Row],[MKT Open Price]])/Table133[[#This Row],[MKT Open Price]]</f>
        <v>9.8445595854922199E-2</v>
      </c>
      <c r="AC77" s="18">
        <f>(Table133[[#This Row],[Price at hi of squeeze]]-Table133[[#This Row],[PM Hi]])/Table133[[#This Row],[PM Hi]]</f>
        <v>3.4146341463414602E-2</v>
      </c>
      <c r="AD77" s="18"/>
      <c r="AE77" s="20" t="e">
        <f>Table133[[#This Row],[PM VOL]]/1000000/Table133[[#This Row],[FLOAT(M)]]</f>
        <v>#DIV/0!</v>
      </c>
      <c r="AF77" s="23" t="e">
        <f>(Table133[[#This Row],[Volume]]/1000000)/Table133[[#This Row],[FLOAT(M)]]</f>
        <v>#DIV/0!</v>
      </c>
      <c r="AH77" s="18">
        <f>(Table133[[#This Row],[PM Hi]]-Table133[[#This Row],[MKT Open Price]])/(Table133[[#This Row],[PM Hi]])</f>
        <v>5.8536585365853627E-2</v>
      </c>
      <c r="AI77" s="18">
        <f>IF(Table133[[#This Row],[PM LO]]&gt;Table133[[#This Row],[Prior day close]],(Table133[[#This Row],[PM Hi]]-Table133[[#This Row],[MKT Open Price]])/(Table133[[#This Row],[PM Hi]]-Table133[[#This Row],[Prior day close]]),(Table133[[#This Row],[PM Hi]]-Table133[[#This Row],[MKT Open Price]])/(Table133[[#This Row],[PM Hi]]-Table133[[#This Row],[PM LO]]))</f>
        <v>0.19999999999999987</v>
      </c>
      <c r="AJ77" s="48">
        <f>IF(Table133[[#This Row],[Prior day close]]&lt;Table133[[#This Row],[PM LO]],(I77-K77)/(I77-Table133[[#This Row],[Prior day close]]),(I77-K77)/(I77-Table133[[#This Row],[PM LO]]))</f>
        <v>0.24999999999999981</v>
      </c>
      <c r="AK77" s="48">
        <f>Table133[[#This Row],[Spike % on open before drop]]+AL77</f>
        <v>6.2176165803108772E-2</v>
      </c>
      <c r="AL77" s="16">
        <f>(I77-K77)/I77</f>
        <v>6.2176165803108772E-2</v>
      </c>
      <c r="AM77" s="18">
        <f>IF($J77&gt;=$F77,($J77-$K77)/($J77),(IF($H77&lt;=$K77,($F77-$H77)/($F77),(Table133[[#This Row],[PM Hi]]-Table133[[#This Row],[Lowest lo from open to squeeze]])/(Table133[[#This Row],[PM Hi]]))))</f>
        <v>0.11707317073170725</v>
      </c>
      <c r="AN77" s="48">
        <f>IF(Table133[[#This Row],[Prior day close]]&lt;=Table133[[#This Row],[PM LO]],IF($J77&gt;=$F77,($J77-$K77)/($J77-Table133[[#This Row],[Prior day close]]),(IF($H77&lt;=$K77,($F77-$H77)/($F77-Table133[[#This Row],[Prior day close]]),(Table133[[#This Row],[PM Hi]]-Table133[[#This Row],[Lowest lo from open to squeeze]])/(Table133[[#This Row],[PM Hi]]-Table133[[#This Row],[Prior day close]])))),IF($J77&gt;=$F77,($J77-$K77)/($J77-Table133[[#This Row],[PM LO]]),(IF($H77&lt;=$K77,($F77-$H77)/($F77-Table133[[#This Row],[PM LO]]),(Table133[[#This Row],[PM Hi]]-Table133[[#This Row],[Lowest lo from open to squeeze]])/(Table133[[#This Row],[PM Hi]]-Table133[[#This Row],[PM LO]])))))</f>
        <v>0.39999999999999974</v>
      </c>
      <c r="AO77" s="18">
        <f>IF(J77&gt;=F77,(J77-K77)/(J77-D77),(IF(H77&lt;=K77,(F77-H77)/(F77-D77),(Table133[[#This Row],[PM Hi]]-Table133[[#This Row],[Lowest lo from open to squeeze]])/(Table133[[#This Row],[PM Hi]]-Table133[[#This Row],[Prior day close]]))))</f>
        <v>0.39999999999999974</v>
      </c>
      <c r="AP77" s="17">
        <f>390+Table133[[#This Row],[Time until ideal entry point (mins) from open]]</f>
        <v>395</v>
      </c>
      <c r="AQ77" s="17">
        <f>Table133[[#This Row],[Time until ideal entry + 390 (6:30)]]+Table133[[#This Row],[Duration of frontside (mins)]]</f>
        <v>403</v>
      </c>
    </row>
    <row r="78" spans="1:43" x14ac:dyDescent="0.25">
      <c r="A78" s="24" t="s">
        <v>85</v>
      </c>
      <c r="B78" s="11">
        <v>44092</v>
      </c>
      <c r="C78" s="47" t="s">
        <v>78</v>
      </c>
      <c r="D78" s="12">
        <v>8.33</v>
      </c>
      <c r="E78" s="13">
        <v>8.44</v>
      </c>
      <c r="F78" s="12">
        <v>9.4</v>
      </c>
      <c r="G78" s="12">
        <v>7.86</v>
      </c>
      <c r="H78" s="12">
        <v>8.51</v>
      </c>
      <c r="I78" s="12">
        <v>8.75</v>
      </c>
      <c r="J78" s="12">
        <v>9.0399999999999991</v>
      </c>
      <c r="K78" s="12">
        <v>8.4</v>
      </c>
      <c r="L78" s="12">
        <v>10.45</v>
      </c>
      <c r="M78" s="12">
        <v>10.130000000000001</v>
      </c>
      <c r="N78" s="13">
        <v>107523863</v>
      </c>
      <c r="O78" s="12">
        <v>1051583380</v>
      </c>
      <c r="P78" s="37">
        <v>166.97</v>
      </c>
      <c r="Q78">
        <v>22.32</v>
      </c>
      <c r="R78" s="13">
        <v>4490615</v>
      </c>
      <c r="S78" s="13" t="s">
        <v>44</v>
      </c>
      <c r="T78" t="s">
        <v>42</v>
      </c>
      <c r="U78" s="17">
        <v>11</v>
      </c>
      <c r="V78">
        <v>12</v>
      </c>
      <c r="W78">
        <v>8.5500000000000007</v>
      </c>
      <c r="X78">
        <v>73</v>
      </c>
      <c r="Y78" s="15">
        <f>Table133[[#This Row],[Time until ideal entry + 390 (6:30)]]/(1440)</f>
        <v>0.27916666666666667</v>
      </c>
      <c r="Z78" s="18">
        <f>(F78-D78)/D78</f>
        <v>0.12845138055222091</v>
      </c>
      <c r="AA78" s="18">
        <f>IF(Table133[[#This Row],[HOD AFTER PM HI]]&gt;=Table133[[#This Row],[PM Hi]],((Table133[[#This Row],[HOD AFTER PM HI]]-Table133[[#This Row],[Prior day close]])/Table133[[#This Row],[Prior day close]]),Table133[[#This Row],[Prior Close to PM Hi %]])</f>
        <v>0.254501800720288</v>
      </c>
      <c r="AB78" s="18">
        <f>(Table133[[#This Row],[Price at hi of squeeze]]-Table133[[#This Row],[MKT Open Price]])/Table133[[#This Row],[MKT Open Price]]</f>
        <v>0.15771428571428581</v>
      </c>
      <c r="AC78" s="18">
        <f>(Table133[[#This Row],[Price at hi of squeeze]]-Table133[[#This Row],[PM Hi]])/Table133[[#This Row],[PM Hi]]</f>
        <v>7.7659574468085149E-2</v>
      </c>
      <c r="AD78" s="18">
        <f>(M78-K78)/K78</f>
        <v>0.205952380952381</v>
      </c>
      <c r="AE78" s="20">
        <f>Table133[[#This Row],[PM VOL]]/1000000/Table133[[#This Row],[FLOAT(M)]]</f>
        <v>0.20119242831541218</v>
      </c>
      <c r="AF78" s="23">
        <f>(Table133[[#This Row],[Volume]]/1000000)/Table133[[#This Row],[FLOAT(M)]]</f>
        <v>4.8173773745519712</v>
      </c>
      <c r="AG78" s="18">
        <f>(Table133[[#This Row],[Hi of Spike after open before drop]]-Table133[[#This Row],[MKT Open Price]])/Table133[[#This Row],[MKT Open Price]]</f>
        <v>3.3142857142857043E-2</v>
      </c>
      <c r="AH78" s="18">
        <f>(Table133[[#This Row],[PM Hi]]-Table133[[#This Row],[MKT Open Price]])/(Table133[[#This Row],[PM Hi]])</f>
        <v>6.9148936170212796E-2</v>
      </c>
      <c r="AI78" s="16">
        <f>IF(Table133[[#This Row],[PM LO]]&gt;Table133[[#This Row],[Prior day close]],(Table133[[#This Row],[PM Hi]]-Table133[[#This Row],[MKT Open Price]])/(Table133[[#This Row],[PM Hi]]-Table133[[#This Row],[Prior day close]]),(Table133[[#This Row],[PM Hi]]-Table133[[#This Row],[MKT Open Price]])/(Table133[[#This Row],[PM Hi]]-Table133[[#This Row],[PM LO]]))</f>
        <v>0.42207792207792227</v>
      </c>
      <c r="AJ78" s="18">
        <f>IF(Table133[[#This Row],[Prior day close]]&lt;Table133[[#This Row],[PM LO]],(I78-K78)/(I78-Table133[[#This Row],[Prior day close]]),(I78-K78)/(I78-Table133[[#This Row],[PM LO]]))</f>
        <v>0.39325842696629187</v>
      </c>
      <c r="AK78" s="18">
        <f>Table133[[#This Row],[Spike % on open before drop]]+AL78</f>
        <v>7.314285714285701E-2</v>
      </c>
      <c r="AL78" s="16">
        <f>(I78-K78)/I78</f>
        <v>3.9999999999999959E-2</v>
      </c>
      <c r="AM78" s="18">
        <f>IF($J78&gt;=$F78,($J78-$K78)/($J78),(IF($H78&lt;=$K78,($F78-$H78)/($F78),(Table133[[#This Row],[PM Hi]]-Table133[[#This Row],[Lowest lo from open to squeeze]])/(Table133[[#This Row],[PM Hi]]))))</f>
        <v>0.10638297872340426</v>
      </c>
      <c r="AN78" s="18">
        <f>IF(Table133[[#This Row],[Prior day close]]&lt;=Table133[[#This Row],[PM LO]],IF($J78&gt;=$F78,($J78-$K78)/($J78-Table133[[#This Row],[Prior day close]]),(IF($H78&lt;=$K78,($F78-$H78)/($F78-Table133[[#This Row],[Prior day close]]),(Table133[[#This Row],[PM Hi]]-Table133[[#This Row],[Lowest lo from open to squeeze]])/(Table133[[#This Row],[PM Hi]]-Table133[[#This Row],[Prior day close]])))),IF($J78&gt;=$F78,($J78-$K78)/($J78-Table133[[#This Row],[PM LO]]),(IF($H78&lt;=$K78,($F78-$H78)/($F78-Table133[[#This Row],[PM LO]]),(Table133[[#This Row],[PM Hi]]-Table133[[#This Row],[Lowest lo from open to squeeze]])/(Table133[[#This Row],[PM Hi]]-Table133[[#This Row],[PM LO]])))))</f>
        <v>0.64935064935064934</v>
      </c>
      <c r="AO78" s="18">
        <f>IF(J78&gt;=F78,(J78-K78)/(J78-D78),(IF(H78&lt;=K78,(F78-H78)/(F78-D78),(Table133[[#This Row],[PM Hi]]-Table133[[#This Row],[Lowest lo from open to squeeze]])/(Table133[[#This Row],[PM Hi]]-Table133[[#This Row],[Prior day close]]))))</f>
        <v>0.93457943925233622</v>
      </c>
      <c r="AP78" s="17">
        <f>390+Table133[[#This Row],[Time until ideal entry point (mins) from open]]</f>
        <v>402</v>
      </c>
      <c r="AQ78" s="51">
        <f>(Table133[[#This Row],[Time until ideal entry + 390 (6:30)]]+Table133[[#This Row],[Duration of frontside (mins)]])/1440</f>
        <v>0.3298611111111111</v>
      </c>
    </row>
    <row r="79" spans="1:43" x14ac:dyDescent="0.25">
      <c r="A79" s="10" t="s">
        <v>102</v>
      </c>
      <c r="B79" s="11">
        <v>44011</v>
      </c>
      <c r="C79" s="47" t="s">
        <v>78</v>
      </c>
      <c r="D79" s="12">
        <v>9.9499999999999993</v>
      </c>
      <c r="E79" s="13">
        <v>10.220000000000001</v>
      </c>
      <c r="F79" s="12">
        <v>12.6</v>
      </c>
      <c r="G79" s="12">
        <v>10.220000000000001</v>
      </c>
      <c r="H79" s="12">
        <v>11.5</v>
      </c>
      <c r="I79" s="12">
        <v>12.2</v>
      </c>
      <c r="J79" s="12">
        <v>12.4</v>
      </c>
      <c r="K79" s="12">
        <v>11</v>
      </c>
      <c r="L79" s="12">
        <v>15.41</v>
      </c>
      <c r="M79" s="12">
        <v>15.2</v>
      </c>
      <c r="N79" s="13">
        <v>126119302</v>
      </c>
      <c r="O79" s="12">
        <v>1745688832</v>
      </c>
      <c r="P79" s="13">
        <v>559.29</v>
      </c>
      <c r="Q79">
        <v>55.45</v>
      </c>
      <c r="R79" s="13">
        <v>2996888</v>
      </c>
      <c r="S79" s="13"/>
      <c r="T79" t="s">
        <v>44</v>
      </c>
      <c r="U79">
        <v>2</v>
      </c>
      <c r="V79">
        <v>3</v>
      </c>
      <c r="W79">
        <v>11.58</v>
      </c>
      <c r="X79">
        <v>94</v>
      </c>
      <c r="Y79" s="15">
        <f>Table133[[#This Row],[Time until ideal entry + 390 (6:30)]]/(1440)</f>
        <v>0.27291666666666664</v>
      </c>
      <c r="Z79" s="18">
        <f>(F79-D79)/D79</f>
        <v>0.26633165829145733</v>
      </c>
      <c r="AA79" s="18">
        <f>IF(Table133[[#This Row],[HOD AFTER PM HI]]&gt;=Table133[[#This Row],[PM Hi]],((Table133[[#This Row],[HOD AFTER PM HI]]-Table133[[#This Row],[Prior day close]])/Table133[[#This Row],[Prior day close]]),Table133[[#This Row],[Prior Close to PM Hi %]])</f>
        <v>0.548743718592965</v>
      </c>
      <c r="AB79" s="18">
        <f>(Table133[[#This Row],[Price at hi of squeeze]]-Table133[[#This Row],[MKT Open Price]])/Table133[[#This Row],[MKT Open Price]]</f>
        <v>0.24590163934426232</v>
      </c>
      <c r="AC79" s="18">
        <f>(Table133[[#This Row],[Price at hi of squeeze]]-Table133[[#This Row],[PM Hi]])/Table133[[#This Row],[PM Hi]]</f>
        <v>0.20634920634920634</v>
      </c>
      <c r="AD79" s="18">
        <f>(M79-K79)/K79</f>
        <v>0.38181818181818178</v>
      </c>
      <c r="AE79" s="20">
        <f>Table133[[#This Row],[PM VOL]]/1000000/Table133[[#This Row],[FLOAT(M)]]</f>
        <v>5.4046672678088367E-2</v>
      </c>
      <c r="AF79" s="21">
        <f>(Table133[[#This Row],[Volume]]/1000000)/Table133[[#This Row],[FLOAT(M)]]</f>
        <v>2.2744689269612262</v>
      </c>
      <c r="AG79" s="18">
        <f>(Table133[[#This Row],[Hi of Spike after open before drop]]-Table133[[#This Row],[MKT Open Price]])/Table133[[#This Row],[MKT Open Price]]</f>
        <v>1.6393442622950907E-2</v>
      </c>
      <c r="AH79" s="18">
        <f>(Table133[[#This Row],[PM Hi]]-Table133[[#This Row],[MKT Open Price]])/(Table133[[#This Row],[PM Hi]])</f>
        <v>3.1746031746031772E-2</v>
      </c>
      <c r="AI79" s="16">
        <f>IF(Table133[[#This Row],[PM LO]]&gt;Table133[[#This Row],[Prior day close]],(Table133[[#This Row],[PM Hi]]-Table133[[#This Row],[MKT Open Price]])/(Table133[[#This Row],[PM Hi]]-Table133[[#This Row],[Prior day close]]),(Table133[[#This Row],[PM Hi]]-Table133[[#This Row],[MKT Open Price]])/(Table133[[#This Row],[PM Hi]]-Table133[[#This Row],[PM LO]]))</f>
        <v>0.1509433962264152</v>
      </c>
      <c r="AJ79" s="16">
        <f>IF(Table133[[#This Row],[Prior day close]]&lt;Table133[[#This Row],[PM LO]],(I79-K79)/(I79-Table133[[#This Row],[Prior day close]]),(I79-K79)/(I79-Table133[[#This Row],[PM LO]]))</f>
        <v>0.53333333333333299</v>
      </c>
      <c r="AK79" s="16">
        <f>Table133[[#This Row],[Spike % on open before drop]]+AL79</f>
        <v>0.11475409836065577</v>
      </c>
      <c r="AL79" s="16">
        <f>(I79-K79)/I79</f>
        <v>9.8360655737704861E-2</v>
      </c>
      <c r="AM79" s="18">
        <f>IF($J79&gt;=$F79,($J79-$K79)/($J79),(IF($H79&lt;=$K79,($F79-$H79)/($F79),(Table133[[#This Row],[PM Hi]]-Table133[[#This Row],[Lowest lo from open to squeeze]])/(Table133[[#This Row],[PM Hi]]))))</f>
        <v>0.12698412698412695</v>
      </c>
      <c r="AN79" s="18">
        <f>IF(Table133[[#This Row],[Prior day close]]&lt;=Table133[[#This Row],[PM LO]],IF($J79&gt;=$F79,($J79-$K79)/($J79-Table133[[#This Row],[Prior day close]]),(IF($H79&lt;=$K79,($F79-$H79)/($F79-Table133[[#This Row],[Prior day close]]),(Table133[[#This Row],[PM Hi]]-Table133[[#This Row],[Lowest lo from open to squeeze]])/(Table133[[#This Row],[PM Hi]]-Table133[[#This Row],[Prior day close]])))),IF($J79&gt;=$F79,($J79-$K79)/($J79-Table133[[#This Row],[PM LO]]),(IF($H79&lt;=$K79,($F79-$H79)/($F79-Table133[[#This Row],[PM LO]]),(Table133[[#This Row],[PM Hi]]-Table133[[#This Row],[Lowest lo from open to squeeze]])/(Table133[[#This Row],[PM Hi]]-Table133[[#This Row],[PM LO]])))))</f>
        <v>0.60377358490566013</v>
      </c>
      <c r="AO79" s="18">
        <f>IF(J79&gt;=F79,(J79-K79)/(J79-D79),(IF(H79&lt;=K79,(F79-H79)/(F79-D79),(Table133[[#This Row],[PM Hi]]-Table133[[#This Row],[Lowest lo from open to squeeze]])/(Table133[[#This Row],[PM Hi]]-Table133[[#This Row],[Prior day close]]))))</f>
        <v>0.60377358490566013</v>
      </c>
      <c r="AP79" s="17">
        <f>390+Table133[[#This Row],[Time until ideal entry point (mins) from open]]</f>
        <v>393</v>
      </c>
      <c r="AQ79" s="51">
        <f>(Table133[[#This Row],[Time until ideal entry + 390 (6:30)]]+Table133[[#This Row],[Duration of frontside (mins)]])/1440</f>
        <v>0.33819444444444446</v>
      </c>
    </row>
    <row r="80" spans="1:43" x14ac:dyDescent="0.25">
      <c r="A80" s="10" t="s">
        <v>124</v>
      </c>
      <c r="B80" s="11">
        <v>44057</v>
      </c>
      <c r="C80" s="47" t="s">
        <v>78</v>
      </c>
      <c r="D80" s="12">
        <v>12.2</v>
      </c>
      <c r="E80" s="13">
        <v>14.66</v>
      </c>
      <c r="F80" s="12">
        <v>20.53</v>
      </c>
      <c r="G80" s="12">
        <v>14.66</v>
      </c>
      <c r="H80" s="12">
        <v>16.350000000000001</v>
      </c>
      <c r="I80" s="12">
        <v>18.41</v>
      </c>
      <c r="J80" s="12">
        <v>18.5</v>
      </c>
      <c r="K80" s="12">
        <v>16.25</v>
      </c>
      <c r="L80" s="12">
        <v>19.600000000000001</v>
      </c>
      <c r="M80" s="12">
        <v>19.600000000000001</v>
      </c>
      <c r="N80" s="13">
        <v>25653667</v>
      </c>
      <c r="O80" s="12">
        <v>398200545</v>
      </c>
      <c r="P80" s="13">
        <v>1333</v>
      </c>
      <c r="Q80" s="13">
        <v>90.89</v>
      </c>
      <c r="R80" s="13">
        <v>1712807</v>
      </c>
      <c r="S80" s="13" t="s">
        <v>44</v>
      </c>
      <c r="T80" t="s">
        <v>44</v>
      </c>
      <c r="U80">
        <v>35</v>
      </c>
      <c r="V80">
        <v>36</v>
      </c>
      <c r="W80">
        <v>16.39</v>
      </c>
      <c r="X80">
        <v>106</v>
      </c>
      <c r="Y80" s="15">
        <f>Table133[[#This Row],[Time until ideal entry + 390 (6:30)]]/(1440)</f>
        <v>0.29583333333333334</v>
      </c>
      <c r="Z80" s="18">
        <f>(F80-D80)/D80</f>
        <v>0.68278688524590181</v>
      </c>
      <c r="AA80" s="18">
        <f>IF(Table133[[#This Row],[HOD AFTER PM HI]]&gt;=Table133[[#This Row],[PM Hi]],((Table133[[#This Row],[HOD AFTER PM HI]]-Table133[[#This Row],[Prior day close]])/Table133[[#This Row],[Prior day close]]),Table133[[#This Row],[Prior Close to PM Hi %]])</f>
        <v>0.68278688524590181</v>
      </c>
      <c r="AB80" s="18">
        <f>(Table133[[#This Row],[Price at hi of squeeze]]-Table133[[#This Row],[MKT Open Price]])/Table133[[#This Row],[MKT Open Price]]</f>
        <v>6.4638783269962044E-2</v>
      </c>
      <c r="AC80" s="18">
        <f>(Table133[[#This Row],[Price at hi of squeeze]]-Table133[[#This Row],[PM Hi]])/Table133[[#This Row],[PM Hi]]</f>
        <v>-4.5299561617145621E-2</v>
      </c>
      <c r="AD80" s="18">
        <f>(M80-K80)/K80</f>
        <v>0.20615384615384624</v>
      </c>
      <c r="AE80" s="20">
        <f>Table133[[#This Row],[PM VOL]]/1000000/Table133[[#This Row],[FLOAT(M)]]</f>
        <v>1.8844834415227198E-2</v>
      </c>
      <c r="AF80" s="23">
        <f>(Table133[[#This Row],[Volume]]/1000000)/Table133[[#This Row],[FLOAT(M)]]</f>
        <v>0.28224960941797778</v>
      </c>
      <c r="AG80" s="18">
        <f>(Table133[[#This Row],[Hi of Spike after open before drop]]-Table133[[#This Row],[MKT Open Price]])/Table133[[#This Row],[MKT Open Price]]</f>
        <v>4.8886474741987969E-3</v>
      </c>
      <c r="AH80" s="18">
        <f>(Table133[[#This Row],[PM Hi]]-Table133[[#This Row],[MKT Open Price]])/(Table133[[#This Row],[PM Hi]])</f>
        <v>0.10326351680467613</v>
      </c>
      <c r="AI80" s="16">
        <f>IF(Table133[[#This Row],[PM LO]]&gt;Table133[[#This Row],[Prior day close]],(Table133[[#This Row],[PM Hi]]-Table133[[#This Row],[MKT Open Price]])/(Table133[[#This Row],[PM Hi]]-Table133[[#This Row],[Prior day close]]),(Table133[[#This Row],[PM Hi]]-Table133[[#This Row],[MKT Open Price]])/(Table133[[#This Row],[PM Hi]]-Table133[[#This Row],[PM LO]]))</f>
        <v>0.25450180072028816</v>
      </c>
      <c r="AJ80" s="16">
        <f>IF(Table133[[#This Row],[Prior day close]]&lt;Table133[[#This Row],[PM LO]],(I80-K80)/(I80-Table133[[#This Row],[Prior day close]]),(I80-K80)/(I80-Table133[[#This Row],[PM LO]]))</f>
        <v>0.34782608695652173</v>
      </c>
      <c r="AK80" s="16">
        <f>Table133[[#This Row],[Spike % on open before drop]]+AL80</f>
        <v>0.12221618685497013</v>
      </c>
      <c r="AL80" s="16">
        <f>(I80-K80)/I80</f>
        <v>0.11732753938077133</v>
      </c>
      <c r="AM80" s="18">
        <f>IF($J80&gt;=$F80,($J80-$K80)/($J80),(IF($H80&lt;=$K80,($F80-$H80)/($F80),(Table133[[#This Row],[PM Hi]]-Table133[[#This Row],[Lowest lo from open to squeeze]])/(Table133[[#This Row],[PM Hi]]))))</f>
        <v>0.20847540185094987</v>
      </c>
      <c r="AN80" s="18">
        <f>IF(Table133[[#This Row],[Prior day close]]&lt;=Table133[[#This Row],[PM LO]],IF($J80&gt;=$F80,($J80-$K80)/($J80-Table133[[#This Row],[Prior day close]]),(IF($H80&lt;=$K80,($F80-$H80)/($F80-Table133[[#This Row],[Prior day close]]),(Table133[[#This Row],[PM Hi]]-Table133[[#This Row],[Lowest lo from open to squeeze]])/(Table133[[#This Row],[PM Hi]]-Table133[[#This Row],[Prior day close]])))),IF($J80&gt;=$F80,($J80-$K80)/($J80-Table133[[#This Row],[PM LO]]),(IF($H80&lt;=$K80,($F80-$H80)/($F80-Table133[[#This Row],[PM LO]]),(Table133[[#This Row],[PM Hi]]-Table133[[#This Row],[Lowest lo from open to squeeze]])/(Table133[[#This Row],[PM Hi]]-Table133[[#This Row],[PM LO]])))))</f>
        <v>0.51380552220888354</v>
      </c>
      <c r="AO80" s="18">
        <f>IF(J80&gt;=F80,(J80-K80)/(J80-D80),(IF(H80&lt;=K80,(F80-H80)/(F80-D80),(Table133[[#This Row],[PM Hi]]-Table133[[#This Row],[Lowest lo from open to squeeze]])/(Table133[[#This Row],[PM Hi]]-Table133[[#This Row],[Prior day close]]))))</f>
        <v>0.51380552220888354</v>
      </c>
      <c r="AP80" s="17">
        <f>390+Table133[[#This Row],[Time until ideal entry point (mins) from open]]</f>
        <v>426</v>
      </c>
      <c r="AQ80" s="51">
        <f>(Table133[[#This Row],[Time until ideal entry + 390 (6:30)]]+Table133[[#This Row],[Duration of frontside (mins)]])/1440</f>
        <v>0.36944444444444446</v>
      </c>
    </row>
    <row r="81" spans="1:43" x14ac:dyDescent="0.25">
      <c r="A81" s="24" t="s">
        <v>216</v>
      </c>
      <c r="B81" s="47">
        <v>43892</v>
      </c>
      <c r="C81" s="47" t="s">
        <v>78</v>
      </c>
      <c r="D81" s="12">
        <v>16.3</v>
      </c>
      <c r="E81" s="13">
        <f>Table133[[#This Row],[Prior day close]]</f>
        <v>16.3</v>
      </c>
      <c r="F81" s="12">
        <v>24.73</v>
      </c>
      <c r="G81" s="12">
        <v>16.989999999999998</v>
      </c>
      <c r="H81" s="12">
        <v>22.25</v>
      </c>
      <c r="I81" s="12">
        <v>23.52</v>
      </c>
      <c r="J81" s="12">
        <v>23.52</v>
      </c>
      <c r="K81" s="12">
        <v>22</v>
      </c>
      <c r="L81" s="12">
        <v>29.61</v>
      </c>
      <c r="M81" s="12">
        <v>29.61</v>
      </c>
      <c r="N81" s="13">
        <v>18690109</v>
      </c>
      <c r="O81" s="12">
        <v>492484372</v>
      </c>
      <c r="P81" s="37">
        <v>1000</v>
      </c>
      <c r="Q81" s="46">
        <v>53.39</v>
      </c>
      <c r="R81" s="37">
        <v>968555</v>
      </c>
      <c r="S81" s="37" t="s">
        <v>42</v>
      </c>
      <c r="T81" s="37" t="s">
        <v>44</v>
      </c>
      <c r="U81" s="38">
        <v>2</v>
      </c>
      <c r="V81" s="46">
        <v>2</v>
      </c>
      <c r="W81" s="37">
        <v>22.29</v>
      </c>
      <c r="X81" s="46">
        <v>120</v>
      </c>
      <c r="Y81" s="41">
        <f>Table133[[#This Row],[Time until ideal entry + 390 (6:30)]]/(1440)</f>
        <v>0.2722222222222222</v>
      </c>
      <c r="Z81" s="18">
        <f>(F81-D81)/D81</f>
        <v>0.51717791411042946</v>
      </c>
      <c r="AA81" s="18">
        <f>IF(Table133[[#This Row],[HOD AFTER PM HI]]&gt;=Table133[[#This Row],[PM Hi]],((Table133[[#This Row],[HOD AFTER PM HI]]-Table133[[#This Row],[Prior day close]])/Table133[[#This Row],[Prior day close]]),Table133[[#This Row],[Prior Close to PM Hi %]])</f>
        <v>0.81656441717791395</v>
      </c>
      <c r="AB81" s="42">
        <f>(Table133[[#This Row],[Price at hi of squeeze]]-Table133[[#This Row],[MKT Open Price]])/Table133[[#This Row],[MKT Open Price]]</f>
        <v>0.25892857142857145</v>
      </c>
      <c r="AC81" s="18">
        <f>(Table133[[#This Row],[Price at hi of squeeze]]-Table133[[#This Row],[PM Hi]])/Table133[[#This Row],[PM Hi]]</f>
        <v>0.19733117670845124</v>
      </c>
      <c r="AD81" s="18"/>
      <c r="AE81" s="20">
        <f>Table133[[#This Row],[PM VOL]]/1000000/Table133[[#This Row],[FLOAT(M)]]</f>
        <v>1.8141131297995879E-2</v>
      </c>
      <c r="AF81" s="23">
        <f>(Table133[[#This Row],[Volume]]/1000000)/Table133[[#This Row],[FLOAT(M)]]</f>
        <v>0.35006759692826372</v>
      </c>
      <c r="AH81" s="18">
        <f>(Table133[[#This Row],[PM Hi]]-Table133[[#This Row],[MKT Open Price]])/(Table133[[#This Row],[PM Hi]])</f>
        <v>4.8928427011726679E-2</v>
      </c>
      <c r="AI81" s="18">
        <f>IF(Table133[[#This Row],[PM LO]]&gt;Table133[[#This Row],[Prior day close]],(Table133[[#This Row],[PM Hi]]-Table133[[#This Row],[MKT Open Price]])/(Table133[[#This Row],[PM Hi]]-Table133[[#This Row],[Prior day close]]),(Table133[[#This Row],[PM Hi]]-Table133[[#This Row],[MKT Open Price]])/(Table133[[#This Row],[PM Hi]]-Table133[[#This Row],[PM LO]]))</f>
        <v>0.14353499406880199</v>
      </c>
      <c r="AJ81" s="48">
        <f>IF(Table133[[#This Row],[Prior day close]]&lt;Table133[[#This Row],[PM LO]],(I81-K81)/(I81-Table133[[#This Row],[Prior day close]]),(I81-K81)/(I81-Table133[[#This Row],[PM LO]]))</f>
        <v>0.21052631578947364</v>
      </c>
      <c r="AK81" s="48">
        <f>Table133[[#This Row],[Spike % on open before drop]]+AL81</f>
        <v>6.4625850340136043E-2</v>
      </c>
      <c r="AL81" s="16">
        <f>(I81-K81)/I81</f>
        <v>6.4625850340136043E-2</v>
      </c>
      <c r="AM81" s="18">
        <f>IF($J81&gt;=$F81,($J81-$K81)/($J81),(IF($H81&lt;=$K81,($F81-$H81)/($F81),(Table133[[#This Row],[PM Hi]]-Table133[[#This Row],[Lowest lo from open to squeeze]])/(Table133[[#This Row],[PM Hi]]))))</f>
        <v>0.11039223615042459</v>
      </c>
      <c r="AN81" s="48">
        <f>IF(Table133[[#This Row],[Prior day close]]&lt;=Table133[[#This Row],[PM LO]],IF($J81&gt;=$F81,($J81-$K81)/($J81-Table133[[#This Row],[Prior day close]]),(IF($H81&lt;=$K81,($F81-$H81)/($F81-Table133[[#This Row],[Prior day close]]),(Table133[[#This Row],[PM Hi]]-Table133[[#This Row],[Lowest lo from open to squeeze]])/(Table133[[#This Row],[PM Hi]]-Table133[[#This Row],[Prior day close]])))),IF($J81&gt;=$F81,($J81-$K81)/($J81-Table133[[#This Row],[PM LO]]),(IF($H81&lt;=$K81,($F81-$H81)/($F81-Table133[[#This Row],[PM LO]]),(Table133[[#This Row],[PM Hi]]-Table133[[#This Row],[Lowest lo from open to squeeze]])/(Table133[[#This Row],[PM Hi]]-Table133[[#This Row],[PM LO]])))))</f>
        <v>0.32384341637010683</v>
      </c>
      <c r="AO81" s="18">
        <f>IF(J81&gt;=F81,(J81-K81)/(J81-D81),(IF(H81&lt;=K81,(F81-H81)/(F81-D81),(Table133[[#This Row],[PM Hi]]-Table133[[#This Row],[Lowest lo from open to squeeze]])/(Table133[[#This Row],[PM Hi]]-Table133[[#This Row],[Prior day close]]))))</f>
        <v>0.32384341637010683</v>
      </c>
      <c r="AP81" s="17">
        <f>390+Table133[[#This Row],[Time until ideal entry point (mins) from open]]</f>
        <v>392</v>
      </c>
      <c r="AQ81" s="17">
        <f>Table133[[#This Row],[Time until ideal entry + 390 (6:30)]]+Table133[[#This Row],[Duration of frontside (mins)]]</f>
        <v>512</v>
      </c>
    </row>
    <row r="82" spans="1:43" x14ac:dyDescent="0.25">
      <c r="A82" s="25" t="s">
        <v>61</v>
      </c>
      <c r="B82" s="11">
        <v>43909</v>
      </c>
      <c r="C82" s="47" t="s">
        <v>78</v>
      </c>
      <c r="D82" s="12">
        <v>18.2</v>
      </c>
      <c r="E82" s="13">
        <v>18.170000000000002</v>
      </c>
      <c r="F82" s="12">
        <v>25.5</v>
      </c>
      <c r="G82" s="12">
        <v>16.350000000000001</v>
      </c>
      <c r="H82" s="12">
        <v>21.07</v>
      </c>
      <c r="I82" s="12">
        <v>24.95</v>
      </c>
      <c r="J82" s="12">
        <v>25.8</v>
      </c>
      <c r="K82" s="12">
        <v>22.49</v>
      </c>
      <c r="L82" s="12">
        <v>28.84</v>
      </c>
      <c r="M82" s="12">
        <v>28.84</v>
      </c>
      <c r="N82" s="13">
        <v>24430750</v>
      </c>
      <c r="O82" s="12">
        <v>335761836</v>
      </c>
      <c r="P82" s="13">
        <v>206</v>
      </c>
      <c r="Q82" s="13">
        <v>8.1300000000000008</v>
      </c>
      <c r="R82" s="13">
        <v>1454586</v>
      </c>
      <c r="S82" s="13" t="s">
        <v>44</v>
      </c>
      <c r="T82" t="s">
        <v>42</v>
      </c>
      <c r="U82">
        <v>6</v>
      </c>
      <c r="V82">
        <v>7</v>
      </c>
      <c r="W82">
        <v>23.23</v>
      </c>
      <c r="X82">
        <v>13</v>
      </c>
      <c r="Y82" s="15">
        <f>Table133[[#This Row],[Time until ideal entry + 390 (6:30)]]/(1440)</f>
        <v>0.27569444444444446</v>
      </c>
      <c r="Z82" s="18">
        <f>(F82-D82)/D82</f>
        <v>0.40109890109890117</v>
      </c>
      <c r="AA82" s="18">
        <f>IF(Table133[[#This Row],[HOD AFTER PM HI]]&gt;=Table133[[#This Row],[PM Hi]],((Table133[[#This Row],[HOD AFTER PM HI]]-Table133[[#This Row],[Prior day close]])/Table133[[#This Row],[Prior day close]]),Table133[[#This Row],[Prior Close to PM Hi %]])</f>
        <v>0.58461538461538465</v>
      </c>
      <c r="AB82" s="18">
        <f>(Table133[[#This Row],[Price at hi of squeeze]]-Table133[[#This Row],[MKT Open Price]])/Table133[[#This Row],[MKT Open Price]]</f>
        <v>0.15591182364729461</v>
      </c>
      <c r="AC82" s="18">
        <f>(Table133[[#This Row],[Price at hi of squeeze]]-Table133[[#This Row],[PM Hi]])/Table133[[#This Row],[PM Hi]]</f>
        <v>0.13098039215686275</v>
      </c>
      <c r="AD82" s="18">
        <f>(M82-K82)/K82</f>
        <v>0.28234771009337489</v>
      </c>
      <c r="AE82" s="20">
        <f>Table133[[#This Row],[PM VOL]]/1000000/Table133[[#This Row],[FLOAT(M)]]</f>
        <v>0.17891586715867155</v>
      </c>
      <c r="AF82" s="23">
        <f>(Table133[[#This Row],[Volume]]/1000000)/Table133[[#This Row],[FLOAT(M)]]</f>
        <v>3.0050123001230009</v>
      </c>
      <c r="AG82" s="18">
        <f>(Table133[[#This Row],[Hi of Spike after open before drop]]-Table133[[#This Row],[MKT Open Price]])/Table133[[#This Row],[MKT Open Price]]</f>
        <v>3.4068136272545145E-2</v>
      </c>
      <c r="AH82" s="18">
        <f>(Table133[[#This Row],[PM Hi]]-Table133[[#This Row],[MKT Open Price]])/(Table133[[#This Row],[PM Hi]])</f>
        <v>2.156862745098042E-2</v>
      </c>
      <c r="AI82" s="16">
        <f>IF(Table133[[#This Row],[PM LO]]&gt;Table133[[#This Row],[Prior day close]],(Table133[[#This Row],[PM Hi]]-Table133[[#This Row],[MKT Open Price]])/(Table133[[#This Row],[PM Hi]]-Table133[[#This Row],[Prior day close]]),(Table133[[#This Row],[PM Hi]]-Table133[[#This Row],[MKT Open Price]])/(Table133[[#This Row],[PM Hi]]-Table133[[#This Row],[PM LO]]))</f>
        <v>6.0109289617486426E-2</v>
      </c>
      <c r="AJ82" s="16">
        <f>IF(Table133[[#This Row],[Prior day close]]&lt;Table133[[#This Row],[PM LO]],(I82-K82)/(I82-Table133[[#This Row],[Prior day close]]),(I82-K82)/(I82-Table133[[#This Row],[PM LO]]))</f>
        <v>0.28604651162790717</v>
      </c>
      <c r="AK82" s="16">
        <f>Table133[[#This Row],[Spike % on open before drop]]+AL82</f>
        <v>0.13266533066132274</v>
      </c>
      <c r="AL82" s="16">
        <f>(I82-K82)/I82</f>
        <v>9.8597194388777593E-2</v>
      </c>
      <c r="AM82" s="18">
        <f>IF($J82&gt;=$F82,($J82-$K82)/($J82-$D82),(IF($H82&lt;=$K82,($F82-$H82)/($F82-$D82),(Table133[[#This Row],[PM Hi]]-Table133[[#This Row],[Lowest lo from open to squeeze]])/(Table133[[#This Row],[PM Hi]]-Table133[[#This Row],[Prior day close]]))))</f>
        <v>0.43552631578947393</v>
      </c>
      <c r="AN82" s="18">
        <f>IF(Table133[[#This Row],[Prior day close]]&lt;=Table133[[#This Row],[PM LO]],IF($J82&gt;=$F82,($J82-$K82)/($J82-Table133[[#This Row],[Prior day close]]),(IF($H82&lt;=$K82,($F82-$H82)/($F82-Table133[[#This Row],[Prior day close]]),(Table133[[#This Row],[PM Hi]]-Table133[[#This Row],[Lowest lo from open to squeeze]])/(Table133[[#This Row],[PM Hi]]-Table133[[#This Row],[Prior day close]])))),IF($J82&gt;=$F82,($J82-$K82)/($J82-Table133[[#This Row],[PM LO]]),(IF($H82&lt;=$K82,($F82-$H82)/($F82-Table133[[#This Row],[PM LO]]),(Table133[[#This Row],[PM Hi]]-Table133[[#This Row],[Lowest lo from open to squeeze]])/(Table133[[#This Row],[PM Hi]]-Table133[[#This Row],[PM LO]])))))</f>
        <v>0.35026455026455056</v>
      </c>
      <c r="AO82" s="18">
        <f>3.32/7.67</f>
        <v>0.43285528031290743</v>
      </c>
      <c r="AP82" s="17">
        <f>390+Table133[[#This Row],[Time until ideal entry point (mins) from open]]</f>
        <v>397</v>
      </c>
      <c r="AQ82" s="51">
        <f>(Table133[[#This Row],[Time until ideal entry + 390 (6:30)]]+Table133[[#This Row],[Duration of frontside (mins)]])/1440</f>
        <v>0.28472222222222221</v>
      </c>
    </row>
    <row r="83" spans="1:43" x14ac:dyDescent="0.25">
      <c r="A83" s="24" t="s">
        <v>163</v>
      </c>
      <c r="B83" s="45">
        <v>44172</v>
      </c>
      <c r="C83" s="47" t="s">
        <v>78</v>
      </c>
      <c r="D83" s="12"/>
      <c r="E83" s="13">
        <f>Table133[[#This Row],[Prior day close]]</f>
        <v>0</v>
      </c>
      <c r="F83" s="12"/>
      <c r="G83" s="12"/>
      <c r="H83" s="12"/>
      <c r="I83" s="12"/>
      <c r="J83" s="12"/>
      <c r="K83" s="12"/>
      <c r="N83" s="13">
        <v>59199252</v>
      </c>
      <c r="O83" s="12">
        <v>474778001</v>
      </c>
      <c r="P83" s="37">
        <v>57</v>
      </c>
      <c r="Q83">
        <v>1.32</v>
      </c>
      <c r="R83" s="37">
        <v>3799664</v>
      </c>
      <c r="S83" s="37" t="s">
        <v>44</v>
      </c>
      <c r="T83" s="37" t="s">
        <v>44</v>
      </c>
      <c r="U83" s="38"/>
      <c r="V83"/>
      <c r="W83" s="39"/>
      <c r="X83"/>
      <c r="Y83" s="40">
        <f>Table133[[#This Row],[Time until ideal entry + 390 (6:30)]]/(1440)</f>
        <v>0.27083333333333331</v>
      </c>
      <c r="Z83" s="18" t="e">
        <f>(F83-D83)/D83</f>
        <v>#DIV/0!</v>
      </c>
      <c r="AA83" s="18" t="e">
        <f>IF(Table133[[#This Row],[HOD AFTER PM HI]]&gt;=Table133[[#This Row],[PM Hi]],((Table133[[#This Row],[HOD AFTER PM HI]]-Table133[[#This Row],[Prior day close]])/Table133[[#This Row],[Prior day close]]),Table133[[#This Row],[Prior Close to PM Hi %]])</f>
        <v>#DIV/0!</v>
      </c>
      <c r="AB83" s="42" t="e">
        <f>(Table133[[#This Row],[Price at hi of squeeze]]-Table133[[#This Row],[MKT Open Price]])/Table133[[#This Row],[MKT Open Price]]</f>
        <v>#DIV/0!</v>
      </c>
      <c r="AC83" s="18" t="e">
        <f>(Table133[[#This Row],[Price at hi of squeeze]]-Table133[[#This Row],[PM Hi]])/Table133[[#This Row],[PM Hi]]</f>
        <v>#DIV/0!</v>
      </c>
      <c r="AD83" s="18" t="e">
        <f>(M83-K83)/K83</f>
        <v>#DIV/0!</v>
      </c>
      <c r="AE83" s="20">
        <f>Table133[[#This Row],[PM VOL]]/1000000/Table133[[#This Row],[FLOAT(M)]]</f>
        <v>2.8785333333333329</v>
      </c>
      <c r="AF83" s="23">
        <f>(Table133[[#This Row],[Volume]]/1000000)/Table133[[#This Row],[FLOAT(M)]]</f>
        <v>44.84791818181818</v>
      </c>
      <c r="AH83" s="18" t="e">
        <f>(Table133[[#This Row],[PM Hi]]-Table133[[#This Row],[MKT Open Price]])/(Table133[[#This Row],[PM Hi]])</f>
        <v>#DIV/0!</v>
      </c>
      <c r="AI83" s="16" t="e">
        <f>IF(Table133[[#This Row],[PM LO]]&gt;Table133[[#This Row],[Prior day close]],(Table133[[#This Row],[PM Hi]]-Table133[[#This Row],[MKT Open Price]])/(Table133[[#This Row],[PM Hi]]-Table133[[#This Row],[Prior day close]]),(Table133[[#This Row],[PM Hi]]-Table133[[#This Row],[MKT Open Price]])/(Table133[[#This Row],[PM Hi]]-Table133[[#This Row],[PM LO]]))</f>
        <v>#DIV/0!</v>
      </c>
      <c r="AJ83" s="18" t="e">
        <f>IF(Table133[[#This Row],[Prior day close]]&lt;Table133[[#This Row],[PM LO]],(I83-K83)/(I83-Table133[[#This Row],[Prior day close]]),(I83-K83)/(I83-Table133[[#This Row],[PM LO]]))</f>
        <v>#DIV/0!</v>
      </c>
      <c r="AK83" s="18" t="e">
        <f>Table133[[#This Row],[Spike % on open before drop]]+AL83</f>
        <v>#DIV/0!</v>
      </c>
      <c r="AL83" s="16" t="e">
        <f>(I83-K83)/I83</f>
        <v>#DIV/0!</v>
      </c>
      <c r="AM83" s="18" t="e">
        <f>IF($J83&gt;=$F83,($J83-$K83)/($J83),(IF($H83&lt;=$K83,($F83-$H83)/($F83),(Table133[[#This Row],[PM Hi]]-Table133[[#This Row],[Lowest lo from open to squeeze]])/(Table133[[#This Row],[PM Hi]]))))</f>
        <v>#DIV/0!</v>
      </c>
      <c r="AN83" s="18" t="e">
        <f>IF(Table133[[#This Row],[Prior day close]]&lt;=Table133[[#This Row],[PM LO]],IF($J83&gt;=$F83,($J83-$K83)/($J83-Table133[[#This Row],[Prior day close]]),(IF($H83&lt;=$K83,($F83-$H83)/($F83-Table133[[#This Row],[Prior day close]]),(Table133[[#This Row],[PM Hi]]-Table133[[#This Row],[Lowest lo from open to squeeze]])/(Table133[[#This Row],[PM Hi]]-Table133[[#This Row],[Prior day close]])))),IF($J83&gt;=$F83,($J83-$K83)/($J83-Table133[[#This Row],[PM LO]]),(IF($H83&lt;=$K83,($F83-$H83)/($F83-Table133[[#This Row],[PM LO]]),(Table133[[#This Row],[PM Hi]]-Table133[[#This Row],[Lowest lo from open to squeeze]])/(Table133[[#This Row],[PM Hi]]-Table133[[#This Row],[PM LO]])))))</f>
        <v>#DIV/0!</v>
      </c>
      <c r="AO83" s="18" t="e">
        <f>IF(J83&gt;=F83,(J83-K83)/(J83-D83),(IF(H83&lt;=K83,(F83-H83)/(F83-D83),(Table133[[#This Row],[PM Hi]]-Table133[[#This Row],[Lowest lo from open to squeeze]])/(Table133[[#This Row],[PM Hi]]-Table133[[#This Row],[Prior day close]]))))</f>
        <v>#DIV/0!</v>
      </c>
      <c r="AP83" s="17">
        <f>390+Table133[[#This Row],[Time until ideal entry point (mins) from open]]</f>
        <v>390</v>
      </c>
      <c r="AQ83" s="51">
        <f>(Table133[[#This Row],[Time until ideal entry + 390 (6:30)]]+Table133[[#This Row],[Duration of frontside (mins)]])/1440</f>
        <v>0.27083333333333331</v>
      </c>
    </row>
    <row r="84" spans="1:43" x14ac:dyDescent="0.25">
      <c r="A84" s="24" t="s">
        <v>192</v>
      </c>
      <c r="B84" s="47">
        <v>44211</v>
      </c>
      <c r="C84" s="47" t="s">
        <v>78</v>
      </c>
      <c r="D84" s="12"/>
      <c r="E84" s="13">
        <f>Table133[[#This Row],[Prior day close]]</f>
        <v>0</v>
      </c>
      <c r="F84" s="12"/>
      <c r="G84" s="12"/>
      <c r="H84" s="12"/>
      <c r="I84" s="12"/>
      <c r="J84" s="12"/>
      <c r="K84" s="12"/>
      <c r="N84" s="13"/>
      <c r="P84" s="37"/>
      <c r="Q84" s="46"/>
      <c r="R84" s="37"/>
      <c r="S84" s="37"/>
      <c r="T84" s="37"/>
      <c r="U84" s="38"/>
      <c r="V84" s="46"/>
      <c r="W84" s="37"/>
      <c r="X84" s="46"/>
      <c r="Y84" s="41">
        <f>Table133[[#This Row],[Time until ideal entry + 390 (6:30)]]/(1440)</f>
        <v>0.27083333333333331</v>
      </c>
      <c r="Z84" s="18" t="e">
        <f>(F84-D84)/D84</f>
        <v>#DIV/0!</v>
      </c>
      <c r="AA84" s="18" t="e">
        <f>IF(Table133[[#This Row],[HOD AFTER PM HI]]&gt;=Table133[[#This Row],[PM Hi]],((Table133[[#This Row],[HOD AFTER PM HI]]-Table133[[#This Row],[Prior day close]])/Table133[[#This Row],[Prior day close]]),Table133[[#This Row],[Prior Close to PM Hi %]])</f>
        <v>#DIV/0!</v>
      </c>
      <c r="AB84" s="42" t="e">
        <f>(Table133[[#This Row],[Price at hi of squeeze]]-Table133[[#This Row],[MKT Open Price]])/Table133[[#This Row],[MKT Open Price]]</f>
        <v>#DIV/0!</v>
      </c>
      <c r="AC84" s="18" t="e">
        <f>(Table133[[#This Row],[Price at hi of squeeze]]-Table133[[#This Row],[PM Hi]])/Table133[[#This Row],[PM Hi]]</f>
        <v>#DIV/0!</v>
      </c>
      <c r="AD84" s="18"/>
      <c r="AE84" s="20" t="e">
        <f>Table133[[#This Row],[PM VOL]]/1000000/Table133[[#This Row],[FLOAT(M)]]</f>
        <v>#DIV/0!</v>
      </c>
      <c r="AF84" s="23" t="e">
        <f>(Table133[[#This Row],[Volume]]/1000000)/Table133[[#This Row],[FLOAT(M)]]</f>
        <v>#DIV/0!</v>
      </c>
      <c r="AH84" s="18" t="e">
        <f>(Table133[[#This Row],[PM Hi]]-Table133[[#This Row],[MKT Open Price]])/(Table133[[#This Row],[PM Hi]])</f>
        <v>#DIV/0!</v>
      </c>
      <c r="AI84" s="18" t="e">
        <f>IF(Table133[[#This Row],[PM LO]]&gt;Table133[[#This Row],[Prior day close]],(Table133[[#This Row],[PM Hi]]-Table133[[#This Row],[MKT Open Price]])/(Table133[[#This Row],[PM Hi]]-Table133[[#This Row],[Prior day close]]),(Table133[[#This Row],[PM Hi]]-Table133[[#This Row],[MKT Open Price]])/(Table133[[#This Row],[PM Hi]]-Table133[[#This Row],[PM LO]]))</f>
        <v>#DIV/0!</v>
      </c>
      <c r="AJ84" s="48" t="e">
        <f>IF(Table133[[#This Row],[Prior day close]]&lt;Table133[[#This Row],[PM LO]],(I84-K84)/(I84-Table133[[#This Row],[Prior day close]]),(I84-K84)/(I84-Table133[[#This Row],[PM LO]]))</f>
        <v>#DIV/0!</v>
      </c>
      <c r="AK84" s="48" t="e">
        <f>Table133[[#This Row],[Spike % on open before drop]]+AL84</f>
        <v>#DIV/0!</v>
      </c>
      <c r="AL84" s="16" t="e">
        <f>(I84-K84)/I84</f>
        <v>#DIV/0!</v>
      </c>
      <c r="AM84" s="18" t="e">
        <f>IF($J84&gt;=$F84,($J84-$K84)/($J84),(IF($H84&lt;=$K84,($F84-$H84)/($F84),(Table133[[#This Row],[PM Hi]]-Table133[[#This Row],[Lowest lo from open to squeeze]])/(Table133[[#This Row],[PM Hi]]))))</f>
        <v>#DIV/0!</v>
      </c>
      <c r="AN84" s="48" t="e">
        <f>IF(Table133[[#This Row],[Prior day close]]&lt;=Table133[[#This Row],[PM LO]],IF($J84&gt;=$F84,($J84-$K84)/($J84-Table133[[#This Row],[Prior day close]]),(IF($H84&lt;=$K84,($F84-$H84)/($F84-Table133[[#This Row],[Prior day close]]),(Table133[[#This Row],[PM Hi]]-Table133[[#This Row],[Lowest lo from open to squeeze]])/(Table133[[#This Row],[PM Hi]]-Table133[[#This Row],[Prior day close]])))),IF($J84&gt;=$F84,($J84-$K84)/($J84-Table133[[#This Row],[PM LO]]),(IF($H84&lt;=$K84,($F84-$H84)/($F84-Table133[[#This Row],[PM LO]]),(Table133[[#This Row],[PM Hi]]-Table133[[#This Row],[Lowest lo from open to squeeze]])/(Table133[[#This Row],[PM Hi]]-Table133[[#This Row],[PM LO]])))))</f>
        <v>#DIV/0!</v>
      </c>
      <c r="AO84" s="18" t="e">
        <f>IF(J84&gt;=F84,(J84-K84)/(J84-D84),(IF(H84&lt;=K84,(F84-H84)/(F84-D84),(Table133[[#This Row],[PM Hi]]-Table133[[#This Row],[Lowest lo from open to squeeze]])/(Table133[[#This Row],[PM Hi]]-Table133[[#This Row],[Prior day close]]))))</f>
        <v>#DIV/0!</v>
      </c>
      <c r="AP84" s="17">
        <f>390+Table133[[#This Row],[Time until ideal entry point (mins) from open]]</f>
        <v>390</v>
      </c>
      <c r="AQ84" s="17">
        <f>Table133[[#This Row],[Time until ideal entry + 390 (6:30)]]+Table133[[#This Row],[Duration of frontside (mins)]]</f>
        <v>390</v>
      </c>
    </row>
    <row r="85" spans="1:43" x14ac:dyDescent="0.25">
      <c r="A85" s="24" t="s">
        <v>83</v>
      </c>
      <c r="B85" s="47">
        <v>44215</v>
      </c>
      <c r="C85" s="47" t="s">
        <v>178</v>
      </c>
      <c r="D85" s="12"/>
      <c r="E85" s="13"/>
      <c r="F85" s="12"/>
      <c r="G85" s="12"/>
      <c r="H85" s="12"/>
      <c r="I85" s="12"/>
      <c r="J85" s="12"/>
      <c r="K85" s="12"/>
      <c r="N85" s="13"/>
      <c r="P85" s="37"/>
      <c r="Q85" s="46"/>
      <c r="R85" s="37"/>
      <c r="S85" s="37"/>
      <c r="T85" s="37"/>
      <c r="U85" s="38"/>
      <c r="V85" s="46"/>
      <c r="W85" s="37"/>
      <c r="X85" s="46"/>
      <c r="Y85" s="41">
        <f>Table133[[#This Row],[Time until ideal entry + 390 (6:30)]]/(1440)</f>
        <v>0.27083333333333331</v>
      </c>
      <c r="Z85" s="18" t="e">
        <f>(F85-D85)/D85</f>
        <v>#DIV/0!</v>
      </c>
      <c r="AA85" s="18" t="e">
        <f>IF(Table133[[#This Row],[HOD AFTER PM HI]]&gt;=Table133[[#This Row],[PM Hi]],((Table133[[#This Row],[HOD AFTER PM HI]]-Table133[[#This Row],[Prior day close]])/Table133[[#This Row],[Prior day close]]),Table133[[#This Row],[Prior Close to PM Hi %]])</f>
        <v>#DIV/0!</v>
      </c>
      <c r="AB85" s="42" t="e">
        <f>(Table133[[#This Row],[Price at hi of squeeze]]-Table133[[#This Row],[MKT Open Price]])/Table133[[#This Row],[MKT Open Price]]</f>
        <v>#DIV/0!</v>
      </c>
      <c r="AC85" s="18" t="e">
        <f>(Table133[[#This Row],[Price at hi of squeeze]]-Table133[[#This Row],[PM Hi]])/Table133[[#This Row],[PM Hi]]</f>
        <v>#DIV/0!</v>
      </c>
      <c r="AD85" s="18"/>
      <c r="AE85" s="20" t="e">
        <f>Table133[[#This Row],[PM VOL]]/1000000/Table133[[#This Row],[FLOAT(M)]]</f>
        <v>#DIV/0!</v>
      </c>
      <c r="AF85" s="23" t="e">
        <f>(Table133[[#This Row],[Volume]]/1000000)/Table133[[#This Row],[FLOAT(M)]]</f>
        <v>#DIV/0!</v>
      </c>
      <c r="AH85" s="18" t="e">
        <f>(Table133[[#This Row],[PM Hi]]-Table133[[#This Row],[MKT Open Price]])/(Table133[[#This Row],[PM Hi]])</f>
        <v>#DIV/0!</v>
      </c>
      <c r="AI85" s="18" t="e">
        <f>IF(Table133[[#This Row],[PM LO]]&gt;Table133[[#This Row],[Prior day close]],(Table133[[#This Row],[PM Hi]]-Table133[[#This Row],[MKT Open Price]])/(Table133[[#This Row],[PM Hi]]-Table133[[#This Row],[Prior day close]]),(Table133[[#This Row],[PM Hi]]-Table133[[#This Row],[MKT Open Price]])/(Table133[[#This Row],[PM Hi]]-Table133[[#This Row],[PM LO]]))</f>
        <v>#DIV/0!</v>
      </c>
      <c r="AJ85" s="48" t="e">
        <f>IF(Table133[[#This Row],[Prior day close]]&lt;Table133[[#This Row],[PM LO]],(I85-K85)/(I85-Table133[[#This Row],[Prior day close]]),(I85-K85)/(I85-Table133[[#This Row],[PM LO]]))</f>
        <v>#DIV/0!</v>
      </c>
      <c r="AK85" s="48" t="e">
        <f>Table133[[#This Row],[Spike % on open before drop]]+AL85</f>
        <v>#DIV/0!</v>
      </c>
      <c r="AL85" s="16" t="e">
        <f>(I85-K85)/I85</f>
        <v>#DIV/0!</v>
      </c>
      <c r="AM85" s="18" t="e">
        <f>IF($J85&gt;=$F85,($J85-$K85)/($J85),(IF($H85&lt;=$K85,($F85-$H85)/($F85),(Table133[[#This Row],[PM Hi]]-Table133[[#This Row],[Lowest lo from open to squeeze]])/(Table133[[#This Row],[PM Hi]]))))</f>
        <v>#DIV/0!</v>
      </c>
      <c r="AN85" s="48" t="e">
        <f>IF(Table133[[#This Row],[Prior day close]]&lt;=Table133[[#This Row],[PM LO]],IF($J85&gt;=$F85,($J85-$K85)/($J85-Table133[[#This Row],[Prior day close]]),(IF($H85&lt;=$K85,($F85-$H85)/($F85-Table133[[#This Row],[Prior day close]]),(Table133[[#This Row],[PM Hi]]-Table133[[#This Row],[Lowest lo from open to squeeze]])/(Table133[[#This Row],[PM Hi]]-Table133[[#This Row],[Prior day close]])))),IF($J85&gt;=$F85,($J85-$K85)/($J85-Table133[[#This Row],[PM LO]]),(IF($H85&lt;=$K85,($F85-$H85)/($F85-Table133[[#This Row],[PM LO]]),(Table133[[#This Row],[PM Hi]]-Table133[[#This Row],[Lowest lo from open to squeeze]])/(Table133[[#This Row],[PM Hi]]-Table133[[#This Row],[PM LO]])))))</f>
        <v>#DIV/0!</v>
      </c>
      <c r="AO85" s="18" t="e">
        <f>IF(J85&gt;=F85,(J85-K85)/(J85-D85),(IF(H85&lt;=K85,(F85-H85)/(F85-D85),(Table133[[#This Row],[PM Hi]]-Table133[[#This Row],[Lowest lo from open to squeeze]])/(Table133[[#This Row],[PM Hi]]-Table133[[#This Row],[Prior day close]]))))</f>
        <v>#DIV/0!</v>
      </c>
      <c r="AP85" s="17">
        <f>390+Table133[[#This Row],[Time until ideal entry point (mins) from open]]</f>
        <v>390</v>
      </c>
      <c r="AQ85" s="17">
        <f>Table133[[#This Row],[Time until ideal entry + 390 (6:30)]]+Table133[[#This Row],[Duration of frontside (mins)]]</f>
        <v>390</v>
      </c>
    </row>
    <row r="86" spans="1:43" x14ac:dyDescent="0.25">
      <c r="A86" s="24" t="s">
        <v>243</v>
      </c>
      <c r="B86" s="47">
        <v>43999</v>
      </c>
      <c r="C86" s="47" t="s">
        <v>78</v>
      </c>
      <c r="D86" s="12"/>
      <c r="E86" s="13">
        <f>Table133[[#This Row],[Prior day close]]</f>
        <v>0</v>
      </c>
      <c r="F86" s="12"/>
      <c r="G86" s="12"/>
      <c r="H86" s="12"/>
      <c r="I86" s="12"/>
      <c r="J86" s="12"/>
      <c r="K86" s="12"/>
      <c r="N86" s="13"/>
      <c r="P86" s="37"/>
      <c r="Q86" s="46"/>
      <c r="R86" s="37"/>
      <c r="S86" s="37"/>
      <c r="T86" s="37"/>
      <c r="U86" s="38"/>
      <c r="V86" s="46"/>
      <c r="W86" s="37"/>
      <c r="X86" s="46"/>
      <c r="Y86" s="41">
        <f>Table133[[#This Row],[Time until ideal entry + 390 (6:30)]]/(1440)</f>
        <v>0.27083333333333331</v>
      </c>
      <c r="Z86" s="18" t="e">
        <f>(F86-D86)/D86</f>
        <v>#DIV/0!</v>
      </c>
      <c r="AA86" s="18" t="e">
        <f>IF(Table133[[#This Row],[HOD AFTER PM HI]]&gt;=Table133[[#This Row],[PM Hi]],((Table133[[#This Row],[HOD AFTER PM HI]]-Table133[[#This Row],[Prior day close]])/Table133[[#This Row],[Prior day close]]),Table133[[#This Row],[Prior Close to PM Hi %]])</f>
        <v>#DIV/0!</v>
      </c>
      <c r="AB86" s="42" t="e">
        <f>(Table133[[#This Row],[Price at hi of squeeze]]-Table133[[#This Row],[MKT Open Price]])/Table133[[#This Row],[MKT Open Price]]</f>
        <v>#DIV/0!</v>
      </c>
      <c r="AC86" s="18" t="e">
        <f>(Table133[[#This Row],[Price at hi of squeeze]]-Table133[[#This Row],[PM Hi]])/Table133[[#This Row],[PM Hi]]</f>
        <v>#DIV/0!</v>
      </c>
      <c r="AD86" s="18"/>
      <c r="AE86" s="20" t="e">
        <f>Table133[[#This Row],[PM VOL]]/1000000/Table133[[#This Row],[FLOAT(M)]]</f>
        <v>#DIV/0!</v>
      </c>
      <c r="AF86" s="23" t="e">
        <f>(Table133[[#This Row],[Volume]]/1000000)/Table133[[#This Row],[FLOAT(M)]]</f>
        <v>#DIV/0!</v>
      </c>
      <c r="AH86" s="18" t="e">
        <f>(Table133[[#This Row],[PM Hi]]-Table133[[#This Row],[MKT Open Price]])/(Table133[[#This Row],[PM Hi]])</f>
        <v>#DIV/0!</v>
      </c>
      <c r="AI86" s="18" t="e">
        <f>IF(Table133[[#This Row],[PM LO]]&gt;Table133[[#This Row],[Prior day close]],(Table133[[#This Row],[PM Hi]]-Table133[[#This Row],[MKT Open Price]])/(Table133[[#This Row],[PM Hi]]-Table133[[#This Row],[Prior day close]]),(Table133[[#This Row],[PM Hi]]-Table133[[#This Row],[MKT Open Price]])/(Table133[[#This Row],[PM Hi]]-Table133[[#This Row],[PM LO]]))</f>
        <v>#DIV/0!</v>
      </c>
      <c r="AJ86" s="48" t="e">
        <f>IF(Table133[[#This Row],[Prior day close]]&lt;Table133[[#This Row],[PM LO]],(I86-K86)/(I86-Table133[[#This Row],[Prior day close]]),(I86-K86)/(I86-Table133[[#This Row],[PM LO]]))</f>
        <v>#DIV/0!</v>
      </c>
      <c r="AK86" s="48" t="e">
        <f>Table133[[#This Row],[Spike % on open before drop]]+AL86</f>
        <v>#DIV/0!</v>
      </c>
      <c r="AL86" s="16" t="e">
        <f>(I86-K86)/I86</f>
        <v>#DIV/0!</v>
      </c>
      <c r="AM86" s="18" t="e">
        <f>IF($J86&gt;=$F86,($J86-$K86)/($J86),(IF($H86&lt;=$K86,($F86-$H86)/($F86),(Table133[[#This Row],[PM Hi]]-Table133[[#This Row],[Lowest lo from open to squeeze]])/(Table133[[#This Row],[PM Hi]]))))</f>
        <v>#DIV/0!</v>
      </c>
      <c r="AN86" s="48" t="e">
        <f>IF(Table133[[#This Row],[Prior day close]]&lt;=Table133[[#This Row],[PM LO]],IF($J86&gt;=$F86,($J86-$K86)/($J86-Table133[[#This Row],[Prior day close]]),(IF($H86&lt;=$K86,($F86-$H86)/($F86-Table133[[#This Row],[Prior day close]]),(Table133[[#This Row],[PM Hi]]-Table133[[#This Row],[Lowest lo from open to squeeze]])/(Table133[[#This Row],[PM Hi]]-Table133[[#This Row],[Prior day close]])))),IF($J86&gt;=$F86,($J86-$K86)/($J86-Table133[[#This Row],[PM LO]]),(IF($H86&lt;=$K86,($F86-$H86)/($F86-Table133[[#This Row],[PM LO]]),(Table133[[#This Row],[PM Hi]]-Table133[[#This Row],[Lowest lo from open to squeeze]])/(Table133[[#This Row],[PM Hi]]-Table133[[#This Row],[PM LO]])))))</f>
        <v>#DIV/0!</v>
      </c>
      <c r="AO86" s="18" t="e">
        <f>IF(J86&gt;=F86,(J86-K86)/(J86-D86),(IF(H86&lt;=K86,(F86-H86)/(F86-D86),(Table133[[#This Row],[PM Hi]]-Table133[[#This Row],[Lowest lo from open to squeeze]])/(Table133[[#This Row],[PM Hi]]-Table133[[#This Row],[Prior day close]]))))</f>
        <v>#DIV/0!</v>
      </c>
      <c r="AP86" s="17">
        <f>390+Table133[[#This Row],[Time until ideal entry point (mins) from open]]</f>
        <v>390</v>
      </c>
      <c r="AQ86" s="17">
        <f>Table133[[#This Row],[Time until ideal entry + 390 (6:30)]]+Table133[[#This Row],[Duration of frontside (mins)]]</f>
        <v>390</v>
      </c>
    </row>
    <row r="87" spans="1:43" x14ac:dyDescent="0.25">
      <c r="A87" s="24" t="s">
        <v>248</v>
      </c>
      <c r="B87" s="47">
        <v>44014</v>
      </c>
      <c r="C87" s="47" t="s">
        <v>78</v>
      </c>
      <c r="D87" s="12"/>
      <c r="E87" s="13">
        <f>Table133[[#This Row],[Prior day close]]</f>
        <v>0</v>
      </c>
      <c r="F87" s="12"/>
      <c r="G87" s="12"/>
      <c r="H87" s="12"/>
      <c r="I87" s="12"/>
      <c r="J87" s="12"/>
      <c r="K87" s="12"/>
      <c r="N87" s="13"/>
      <c r="P87" s="37"/>
      <c r="Q87" s="46"/>
      <c r="R87" s="37"/>
      <c r="S87" s="37"/>
      <c r="T87" s="37"/>
      <c r="U87" s="38"/>
      <c r="V87" s="46"/>
      <c r="W87" s="37"/>
      <c r="X87" s="46"/>
      <c r="Y87" s="41">
        <f>Table133[[#This Row],[Time until ideal entry + 390 (6:30)]]/(1440)</f>
        <v>0.27083333333333331</v>
      </c>
      <c r="Z87" s="18" t="e">
        <f>(F87-D87)/D87</f>
        <v>#DIV/0!</v>
      </c>
      <c r="AA87" s="18" t="e">
        <f>IF(Table133[[#This Row],[HOD AFTER PM HI]]&gt;=Table133[[#This Row],[PM Hi]],((Table133[[#This Row],[HOD AFTER PM HI]]-Table133[[#This Row],[Prior day close]])/Table133[[#This Row],[Prior day close]]),Table133[[#This Row],[Prior Close to PM Hi %]])</f>
        <v>#DIV/0!</v>
      </c>
      <c r="AB87" s="42" t="e">
        <f>(Table133[[#This Row],[Price at hi of squeeze]]-Table133[[#This Row],[MKT Open Price]])/Table133[[#This Row],[MKT Open Price]]</f>
        <v>#DIV/0!</v>
      </c>
      <c r="AC87" s="18" t="e">
        <f>(Table133[[#This Row],[Price at hi of squeeze]]-Table133[[#This Row],[PM Hi]])/Table133[[#This Row],[PM Hi]]</f>
        <v>#DIV/0!</v>
      </c>
      <c r="AD87" s="18"/>
      <c r="AE87" s="20" t="e">
        <f>Table133[[#This Row],[PM VOL]]/1000000/Table133[[#This Row],[FLOAT(M)]]</f>
        <v>#DIV/0!</v>
      </c>
      <c r="AF87" s="23" t="e">
        <f>(Table133[[#This Row],[Volume]]/1000000)/Table133[[#This Row],[FLOAT(M)]]</f>
        <v>#DIV/0!</v>
      </c>
      <c r="AH87" s="18" t="e">
        <f>(Table133[[#This Row],[PM Hi]]-Table133[[#This Row],[MKT Open Price]])/(Table133[[#This Row],[PM Hi]])</f>
        <v>#DIV/0!</v>
      </c>
      <c r="AI87" s="18" t="e">
        <f>IF(Table133[[#This Row],[PM LO]]&gt;Table133[[#This Row],[Prior day close]],(Table133[[#This Row],[PM Hi]]-Table133[[#This Row],[MKT Open Price]])/(Table133[[#This Row],[PM Hi]]-Table133[[#This Row],[Prior day close]]),(Table133[[#This Row],[PM Hi]]-Table133[[#This Row],[MKT Open Price]])/(Table133[[#This Row],[PM Hi]]-Table133[[#This Row],[PM LO]]))</f>
        <v>#DIV/0!</v>
      </c>
      <c r="AJ87" s="48" t="e">
        <f>IF(Table133[[#This Row],[Prior day close]]&lt;Table133[[#This Row],[PM LO]],(I87-K87)/(I87-Table133[[#This Row],[Prior day close]]),(I87-K87)/(I87-Table133[[#This Row],[PM LO]]))</f>
        <v>#DIV/0!</v>
      </c>
      <c r="AK87" s="48" t="e">
        <f>Table133[[#This Row],[Spike % on open before drop]]+AL87</f>
        <v>#DIV/0!</v>
      </c>
      <c r="AL87" s="16" t="e">
        <f>(I87-K87)/I87</f>
        <v>#DIV/0!</v>
      </c>
      <c r="AM87" s="18" t="e">
        <f>IF($J87&gt;=$F87,($J87-$K87)/($J87),(IF($H87&lt;=$K87,($F87-$H87)/($F87),(Table133[[#This Row],[PM Hi]]-Table133[[#This Row],[Lowest lo from open to squeeze]])/(Table133[[#This Row],[PM Hi]]))))</f>
        <v>#DIV/0!</v>
      </c>
      <c r="AN87" s="48" t="e">
        <f>IF(Table133[[#This Row],[Prior day close]]&lt;=Table133[[#This Row],[PM LO]],IF($J87&gt;=$F87,($J87-$K87)/($J87-Table133[[#This Row],[Prior day close]]),(IF($H87&lt;=$K87,($F87-$H87)/($F87-Table133[[#This Row],[Prior day close]]),(Table133[[#This Row],[PM Hi]]-Table133[[#This Row],[Lowest lo from open to squeeze]])/(Table133[[#This Row],[PM Hi]]-Table133[[#This Row],[Prior day close]])))),IF($J87&gt;=$F87,($J87-$K87)/($J87-Table133[[#This Row],[PM LO]]),(IF($H87&lt;=$K87,($F87-$H87)/($F87-Table133[[#This Row],[PM LO]]),(Table133[[#This Row],[PM Hi]]-Table133[[#This Row],[Lowest lo from open to squeeze]])/(Table133[[#This Row],[PM Hi]]-Table133[[#This Row],[PM LO]])))))</f>
        <v>#DIV/0!</v>
      </c>
      <c r="AO87" s="18" t="e">
        <f>IF(J87&gt;=F87,(J87-K87)/(J87-D87),(IF(H87&lt;=K87,(F87-H87)/(F87-D87),(Table133[[#This Row],[PM Hi]]-Table133[[#This Row],[Lowest lo from open to squeeze]])/(Table133[[#This Row],[PM Hi]]-Table133[[#This Row],[Prior day close]]))))</f>
        <v>#DIV/0!</v>
      </c>
      <c r="AP87" s="17">
        <f>390+Table133[[#This Row],[Time until ideal entry point (mins) from open]]</f>
        <v>390</v>
      </c>
      <c r="AQ87" s="17">
        <f>Table133[[#This Row],[Time until ideal entry + 390 (6:30)]]+Table133[[#This Row],[Duration of frontside (mins)]]</f>
        <v>390</v>
      </c>
    </row>
    <row r="88" spans="1:43" x14ac:dyDescent="0.25">
      <c r="A88" s="24" t="s">
        <v>269</v>
      </c>
      <c r="B88" s="47">
        <v>44092</v>
      </c>
      <c r="C88" s="47" t="s">
        <v>78</v>
      </c>
      <c r="D88" s="12"/>
      <c r="E88" s="13">
        <f>Table133[[#This Row],[Prior day close]]</f>
        <v>0</v>
      </c>
      <c r="F88" s="12"/>
      <c r="G88" s="12"/>
      <c r="H88" s="12"/>
      <c r="I88" s="12"/>
      <c r="J88" s="12"/>
      <c r="K88" s="12"/>
      <c r="N88" s="13"/>
      <c r="P88" s="37"/>
      <c r="Q88" s="46"/>
      <c r="R88" s="37"/>
      <c r="S88" s="37"/>
      <c r="T88" s="37"/>
      <c r="U88" s="38"/>
      <c r="V88" s="46"/>
      <c r="W88" s="37"/>
      <c r="X88" s="46"/>
      <c r="Y88" s="41">
        <f>Table133[[#This Row],[Time until ideal entry + 390 (6:30)]]/(1440)</f>
        <v>0.27083333333333331</v>
      </c>
      <c r="Z88" s="18" t="e">
        <f>(F88-D88)/D88</f>
        <v>#DIV/0!</v>
      </c>
      <c r="AA88" s="18" t="e">
        <f>IF(Table133[[#This Row],[HOD AFTER PM HI]]&gt;=Table133[[#This Row],[PM Hi]],((Table133[[#This Row],[HOD AFTER PM HI]]-Table133[[#This Row],[Prior day close]])/Table133[[#This Row],[Prior day close]]),Table133[[#This Row],[Prior Close to PM Hi %]])</f>
        <v>#DIV/0!</v>
      </c>
      <c r="AB88" s="42" t="e">
        <f>(Table133[[#This Row],[Price at hi of squeeze]]-Table133[[#This Row],[MKT Open Price]])/Table133[[#This Row],[MKT Open Price]]</f>
        <v>#DIV/0!</v>
      </c>
      <c r="AC88" s="18" t="e">
        <f>(Table133[[#This Row],[Price at hi of squeeze]]-Table133[[#This Row],[PM Hi]])/Table133[[#This Row],[PM Hi]]</f>
        <v>#DIV/0!</v>
      </c>
      <c r="AD88" s="18"/>
      <c r="AE88" s="20" t="e">
        <f>Table133[[#This Row],[PM VOL]]/1000000/Table133[[#This Row],[FLOAT(M)]]</f>
        <v>#DIV/0!</v>
      </c>
      <c r="AF88" s="23" t="e">
        <f>(Table133[[#This Row],[Volume]]/1000000)/Table133[[#This Row],[FLOAT(M)]]</f>
        <v>#DIV/0!</v>
      </c>
      <c r="AH88" s="18" t="e">
        <f>(Table133[[#This Row],[PM Hi]]-Table133[[#This Row],[MKT Open Price]])/(Table133[[#This Row],[PM Hi]])</f>
        <v>#DIV/0!</v>
      </c>
      <c r="AI88" s="18" t="e">
        <f>IF(Table133[[#This Row],[PM LO]]&gt;Table133[[#This Row],[Prior day close]],(Table133[[#This Row],[PM Hi]]-Table133[[#This Row],[MKT Open Price]])/(Table133[[#This Row],[PM Hi]]-Table133[[#This Row],[Prior day close]]),(Table133[[#This Row],[PM Hi]]-Table133[[#This Row],[MKT Open Price]])/(Table133[[#This Row],[PM Hi]]-Table133[[#This Row],[PM LO]]))</f>
        <v>#DIV/0!</v>
      </c>
      <c r="AJ88" s="48" t="e">
        <f>IF(Table133[[#This Row],[Prior day close]]&lt;Table133[[#This Row],[PM LO]],(I88-K88)/(I88-Table133[[#This Row],[Prior day close]]),(I88-K88)/(I88-Table133[[#This Row],[PM LO]]))</f>
        <v>#DIV/0!</v>
      </c>
      <c r="AK88" s="48" t="e">
        <f>Table133[[#This Row],[Spike % on open before drop]]+AL88</f>
        <v>#DIV/0!</v>
      </c>
      <c r="AL88" s="16" t="e">
        <f>(I88-K88)/I88</f>
        <v>#DIV/0!</v>
      </c>
      <c r="AM88" s="18" t="e">
        <f>IF($J88&gt;=$F88,($J88-$K88)/($J88),(IF($H88&lt;=$K88,($F88-$H88)/($F88),(Table133[[#This Row],[PM Hi]]-Table133[[#This Row],[Lowest lo from open to squeeze]])/(Table133[[#This Row],[PM Hi]]))))</f>
        <v>#DIV/0!</v>
      </c>
      <c r="AN88" s="48" t="e">
        <f>IF(Table133[[#This Row],[Prior day close]]&lt;=Table133[[#This Row],[PM LO]],IF($J88&gt;=$F88,($J88-$K88)/($J88-Table133[[#This Row],[Prior day close]]),(IF($H88&lt;=$K88,($F88-$H88)/($F88-Table133[[#This Row],[Prior day close]]),(Table133[[#This Row],[PM Hi]]-Table133[[#This Row],[Lowest lo from open to squeeze]])/(Table133[[#This Row],[PM Hi]]-Table133[[#This Row],[Prior day close]])))),IF($J88&gt;=$F88,($J88-$K88)/($J88-Table133[[#This Row],[PM LO]]),(IF($H88&lt;=$K88,($F88-$H88)/($F88-Table133[[#This Row],[PM LO]]),(Table133[[#This Row],[PM Hi]]-Table133[[#This Row],[Lowest lo from open to squeeze]])/(Table133[[#This Row],[PM Hi]]-Table133[[#This Row],[PM LO]])))))</f>
        <v>#DIV/0!</v>
      </c>
      <c r="AO88" s="18" t="e">
        <f>IF(J88&gt;=F88,(J88-K88)/(J88-D88),(IF(H88&lt;=K88,(F88-H88)/(F88-D88),(Table133[[#This Row],[PM Hi]]-Table133[[#This Row],[Lowest lo from open to squeeze]])/(Table133[[#This Row],[PM Hi]]-Table133[[#This Row],[Prior day close]]))))</f>
        <v>#DIV/0!</v>
      </c>
      <c r="AP88" s="17">
        <f>390+Table133[[#This Row],[Time until ideal entry point (mins) from open]]</f>
        <v>390</v>
      </c>
      <c r="AQ88" s="17">
        <f>Table133[[#This Row],[Time until ideal entry + 390 (6:30)]]+Table133[[#This Row],[Duration of frontside (mins)]]</f>
        <v>390</v>
      </c>
    </row>
    <row r="89" spans="1:43" x14ac:dyDescent="0.25">
      <c r="A89" s="24" t="s">
        <v>259</v>
      </c>
      <c r="B89" s="47">
        <v>44096</v>
      </c>
      <c r="C89" s="47" t="s">
        <v>78</v>
      </c>
      <c r="D89" s="12"/>
      <c r="E89" s="13">
        <f>Table133[[#This Row],[Prior day close]]</f>
        <v>0</v>
      </c>
      <c r="F89" s="12"/>
      <c r="G89" s="12"/>
      <c r="H89" s="12"/>
      <c r="I89" s="12"/>
      <c r="J89" s="12"/>
      <c r="K89" s="12"/>
      <c r="N89" s="13"/>
      <c r="P89" s="37"/>
      <c r="Q89" s="46"/>
      <c r="R89" s="37"/>
      <c r="S89" s="37"/>
      <c r="T89" s="37"/>
      <c r="U89" s="38"/>
      <c r="V89" s="46"/>
      <c r="W89" s="37"/>
      <c r="X89" s="46"/>
      <c r="Y89" s="41">
        <f>Table133[[#This Row],[Time until ideal entry + 390 (6:30)]]/(1440)</f>
        <v>0.27083333333333331</v>
      </c>
      <c r="Z89" s="18" t="e">
        <f>(F89-D89)/D89</f>
        <v>#DIV/0!</v>
      </c>
      <c r="AA89" s="18" t="e">
        <f>IF(Table133[[#This Row],[HOD AFTER PM HI]]&gt;=Table133[[#This Row],[PM Hi]],((Table133[[#This Row],[HOD AFTER PM HI]]-Table133[[#This Row],[Prior day close]])/Table133[[#This Row],[Prior day close]]),Table133[[#This Row],[Prior Close to PM Hi %]])</f>
        <v>#DIV/0!</v>
      </c>
      <c r="AB89" s="42" t="e">
        <f>(Table133[[#This Row],[Price at hi of squeeze]]-Table133[[#This Row],[MKT Open Price]])/Table133[[#This Row],[MKT Open Price]]</f>
        <v>#DIV/0!</v>
      </c>
      <c r="AC89" s="18" t="e">
        <f>(Table133[[#This Row],[Price at hi of squeeze]]-Table133[[#This Row],[PM Hi]])/Table133[[#This Row],[PM Hi]]</f>
        <v>#DIV/0!</v>
      </c>
      <c r="AD89" s="18"/>
      <c r="AE89" s="20" t="e">
        <f>Table133[[#This Row],[PM VOL]]/1000000/Table133[[#This Row],[FLOAT(M)]]</f>
        <v>#DIV/0!</v>
      </c>
      <c r="AF89" s="23" t="e">
        <f>(Table133[[#This Row],[Volume]]/1000000)/Table133[[#This Row],[FLOAT(M)]]</f>
        <v>#DIV/0!</v>
      </c>
      <c r="AH89" s="18" t="e">
        <f>(Table133[[#This Row],[PM Hi]]-Table133[[#This Row],[MKT Open Price]])/(Table133[[#This Row],[PM Hi]])</f>
        <v>#DIV/0!</v>
      </c>
      <c r="AI89" s="18" t="e">
        <f>IF(Table133[[#This Row],[PM LO]]&gt;Table133[[#This Row],[Prior day close]],(Table133[[#This Row],[PM Hi]]-Table133[[#This Row],[MKT Open Price]])/(Table133[[#This Row],[PM Hi]]-Table133[[#This Row],[Prior day close]]),(Table133[[#This Row],[PM Hi]]-Table133[[#This Row],[MKT Open Price]])/(Table133[[#This Row],[PM Hi]]-Table133[[#This Row],[PM LO]]))</f>
        <v>#DIV/0!</v>
      </c>
      <c r="AJ89" s="48" t="e">
        <f>IF(Table133[[#This Row],[Prior day close]]&lt;Table133[[#This Row],[PM LO]],(I89-K89)/(I89-Table133[[#This Row],[Prior day close]]),(I89-K89)/(I89-Table133[[#This Row],[PM LO]]))</f>
        <v>#DIV/0!</v>
      </c>
      <c r="AK89" s="48" t="e">
        <f>Table133[[#This Row],[Spike % on open before drop]]+AL89</f>
        <v>#DIV/0!</v>
      </c>
      <c r="AL89" s="16" t="e">
        <f>(I89-K89)/I89</f>
        <v>#DIV/0!</v>
      </c>
      <c r="AM89" s="18" t="e">
        <f>IF($J89&gt;=$F89,($J89-$K89)/($J89),(IF($H89&lt;=$K89,($F89-$H89)/($F89),(Table133[[#This Row],[PM Hi]]-Table133[[#This Row],[Lowest lo from open to squeeze]])/(Table133[[#This Row],[PM Hi]]))))</f>
        <v>#DIV/0!</v>
      </c>
      <c r="AN89" s="48" t="e">
        <f>IF(Table133[[#This Row],[Prior day close]]&lt;=Table133[[#This Row],[PM LO]],IF($J89&gt;=$F89,($J89-$K89)/($J89-Table133[[#This Row],[Prior day close]]),(IF($H89&lt;=$K89,($F89-$H89)/($F89-Table133[[#This Row],[Prior day close]]),(Table133[[#This Row],[PM Hi]]-Table133[[#This Row],[Lowest lo from open to squeeze]])/(Table133[[#This Row],[PM Hi]]-Table133[[#This Row],[Prior day close]])))),IF($J89&gt;=$F89,($J89-$K89)/($J89-Table133[[#This Row],[PM LO]]),(IF($H89&lt;=$K89,($F89-$H89)/($F89-Table133[[#This Row],[PM LO]]),(Table133[[#This Row],[PM Hi]]-Table133[[#This Row],[Lowest lo from open to squeeze]])/(Table133[[#This Row],[PM Hi]]-Table133[[#This Row],[PM LO]])))))</f>
        <v>#DIV/0!</v>
      </c>
      <c r="AO89" s="18" t="e">
        <f>IF(J89&gt;=F89,(J89-K89)/(J89-D89),(IF(H89&lt;=K89,(F89-H89)/(F89-D89),(Table133[[#This Row],[PM Hi]]-Table133[[#This Row],[Lowest lo from open to squeeze]])/(Table133[[#This Row],[PM Hi]]-Table133[[#This Row],[Prior day close]]))))</f>
        <v>#DIV/0!</v>
      </c>
      <c r="AP89" s="17">
        <f>390+Table133[[#This Row],[Time until ideal entry point (mins) from open]]</f>
        <v>390</v>
      </c>
      <c r="AQ89" s="17">
        <f>Table133[[#This Row],[Time until ideal entry + 390 (6:30)]]+Table133[[#This Row],[Duration of frontside (mins)]]</f>
        <v>390</v>
      </c>
    </row>
    <row r="90" spans="1:43" x14ac:dyDescent="0.25">
      <c r="A90" s="24" t="s">
        <v>270</v>
      </c>
      <c r="B90" s="47">
        <v>44096</v>
      </c>
      <c r="C90" s="47" t="s">
        <v>78</v>
      </c>
      <c r="D90" s="12"/>
      <c r="E90" s="13">
        <f>Table133[[#This Row],[Prior day close]]</f>
        <v>0</v>
      </c>
      <c r="F90" s="12"/>
      <c r="G90" s="12"/>
      <c r="H90" s="12"/>
      <c r="I90" s="12"/>
      <c r="J90" s="12"/>
      <c r="K90" s="12"/>
      <c r="N90" s="13"/>
      <c r="P90" s="37"/>
      <c r="Q90" s="46"/>
      <c r="R90" s="37"/>
      <c r="S90" s="37"/>
      <c r="T90" s="37"/>
      <c r="U90" s="38"/>
      <c r="V90" s="46"/>
      <c r="W90" s="37"/>
      <c r="X90" s="46"/>
      <c r="Y90" s="41">
        <f>Table133[[#This Row],[Time until ideal entry + 390 (6:30)]]/(1440)</f>
        <v>0.27083333333333331</v>
      </c>
      <c r="Z90" s="18" t="e">
        <f>(F90-D90)/D90</f>
        <v>#DIV/0!</v>
      </c>
      <c r="AA90" s="18" t="e">
        <f>IF(Table133[[#This Row],[HOD AFTER PM HI]]&gt;=Table133[[#This Row],[PM Hi]],((Table133[[#This Row],[HOD AFTER PM HI]]-Table133[[#This Row],[Prior day close]])/Table133[[#This Row],[Prior day close]]),Table133[[#This Row],[Prior Close to PM Hi %]])</f>
        <v>#DIV/0!</v>
      </c>
      <c r="AB90" s="42" t="e">
        <f>(Table133[[#This Row],[Price at hi of squeeze]]-Table133[[#This Row],[MKT Open Price]])/Table133[[#This Row],[MKT Open Price]]</f>
        <v>#DIV/0!</v>
      </c>
      <c r="AC90" s="18" t="e">
        <f>(Table133[[#This Row],[Price at hi of squeeze]]-Table133[[#This Row],[PM Hi]])/Table133[[#This Row],[PM Hi]]</f>
        <v>#DIV/0!</v>
      </c>
      <c r="AD90" s="18"/>
      <c r="AE90" s="20" t="e">
        <f>Table133[[#This Row],[PM VOL]]/1000000/Table133[[#This Row],[FLOAT(M)]]</f>
        <v>#DIV/0!</v>
      </c>
      <c r="AF90" s="23" t="e">
        <f>(Table133[[#This Row],[Volume]]/1000000)/Table133[[#This Row],[FLOAT(M)]]</f>
        <v>#DIV/0!</v>
      </c>
      <c r="AH90" s="18" t="e">
        <f>(Table133[[#This Row],[PM Hi]]-Table133[[#This Row],[MKT Open Price]])/(Table133[[#This Row],[PM Hi]])</f>
        <v>#DIV/0!</v>
      </c>
      <c r="AI90" s="18" t="e">
        <f>IF(Table133[[#This Row],[PM LO]]&gt;Table133[[#This Row],[Prior day close]],(Table133[[#This Row],[PM Hi]]-Table133[[#This Row],[MKT Open Price]])/(Table133[[#This Row],[PM Hi]]-Table133[[#This Row],[Prior day close]]),(Table133[[#This Row],[PM Hi]]-Table133[[#This Row],[MKT Open Price]])/(Table133[[#This Row],[PM Hi]]-Table133[[#This Row],[PM LO]]))</f>
        <v>#DIV/0!</v>
      </c>
      <c r="AJ90" s="48" t="e">
        <f>IF(Table133[[#This Row],[Prior day close]]&lt;Table133[[#This Row],[PM LO]],(I90-K90)/(I90-Table133[[#This Row],[Prior day close]]),(I90-K90)/(I90-Table133[[#This Row],[PM LO]]))</f>
        <v>#DIV/0!</v>
      </c>
      <c r="AK90" s="48" t="e">
        <f>Table133[[#This Row],[Spike % on open before drop]]+AL90</f>
        <v>#DIV/0!</v>
      </c>
      <c r="AL90" s="16" t="e">
        <f>(I90-K90)/I90</f>
        <v>#DIV/0!</v>
      </c>
      <c r="AM90" s="18" t="e">
        <f>IF($J90&gt;=$F90,($J90-$K90)/($J90),(IF($H90&lt;=$K90,($F90-$H90)/($F90),(Table133[[#This Row],[PM Hi]]-Table133[[#This Row],[Lowest lo from open to squeeze]])/(Table133[[#This Row],[PM Hi]]))))</f>
        <v>#DIV/0!</v>
      </c>
      <c r="AN90" s="48" t="e">
        <f>IF(Table133[[#This Row],[Prior day close]]&lt;=Table133[[#This Row],[PM LO]],IF($J90&gt;=$F90,($J90-$K90)/($J90-Table133[[#This Row],[Prior day close]]),(IF($H90&lt;=$K90,($F90-$H90)/($F90-Table133[[#This Row],[Prior day close]]),(Table133[[#This Row],[PM Hi]]-Table133[[#This Row],[Lowest lo from open to squeeze]])/(Table133[[#This Row],[PM Hi]]-Table133[[#This Row],[Prior day close]])))),IF($J90&gt;=$F90,($J90-$K90)/($J90-Table133[[#This Row],[PM LO]]),(IF($H90&lt;=$K90,($F90-$H90)/($F90-Table133[[#This Row],[PM LO]]),(Table133[[#This Row],[PM Hi]]-Table133[[#This Row],[Lowest lo from open to squeeze]])/(Table133[[#This Row],[PM Hi]]-Table133[[#This Row],[PM LO]])))))</f>
        <v>#DIV/0!</v>
      </c>
      <c r="AO90" s="18" t="e">
        <f>IF(J90&gt;=F90,(J90-K90)/(J90-D90),(IF(H90&lt;=K90,(F90-H90)/(F90-D90),(Table133[[#This Row],[PM Hi]]-Table133[[#This Row],[Lowest lo from open to squeeze]])/(Table133[[#This Row],[PM Hi]]-Table133[[#This Row],[Prior day close]]))))</f>
        <v>#DIV/0!</v>
      </c>
      <c r="AP90" s="17">
        <f>390+Table133[[#This Row],[Time until ideal entry point (mins) from open]]</f>
        <v>390</v>
      </c>
      <c r="AQ90" s="17">
        <f>Table133[[#This Row],[Time until ideal entry + 390 (6:30)]]+Table133[[#This Row],[Duration of frontside (mins)]]</f>
        <v>390</v>
      </c>
    </row>
    <row r="91" spans="1:43" x14ac:dyDescent="0.25">
      <c r="A91" s="24" t="s">
        <v>274</v>
      </c>
      <c r="B91" s="47">
        <v>44105</v>
      </c>
      <c r="C91" s="47" t="s">
        <v>78</v>
      </c>
      <c r="D91" s="12"/>
      <c r="E91" s="13">
        <f>Table133[[#This Row],[Prior day close]]</f>
        <v>0</v>
      </c>
      <c r="F91" s="12"/>
      <c r="G91" s="12"/>
      <c r="H91" s="12"/>
      <c r="I91" s="12"/>
      <c r="J91" s="12"/>
      <c r="K91" s="12"/>
      <c r="N91" s="13"/>
      <c r="P91" s="37"/>
      <c r="Q91" s="46"/>
      <c r="R91" s="37"/>
      <c r="S91" s="37"/>
      <c r="T91" s="37"/>
      <c r="U91" s="38"/>
      <c r="V91" s="46"/>
      <c r="W91" s="37"/>
      <c r="X91" s="46"/>
      <c r="Y91" s="41">
        <f>Table133[[#This Row],[Time until ideal entry + 390 (6:30)]]/(1440)</f>
        <v>0.27083333333333331</v>
      </c>
      <c r="Z91" s="18" t="e">
        <f>(F91-D91)/D91</f>
        <v>#DIV/0!</v>
      </c>
      <c r="AA91" s="18" t="e">
        <f>IF(Table133[[#This Row],[HOD AFTER PM HI]]&gt;=Table133[[#This Row],[PM Hi]],((Table133[[#This Row],[HOD AFTER PM HI]]-Table133[[#This Row],[Prior day close]])/Table133[[#This Row],[Prior day close]]),Table133[[#This Row],[Prior Close to PM Hi %]])</f>
        <v>#DIV/0!</v>
      </c>
      <c r="AB91" s="42" t="e">
        <f>(Table133[[#This Row],[Price at hi of squeeze]]-Table133[[#This Row],[MKT Open Price]])/Table133[[#This Row],[MKT Open Price]]</f>
        <v>#DIV/0!</v>
      </c>
      <c r="AC91" s="18" t="e">
        <f>(Table133[[#This Row],[Price at hi of squeeze]]-Table133[[#This Row],[PM Hi]])/Table133[[#This Row],[PM Hi]]</f>
        <v>#DIV/0!</v>
      </c>
      <c r="AD91" s="18"/>
      <c r="AE91" s="20" t="e">
        <f>Table133[[#This Row],[PM VOL]]/1000000/Table133[[#This Row],[FLOAT(M)]]</f>
        <v>#DIV/0!</v>
      </c>
      <c r="AF91" s="23" t="e">
        <f>(Table133[[#This Row],[Volume]]/1000000)/Table133[[#This Row],[FLOAT(M)]]</f>
        <v>#DIV/0!</v>
      </c>
      <c r="AH91" s="18" t="e">
        <f>(Table133[[#This Row],[PM Hi]]-Table133[[#This Row],[MKT Open Price]])/(Table133[[#This Row],[PM Hi]])</f>
        <v>#DIV/0!</v>
      </c>
      <c r="AI91" s="18" t="e">
        <f>IF(Table133[[#This Row],[PM LO]]&gt;Table133[[#This Row],[Prior day close]],(Table133[[#This Row],[PM Hi]]-Table133[[#This Row],[MKT Open Price]])/(Table133[[#This Row],[PM Hi]]-Table133[[#This Row],[Prior day close]]),(Table133[[#This Row],[PM Hi]]-Table133[[#This Row],[MKT Open Price]])/(Table133[[#This Row],[PM Hi]]-Table133[[#This Row],[PM LO]]))</f>
        <v>#DIV/0!</v>
      </c>
      <c r="AJ91" s="48" t="e">
        <f>IF(Table133[[#This Row],[Prior day close]]&lt;Table133[[#This Row],[PM LO]],(I91-K91)/(I91-Table133[[#This Row],[Prior day close]]),(I91-K91)/(I91-Table133[[#This Row],[PM LO]]))</f>
        <v>#DIV/0!</v>
      </c>
      <c r="AK91" s="48" t="e">
        <f>Table133[[#This Row],[Spike % on open before drop]]+AL91</f>
        <v>#DIV/0!</v>
      </c>
      <c r="AL91" s="16" t="e">
        <f>(I91-K91)/I91</f>
        <v>#DIV/0!</v>
      </c>
      <c r="AM91" s="18" t="e">
        <f>IF($J91&gt;=$F91,($J91-$K91)/($J91),(IF($H91&lt;=$K91,($F91-$H91)/($F91),(Table133[[#This Row],[PM Hi]]-Table133[[#This Row],[Lowest lo from open to squeeze]])/(Table133[[#This Row],[PM Hi]]))))</f>
        <v>#DIV/0!</v>
      </c>
      <c r="AN91" s="48" t="e">
        <f>IF(Table133[[#This Row],[Prior day close]]&lt;=Table133[[#This Row],[PM LO]],IF($J91&gt;=$F91,($J91-$K91)/($J91-Table133[[#This Row],[Prior day close]]),(IF($H91&lt;=$K91,($F91-$H91)/($F91-Table133[[#This Row],[Prior day close]]),(Table133[[#This Row],[PM Hi]]-Table133[[#This Row],[Lowest lo from open to squeeze]])/(Table133[[#This Row],[PM Hi]]-Table133[[#This Row],[Prior day close]])))),IF($J91&gt;=$F91,($J91-$K91)/($J91-Table133[[#This Row],[PM LO]]),(IF($H91&lt;=$K91,($F91-$H91)/($F91-Table133[[#This Row],[PM LO]]),(Table133[[#This Row],[PM Hi]]-Table133[[#This Row],[Lowest lo from open to squeeze]])/(Table133[[#This Row],[PM Hi]]-Table133[[#This Row],[PM LO]])))))</f>
        <v>#DIV/0!</v>
      </c>
      <c r="AO91" s="18" t="e">
        <f>IF(J91&gt;=F91,(J91-K91)/(J91-D91),(IF(H91&lt;=K91,(F91-H91)/(F91-D91),(Table133[[#This Row],[PM Hi]]-Table133[[#This Row],[Lowest lo from open to squeeze]])/(Table133[[#This Row],[PM Hi]]-Table133[[#This Row],[Prior day close]]))))</f>
        <v>#DIV/0!</v>
      </c>
      <c r="AP91" s="17">
        <f>390+Table133[[#This Row],[Time until ideal entry point (mins) from open]]</f>
        <v>390</v>
      </c>
      <c r="AQ91" s="17">
        <f>Table133[[#This Row],[Time until ideal entry + 390 (6:30)]]+Table133[[#This Row],[Duration of frontside (mins)]]</f>
        <v>390</v>
      </c>
    </row>
    <row r="92" spans="1:43" x14ac:dyDescent="0.25">
      <c r="A92" s="24" t="s">
        <v>276</v>
      </c>
      <c r="B92" s="47">
        <v>44109</v>
      </c>
      <c r="C92" s="47" t="s">
        <v>78</v>
      </c>
      <c r="D92" s="12"/>
      <c r="E92" s="13">
        <f>Table133[[#This Row],[Prior day close]]</f>
        <v>0</v>
      </c>
      <c r="F92" s="12"/>
      <c r="G92" s="12"/>
      <c r="H92" s="12"/>
      <c r="I92" s="12"/>
      <c r="J92" s="12"/>
      <c r="K92" s="12"/>
      <c r="N92" s="13"/>
      <c r="P92" s="37"/>
      <c r="Q92" s="46"/>
      <c r="R92" s="37"/>
      <c r="S92" s="37"/>
      <c r="T92" s="37"/>
      <c r="U92" s="38"/>
      <c r="V92" s="46"/>
      <c r="W92" s="37"/>
      <c r="X92" s="46"/>
      <c r="Y92" s="41">
        <f>Table133[[#This Row],[Time until ideal entry + 390 (6:30)]]/(1440)</f>
        <v>0.27083333333333331</v>
      </c>
      <c r="Z92" s="18" t="e">
        <f>(F92-D92)/D92</f>
        <v>#DIV/0!</v>
      </c>
      <c r="AA92" s="18" t="e">
        <f>IF(Table133[[#This Row],[HOD AFTER PM HI]]&gt;=Table133[[#This Row],[PM Hi]],((Table133[[#This Row],[HOD AFTER PM HI]]-Table133[[#This Row],[Prior day close]])/Table133[[#This Row],[Prior day close]]),Table133[[#This Row],[Prior Close to PM Hi %]])</f>
        <v>#DIV/0!</v>
      </c>
      <c r="AB92" s="42" t="e">
        <f>(Table133[[#This Row],[Price at hi of squeeze]]-Table133[[#This Row],[MKT Open Price]])/Table133[[#This Row],[MKT Open Price]]</f>
        <v>#DIV/0!</v>
      </c>
      <c r="AC92" s="18" t="e">
        <f>(Table133[[#This Row],[Price at hi of squeeze]]-Table133[[#This Row],[PM Hi]])/Table133[[#This Row],[PM Hi]]</f>
        <v>#DIV/0!</v>
      </c>
      <c r="AD92" s="18"/>
      <c r="AE92" s="20" t="e">
        <f>Table133[[#This Row],[PM VOL]]/1000000/Table133[[#This Row],[FLOAT(M)]]</f>
        <v>#DIV/0!</v>
      </c>
      <c r="AF92" s="23" t="e">
        <f>(Table133[[#This Row],[Volume]]/1000000)/Table133[[#This Row],[FLOAT(M)]]</f>
        <v>#DIV/0!</v>
      </c>
      <c r="AH92" s="18" t="e">
        <f>(Table133[[#This Row],[PM Hi]]-Table133[[#This Row],[MKT Open Price]])/(Table133[[#This Row],[PM Hi]])</f>
        <v>#DIV/0!</v>
      </c>
      <c r="AI92" s="18" t="e">
        <f>IF(Table133[[#This Row],[PM LO]]&gt;Table133[[#This Row],[Prior day close]],(Table133[[#This Row],[PM Hi]]-Table133[[#This Row],[MKT Open Price]])/(Table133[[#This Row],[PM Hi]]-Table133[[#This Row],[Prior day close]]),(Table133[[#This Row],[PM Hi]]-Table133[[#This Row],[MKT Open Price]])/(Table133[[#This Row],[PM Hi]]-Table133[[#This Row],[PM LO]]))</f>
        <v>#DIV/0!</v>
      </c>
      <c r="AJ92" s="48" t="e">
        <f>IF(Table133[[#This Row],[Prior day close]]&lt;Table133[[#This Row],[PM LO]],(I92-K92)/(I92-Table133[[#This Row],[Prior day close]]),(I92-K92)/(I92-Table133[[#This Row],[PM LO]]))</f>
        <v>#DIV/0!</v>
      </c>
      <c r="AK92" s="48" t="e">
        <f>Table133[[#This Row],[Spike % on open before drop]]+AL92</f>
        <v>#DIV/0!</v>
      </c>
      <c r="AL92" s="16" t="e">
        <f>(I92-K92)/I92</f>
        <v>#DIV/0!</v>
      </c>
      <c r="AM92" s="18" t="e">
        <f>IF($J92&gt;=$F92,($J92-$K92)/($J92),(IF($H92&lt;=$K92,($F92-$H92)/($F92),(Table133[[#This Row],[PM Hi]]-Table133[[#This Row],[Lowest lo from open to squeeze]])/(Table133[[#This Row],[PM Hi]]))))</f>
        <v>#DIV/0!</v>
      </c>
      <c r="AN92" s="48" t="e">
        <f>IF(Table133[[#This Row],[Prior day close]]&lt;=Table133[[#This Row],[PM LO]],IF($J92&gt;=$F92,($J92-$K92)/($J92-Table133[[#This Row],[Prior day close]]),(IF($H92&lt;=$K92,($F92-$H92)/($F92-Table133[[#This Row],[Prior day close]]),(Table133[[#This Row],[PM Hi]]-Table133[[#This Row],[Lowest lo from open to squeeze]])/(Table133[[#This Row],[PM Hi]]-Table133[[#This Row],[Prior day close]])))),IF($J92&gt;=$F92,($J92-$K92)/($J92-Table133[[#This Row],[PM LO]]),(IF($H92&lt;=$K92,($F92-$H92)/($F92-Table133[[#This Row],[PM LO]]),(Table133[[#This Row],[PM Hi]]-Table133[[#This Row],[Lowest lo from open to squeeze]])/(Table133[[#This Row],[PM Hi]]-Table133[[#This Row],[PM LO]])))))</f>
        <v>#DIV/0!</v>
      </c>
      <c r="AO92" s="18" t="e">
        <f>IF(J92&gt;=F92,(J92-K92)/(J92-D92),(IF(H92&lt;=K92,(F92-H92)/(F92-D92),(Table133[[#This Row],[PM Hi]]-Table133[[#This Row],[Lowest lo from open to squeeze]])/(Table133[[#This Row],[PM Hi]]-Table133[[#This Row],[Prior day close]]))))</f>
        <v>#DIV/0!</v>
      </c>
      <c r="AP92" s="17">
        <f>390+Table133[[#This Row],[Time until ideal entry point (mins) from open]]</f>
        <v>390</v>
      </c>
      <c r="AQ92" s="17">
        <f>Table133[[#This Row],[Time until ideal entry + 390 (6:30)]]+Table133[[#This Row],[Duration of frontside (mins)]]</f>
        <v>390</v>
      </c>
    </row>
    <row r="93" spans="1:43" x14ac:dyDescent="0.25">
      <c r="A93" s="24" t="s">
        <v>277</v>
      </c>
      <c r="B93" s="47">
        <v>44113</v>
      </c>
      <c r="C93" s="47" t="s">
        <v>78</v>
      </c>
      <c r="D93" s="12"/>
      <c r="E93" s="13">
        <f>Table133[[#This Row],[Prior day close]]</f>
        <v>0</v>
      </c>
      <c r="F93" s="12"/>
      <c r="G93" s="12"/>
      <c r="H93" s="12"/>
      <c r="I93" s="12"/>
      <c r="J93" s="12"/>
      <c r="K93" s="12"/>
      <c r="N93" s="13"/>
      <c r="P93" s="37"/>
      <c r="Q93" s="46"/>
      <c r="R93" s="37"/>
      <c r="S93" s="37"/>
      <c r="T93" s="37"/>
      <c r="U93" s="38"/>
      <c r="V93" s="46"/>
      <c r="W93" s="37"/>
      <c r="X93" s="46"/>
      <c r="Y93" s="41">
        <f>Table133[[#This Row],[Time until ideal entry + 390 (6:30)]]/(1440)</f>
        <v>0.27083333333333331</v>
      </c>
      <c r="Z93" s="18" t="e">
        <f>(F93-D93)/D93</f>
        <v>#DIV/0!</v>
      </c>
      <c r="AA93" s="18" t="e">
        <f>IF(Table133[[#This Row],[HOD AFTER PM HI]]&gt;=Table133[[#This Row],[PM Hi]],((Table133[[#This Row],[HOD AFTER PM HI]]-Table133[[#This Row],[Prior day close]])/Table133[[#This Row],[Prior day close]]),Table133[[#This Row],[Prior Close to PM Hi %]])</f>
        <v>#DIV/0!</v>
      </c>
      <c r="AB93" s="42" t="e">
        <f>(Table133[[#This Row],[Price at hi of squeeze]]-Table133[[#This Row],[MKT Open Price]])/Table133[[#This Row],[MKT Open Price]]</f>
        <v>#DIV/0!</v>
      </c>
      <c r="AC93" s="18" t="e">
        <f>(Table133[[#This Row],[Price at hi of squeeze]]-Table133[[#This Row],[PM Hi]])/Table133[[#This Row],[PM Hi]]</f>
        <v>#DIV/0!</v>
      </c>
      <c r="AD93" s="18"/>
      <c r="AE93" s="20" t="e">
        <f>Table133[[#This Row],[PM VOL]]/1000000/Table133[[#This Row],[FLOAT(M)]]</f>
        <v>#DIV/0!</v>
      </c>
      <c r="AF93" s="23" t="e">
        <f>(Table133[[#This Row],[Volume]]/1000000)/Table133[[#This Row],[FLOAT(M)]]</f>
        <v>#DIV/0!</v>
      </c>
      <c r="AH93" s="18" t="e">
        <f>(Table133[[#This Row],[PM Hi]]-Table133[[#This Row],[MKT Open Price]])/(Table133[[#This Row],[PM Hi]])</f>
        <v>#DIV/0!</v>
      </c>
      <c r="AI93" s="18" t="e">
        <f>IF(Table133[[#This Row],[PM LO]]&gt;Table133[[#This Row],[Prior day close]],(Table133[[#This Row],[PM Hi]]-Table133[[#This Row],[MKT Open Price]])/(Table133[[#This Row],[PM Hi]]-Table133[[#This Row],[Prior day close]]),(Table133[[#This Row],[PM Hi]]-Table133[[#This Row],[MKT Open Price]])/(Table133[[#This Row],[PM Hi]]-Table133[[#This Row],[PM LO]]))</f>
        <v>#DIV/0!</v>
      </c>
      <c r="AJ93" s="48" t="e">
        <f>IF(Table133[[#This Row],[Prior day close]]&lt;Table133[[#This Row],[PM LO]],(I93-K93)/(I93-Table133[[#This Row],[Prior day close]]),(I93-K93)/(I93-Table133[[#This Row],[PM LO]]))</f>
        <v>#DIV/0!</v>
      </c>
      <c r="AK93" s="48" t="e">
        <f>Table133[[#This Row],[Spike % on open before drop]]+AL93</f>
        <v>#DIV/0!</v>
      </c>
      <c r="AL93" s="16" t="e">
        <f>(I93-K93)/I93</f>
        <v>#DIV/0!</v>
      </c>
      <c r="AM93" s="18" t="e">
        <f>IF($J93&gt;=$F93,($J93-$K93)/($J93),(IF($H93&lt;=$K93,($F93-$H93)/($F93),(Table133[[#This Row],[PM Hi]]-Table133[[#This Row],[Lowest lo from open to squeeze]])/(Table133[[#This Row],[PM Hi]]))))</f>
        <v>#DIV/0!</v>
      </c>
      <c r="AN93" s="48" t="e">
        <f>IF(Table133[[#This Row],[Prior day close]]&lt;=Table133[[#This Row],[PM LO]],IF($J93&gt;=$F93,($J93-$K93)/($J93-Table133[[#This Row],[Prior day close]]),(IF($H93&lt;=$K93,($F93-$H93)/($F93-Table133[[#This Row],[Prior day close]]),(Table133[[#This Row],[PM Hi]]-Table133[[#This Row],[Lowest lo from open to squeeze]])/(Table133[[#This Row],[PM Hi]]-Table133[[#This Row],[Prior day close]])))),IF($J93&gt;=$F93,($J93-$K93)/($J93-Table133[[#This Row],[PM LO]]),(IF($H93&lt;=$K93,($F93-$H93)/($F93-Table133[[#This Row],[PM LO]]),(Table133[[#This Row],[PM Hi]]-Table133[[#This Row],[Lowest lo from open to squeeze]])/(Table133[[#This Row],[PM Hi]]-Table133[[#This Row],[PM LO]])))))</f>
        <v>#DIV/0!</v>
      </c>
      <c r="AO93" s="18" t="e">
        <f>IF(J93&gt;=F93,(J93-K93)/(J93-D93),(IF(H93&lt;=K93,(F93-H93)/(F93-D93),(Table133[[#This Row],[PM Hi]]-Table133[[#This Row],[Lowest lo from open to squeeze]])/(Table133[[#This Row],[PM Hi]]-Table133[[#This Row],[Prior day close]]))))</f>
        <v>#DIV/0!</v>
      </c>
      <c r="AP93" s="17">
        <f>390+Table133[[#This Row],[Time until ideal entry point (mins) from open]]</f>
        <v>390</v>
      </c>
      <c r="AQ93" s="17">
        <f>Table133[[#This Row],[Time until ideal entry + 390 (6:30)]]+Table133[[#This Row],[Duration of frontside (mins)]]</f>
        <v>390</v>
      </c>
    </row>
    <row r="94" spans="1:43" x14ac:dyDescent="0.25">
      <c r="A94" s="24" t="s">
        <v>121</v>
      </c>
      <c r="B94" s="47">
        <v>44172</v>
      </c>
      <c r="C94" s="47" t="s">
        <v>78</v>
      </c>
      <c r="D94" s="12"/>
      <c r="E94" s="13">
        <f>Table133[[#This Row],[Prior day close]]</f>
        <v>0</v>
      </c>
      <c r="F94" s="12"/>
      <c r="G94" s="12"/>
      <c r="H94" s="12"/>
      <c r="I94" s="12"/>
      <c r="J94" s="12"/>
      <c r="K94" s="12"/>
      <c r="N94" s="13"/>
      <c r="P94" s="37"/>
      <c r="Q94" s="46"/>
      <c r="R94" s="37"/>
      <c r="S94" s="37"/>
      <c r="T94" s="37"/>
      <c r="U94" s="38"/>
      <c r="V94" s="46"/>
      <c r="W94" s="37"/>
      <c r="X94" s="46"/>
      <c r="Y94" s="41">
        <f>Table133[[#This Row],[Time until ideal entry + 390 (6:30)]]/(1440)</f>
        <v>0.27083333333333331</v>
      </c>
      <c r="Z94" s="18" t="e">
        <f>(F94-D94)/D94</f>
        <v>#DIV/0!</v>
      </c>
      <c r="AA94" s="18" t="e">
        <f>IF(Table133[[#This Row],[HOD AFTER PM HI]]&gt;=Table133[[#This Row],[PM Hi]],((Table133[[#This Row],[HOD AFTER PM HI]]-Table133[[#This Row],[Prior day close]])/Table133[[#This Row],[Prior day close]]),Table133[[#This Row],[Prior Close to PM Hi %]])</f>
        <v>#DIV/0!</v>
      </c>
      <c r="AB94" s="42" t="e">
        <f>(Table133[[#This Row],[Price at hi of squeeze]]-Table133[[#This Row],[MKT Open Price]])/Table133[[#This Row],[MKT Open Price]]</f>
        <v>#DIV/0!</v>
      </c>
      <c r="AC94" s="18" t="e">
        <f>(Table133[[#This Row],[Price at hi of squeeze]]-Table133[[#This Row],[PM Hi]])/Table133[[#This Row],[PM Hi]]</f>
        <v>#DIV/0!</v>
      </c>
      <c r="AD94" s="18"/>
      <c r="AE94" s="20" t="e">
        <f>Table133[[#This Row],[PM VOL]]/1000000/Table133[[#This Row],[FLOAT(M)]]</f>
        <v>#DIV/0!</v>
      </c>
      <c r="AF94" s="23" t="e">
        <f>(Table133[[#This Row],[Volume]]/1000000)/Table133[[#This Row],[FLOAT(M)]]</f>
        <v>#DIV/0!</v>
      </c>
      <c r="AH94" s="18" t="e">
        <f>(Table133[[#This Row],[PM Hi]]-Table133[[#This Row],[MKT Open Price]])/(Table133[[#This Row],[PM Hi]])</f>
        <v>#DIV/0!</v>
      </c>
      <c r="AI94" s="18" t="e">
        <f>IF(Table133[[#This Row],[PM LO]]&gt;Table133[[#This Row],[Prior day close]],(Table133[[#This Row],[PM Hi]]-Table133[[#This Row],[MKT Open Price]])/(Table133[[#This Row],[PM Hi]]-Table133[[#This Row],[Prior day close]]),(Table133[[#This Row],[PM Hi]]-Table133[[#This Row],[MKT Open Price]])/(Table133[[#This Row],[PM Hi]]-Table133[[#This Row],[PM LO]]))</f>
        <v>#DIV/0!</v>
      </c>
      <c r="AJ94" s="48" t="e">
        <f>IF(Table133[[#This Row],[Prior day close]]&lt;Table133[[#This Row],[PM LO]],(I94-K94)/(I94-Table133[[#This Row],[Prior day close]]),(I94-K94)/(I94-Table133[[#This Row],[PM LO]]))</f>
        <v>#DIV/0!</v>
      </c>
      <c r="AK94" s="48" t="e">
        <f>Table133[[#This Row],[Spike % on open before drop]]+AL94</f>
        <v>#DIV/0!</v>
      </c>
      <c r="AL94" s="16" t="e">
        <f>(I94-K94)/I94</f>
        <v>#DIV/0!</v>
      </c>
      <c r="AM94" s="18" t="e">
        <f>IF($J94&gt;=$F94,($J94-$K94)/($J94),(IF($H94&lt;=$K94,($F94-$H94)/($F94),(Table133[[#This Row],[PM Hi]]-Table133[[#This Row],[Lowest lo from open to squeeze]])/(Table133[[#This Row],[PM Hi]]))))</f>
        <v>#DIV/0!</v>
      </c>
      <c r="AN94" s="48" t="e">
        <f>IF(Table133[[#This Row],[Prior day close]]&lt;=Table133[[#This Row],[PM LO]],IF($J94&gt;=$F94,($J94-$K94)/($J94-Table133[[#This Row],[Prior day close]]),(IF($H94&lt;=$K94,($F94-$H94)/($F94-Table133[[#This Row],[Prior day close]]),(Table133[[#This Row],[PM Hi]]-Table133[[#This Row],[Lowest lo from open to squeeze]])/(Table133[[#This Row],[PM Hi]]-Table133[[#This Row],[Prior day close]])))),IF($J94&gt;=$F94,($J94-$K94)/($J94-Table133[[#This Row],[PM LO]]),(IF($H94&lt;=$K94,($F94-$H94)/($F94-Table133[[#This Row],[PM LO]]),(Table133[[#This Row],[PM Hi]]-Table133[[#This Row],[Lowest lo from open to squeeze]])/(Table133[[#This Row],[PM Hi]]-Table133[[#This Row],[PM LO]])))))</f>
        <v>#DIV/0!</v>
      </c>
      <c r="AO94" s="18" t="e">
        <f>IF(J94&gt;=F94,(J94-K94)/(J94-D94),(IF(H94&lt;=K94,(F94-H94)/(F94-D94),(Table133[[#This Row],[PM Hi]]-Table133[[#This Row],[Lowest lo from open to squeeze]])/(Table133[[#This Row],[PM Hi]]-Table133[[#This Row],[Prior day close]]))))</f>
        <v>#DIV/0!</v>
      </c>
      <c r="AP94" s="17">
        <f>390+Table133[[#This Row],[Time until ideal entry point (mins) from open]]</f>
        <v>390</v>
      </c>
      <c r="AQ94" s="17">
        <f>Table133[[#This Row],[Time until ideal entry + 390 (6:30)]]+Table133[[#This Row],[Duration of frontside (mins)]]</f>
        <v>390</v>
      </c>
    </row>
    <row r="95" spans="1:43" x14ac:dyDescent="0.25">
      <c r="A95" s="24" t="s">
        <v>301</v>
      </c>
      <c r="B95" s="47">
        <v>44173</v>
      </c>
      <c r="C95" s="47" t="s">
        <v>78</v>
      </c>
      <c r="D95" s="12"/>
      <c r="E95" s="13">
        <f>Table133[[#This Row],[Prior day close]]</f>
        <v>0</v>
      </c>
      <c r="F95" s="12"/>
      <c r="G95" s="12"/>
      <c r="H95" s="12"/>
      <c r="I95" s="12"/>
      <c r="J95" s="12"/>
      <c r="K95" s="12"/>
      <c r="N95" s="13"/>
      <c r="P95" s="37"/>
      <c r="Q95" s="46"/>
      <c r="R95" s="37"/>
      <c r="S95" s="37"/>
      <c r="T95" s="37"/>
      <c r="U95" s="38"/>
      <c r="V95" s="46"/>
      <c r="W95" s="37"/>
      <c r="X95" s="46"/>
      <c r="Y95" s="41">
        <f>Table133[[#This Row],[Time until ideal entry + 390 (6:30)]]/(1440)</f>
        <v>0.27083333333333331</v>
      </c>
      <c r="Z95" s="18" t="e">
        <f>(F95-D95)/D95</f>
        <v>#DIV/0!</v>
      </c>
      <c r="AA95" s="18" t="e">
        <f>IF(Table133[[#This Row],[HOD AFTER PM HI]]&gt;=Table133[[#This Row],[PM Hi]],((Table133[[#This Row],[HOD AFTER PM HI]]-Table133[[#This Row],[Prior day close]])/Table133[[#This Row],[Prior day close]]),Table133[[#This Row],[Prior Close to PM Hi %]])</f>
        <v>#DIV/0!</v>
      </c>
      <c r="AB95" s="42" t="e">
        <f>(Table133[[#This Row],[Price at hi of squeeze]]-Table133[[#This Row],[MKT Open Price]])/Table133[[#This Row],[MKT Open Price]]</f>
        <v>#DIV/0!</v>
      </c>
      <c r="AC95" s="18" t="e">
        <f>(Table133[[#This Row],[Price at hi of squeeze]]-Table133[[#This Row],[PM Hi]])/Table133[[#This Row],[PM Hi]]</f>
        <v>#DIV/0!</v>
      </c>
      <c r="AD95" s="18"/>
      <c r="AE95" s="20" t="e">
        <f>Table133[[#This Row],[PM VOL]]/1000000/Table133[[#This Row],[FLOAT(M)]]</f>
        <v>#DIV/0!</v>
      </c>
      <c r="AF95" s="23" t="e">
        <f>(Table133[[#This Row],[Volume]]/1000000)/Table133[[#This Row],[FLOAT(M)]]</f>
        <v>#DIV/0!</v>
      </c>
      <c r="AH95" s="18" t="e">
        <f>(Table133[[#This Row],[PM Hi]]-Table133[[#This Row],[MKT Open Price]])/(Table133[[#This Row],[PM Hi]])</f>
        <v>#DIV/0!</v>
      </c>
      <c r="AI95" s="18" t="e">
        <f>IF(Table133[[#This Row],[PM LO]]&gt;Table133[[#This Row],[Prior day close]],(Table133[[#This Row],[PM Hi]]-Table133[[#This Row],[MKT Open Price]])/(Table133[[#This Row],[PM Hi]]-Table133[[#This Row],[Prior day close]]),(Table133[[#This Row],[PM Hi]]-Table133[[#This Row],[MKT Open Price]])/(Table133[[#This Row],[PM Hi]]-Table133[[#This Row],[PM LO]]))</f>
        <v>#DIV/0!</v>
      </c>
      <c r="AJ95" s="48" t="e">
        <f>IF(Table133[[#This Row],[Prior day close]]&lt;Table133[[#This Row],[PM LO]],(I95-K95)/(I95-Table133[[#This Row],[Prior day close]]),(I95-K95)/(I95-Table133[[#This Row],[PM LO]]))</f>
        <v>#DIV/0!</v>
      </c>
      <c r="AK95" s="48" t="e">
        <f>Table133[[#This Row],[Spike % on open before drop]]+AL95</f>
        <v>#DIV/0!</v>
      </c>
      <c r="AL95" s="16" t="e">
        <f>(I95-K95)/I95</f>
        <v>#DIV/0!</v>
      </c>
      <c r="AM95" s="18" t="e">
        <f>IF($J95&gt;=$F95,($J95-$K95)/($J95),(IF($H95&lt;=$K95,($F95-$H95)/($F95),(Table133[[#This Row],[PM Hi]]-Table133[[#This Row],[Lowest lo from open to squeeze]])/(Table133[[#This Row],[PM Hi]]))))</f>
        <v>#DIV/0!</v>
      </c>
      <c r="AN95" s="48" t="e">
        <f>IF(Table133[[#This Row],[Prior day close]]&lt;=Table133[[#This Row],[PM LO]],IF($J95&gt;=$F95,($J95-$K95)/($J95-Table133[[#This Row],[Prior day close]]),(IF($H95&lt;=$K95,($F95-$H95)/($F95-Table133[[#This Row],[Prior day close]]),(Table133[[#This Row],[PM Hi]]-Table133[[#This Row],[Lowest lo from open to squeeze]])/(Table133[[#This Row],[PM Hi]]-Table133[[#This Row],[Prior day close]])))),IF($J95&gt;=$F95,($J95-$K95)/($J95-Table133[[#This Row],[PM LO]]),(IF($H95&lt;=$K95,($F95-$H95)/($F95-Table133[[#This Row],[PM LO]]),(Table133[[#This Row],[PM Hi]]-Table133[[#This Row],[Lowest lo from open to squeeze]])/(Table133[[#This Row],[PM Hi]]-Table133[[#This Row],[PM LO]])))))</f>
        <v>#DIV/0!</v>
      </c>
      <c r="AO95" s="18" t="e">
        <f>IF(J95&gt;=F95,(J95-K95)/(J95-D95),(IF(H95&lt;=K95,(F95-H95)/(F95-D95),(Table133[[#This Row],[PM Hi]]-Table133[[#This Row],[Lowest lo from open to squeeze]])/(Table133[[#This Row],[PM Hi]]-Table133[[#This Row],[Prior day close]]))))</f>
        <v>#DIV/0!</v>
      </c>
      <c r="AP95" s="17">
        <f>390+Table133[[#This Row],[Time until ideal entry point (mins) from open]]</f>
        <v>390</v>
      </c>
      <c r="AQ95" s="17">
        <f>Table133[[#This Row],[Time until ideal entry + 390 (6:30)]]+Table133[[#This Row],[Duration of frontside (mins)]]</f>
        <v>390</v>
      </c>
    </row>
    <row r="96" spans="1:43" x14ac:dyDescent="0.25">
      <c r="A96" s="24" t="s">
        <v>46</v>
      </c>
      <c r="B96" s="47">
        <v>44174</v>
      </c>
      <c r="C96" s="47" t="s">
        <v>78</v>
      </c>
      <c r="D96" s="12"/>
      <c r="E96" s="13">
        <f>Table133[[#This Row],[Prior day close]]</f>
        <v>0</v>
      </c>
      <c r="F96" s="12"/>
      <c r="G96" s="12"/>
      <c r="H96" s="12"/>
      <c r="I96" s="12"/>
      <c r="J96" s="12"/>
      <c r="K96" s="12"/>
      <c r="N96" s="13"/>
      <c r="P96" s="37"/>
      <c r="Q96" s="46"/>
      <c r="R96" s="37"/>
      <c r="S96" s="37"/>
      <c r="T96" s="37"/>
      <c r="U96" s="38"/>
      <c r="V96" s="46"/>
      <c r="W96" s="37"/>
      <c r="X96" s="46"/>
      <c r="Y96" s="41">
        <f>Table133[[#This Row],[Time until ideal entry + 390 (6:30)]]/(1440)</f>
        <v>0.27083333333333331</v>
      </c>
      <c r="Z96" s="18" t="e">
        <f>(F96-D96)/D96</f>
        <v>#DIV/0!</v>
      </c>
      <c r="AA96" s="18" t="e">
        <f>IF(Table133[[#This Row],[HOD AFTER PM HI]]&gt;=Table133[[#This Row],[PM Hi]],((Table133[[#This Row],[HOD AFTER PM HI]]-Table133[[#This Row],[Prior day close]])/Table133[[#This Row],[Prior day close]]),Table133[[#This Row],[Prior Close to PM Hi %]])</f>
        <v>#DIV/0!</v>
      </c>
      <c r="AB96" s="42" t="e">
        <f>(Table133[[#This Row],[Price at hi of squeeze]]-Table133[[#This Row],[MKT Open Price]])/Table133[[#This Row],[MKT Open Price]]</f>
        <v>#DIV/0!</v>
      </c>
      <c r="AC96" s="18" t="e">
        <f>(Table133[[#This Row],[Price at hi of squeeze]]-Table133[[#This Row],[PM Hi]])/Table133[[#This Row],[PM Hi]]</f>
        <v>#DIV/0!</v>
      </c>
      <c r="AD96" s="18"/>
      <c r="AE96" s="20" t="e">
        <f>Table133[[#This Row],[PM VOL]]/1000000/Table133[[#This Row],[FLOAT(M)]]</f>
        <v>#DIV/0!</v>
      </c>
      <c r="AF96" s="23" t="e">
        <f>(Table133[[#This Row],[Volume]]/1000000)/Table133[[#This Row],[FLOAT(M)]]</f>
        <v>#DIV/0!</v>
      </c>
      <c r="AH96" s="18" t="e">
        <f>(Table133[[#This Row],[PM Hi]]-Table133[[#This Row],[MKT Open Price]])/(Table133[[#This Row],[PM Hi]])</f>
        <v>#DIV/0!</v>
      </c>
      <c r="AI96" s="18" t="e">
        <f>IF(Table133[[#This Row],[PM LO]]&gt;Table133[[#This Row],[Prior day close]],(Table133[[#This Row],[PM Hi]]-Table133[[#This Row],[MKT Open Price]])/(Table133[[#This Row],[PM Hi]]-Table133[[#This Row],[Prior day close]]),(Table133[[#This Row],[PM Hi]]-Table133[[#This Row],[MKT Open Price]])/(Table133[[#This Row],[PM Hi]]-Table133[[#This Row],[PM LO]]))</f>
        <v>#DIV/0!</v>
      </c>
      <c r="AJ96" s="48" t="e">
        <f>IF(Table133[[#This Row],[Prior day close]]&lt;Table133[[#This Row],[PM LO]],(I96-K96)/(I96-Table133[[#This Row],[Prior day close]]),(I96-K96)/(I96-Table133[[#This Row],[PM LO]]))</f>
        <v>#DIV/0!</v>
      </c>
      <c r="AK96" s="48" t="e">
        <f>Table133[[#This Row],[Spike % on open before drop]]+AL96</f>
        <v>#DIV/0!</v>
      </c>
      <c r="AL96" s="16" t="e">
        <f>(I96-K96)/I96</f>
        <v>#DIV/0!</v>
      </c>
      <c r="AM96" s="18" t="e">
        <f>IF($J96&gt;=$F96,($J96-$K96)/($J96),(IF($H96&lt;=$K96,($F96-$H96)/($F96),(Table133[[#This Row],[PM Hi]]-Table133[[#This Row],[Lowest lo from open to squeeze]])/(Table133[[#This Row],[PM Hi]]))))</f>
        <v>#DIV/0!</v>
      </c>
      <c r="AN96" s="48" t="e">
        <f>IF(Table133[[#This Row],[Prior day close]]&lt;=Table133[[#This Row],[PM LO]],IF($J96&gt;=$F96,($J96-$K96)/($J96-Table133[[#This Row],[Prior day close]]),(IF($H96&lt;=$K96,($F96-$H96)/($F96-Table133[[#This Row],[Prior day close]]),(Table133[[#This Row],[PM Hi]]-Table133[[#This Row],[Lowest lo from open to squeeze]])/(Table133[[#This Row],[PM Hi]]-Table133[[#This Row],[Prior day close]])))),IF($J96&gt;=$F96,($J96-$K96)/($J96-Table133[[#This Row],[PM LO]]),(IF($H96&lt;=$K96,($F96-$H96)/($F96-Table133[[#This Row],[PM LO]]),(Table133[[#This Row],[PM Hi]]-Table133[[#This Row],[Lowest lo from open to squeeze]])/(Table133[[#This Row],[PM Hi]]-Table133[[#This Row],[PM LO]])))))</f>
        <v>#DIV/0!</v>
      </c>
      <c r="AO96" s="18" t="e">
        <f>IF(J96&gt;=F96,(J96-K96)/(J96-D96),(IF(H96&lt;=K96,(F96-H96)/(F96-D96),(Table133[[#This Row],[PM Hi]]-Table133[[#This Row],[Lowest lo from open to squeeze]])/(Table133[[#This Row],[PM Hi]]-Table133[[#This Row],[Prior day close]]))))</f>
        <v>#DIV/0!</v>
      </c>
      <c r="AP96" s="17">
        <f>390+Table133[[#This Row],[Time until ideal entry point (mins) from open]]</f>
        <v>390</v>
      </c>
      <c r="AQ96" s="17">
        <f>Table133[[#This Row],[Time until ideal entry + 390 (6:30)]]+Table133[[#This Row],[Duration of frontside (mins)]]</f>
        <v>390</v>
      </c>
    </row>
    <row r="97" spans="1:43" x14ac:dyDescent="0.25">
      <c r="A97" s="24" t="s">
        <v>253</v>
      </c>
      <c r="B97" s="47">
        <v>44181</v>
      </c>
      <c r="C97" s="47" t="s">
        <v>78</v>
      </c>
      <c r="D97" s="12"/>
      <c r="E97" s="13">
        <f>Table133[[#This Row],[Prior day close]]</f>
        <v>0</v>
      </c>
      <c r="F97" s="12"/>
      <c r="G97" s="12"/>
      <c r="H97" s="12"/>
      <c r="I97" s="12"/>
      <c r="J97" s="12"/>
      <c r="K97" s="12"/>
      <c r="N97" s="13"/>
      <c r="P97" s="37"/>
      <c r="Q97" s="46"/>
      <c r="R97" s="37"/>
      <c r="S97" s="37"/>
      <c r="T97" s="37"/>
      <c r="U97" s="38"/>
      <c r="V97" s="46"/>
      <c r="W97" s="37"/>
      <c r="X97" s="46"/>
      <c r="Y97" s="41">
        <f>Table133[[#This Row],[Time until ideal entry + 390 (6:30)]]/(1440)</f>
        <v>0.27083333333333331</v>
      </c>
      <c r="Z97" s="18" t="e">
        <f>(F97-D97)/D97</f>
        <v>#DIV/0!</v>
      </c>
      <c r="AA97" s="18" t="e">
        <f>IF(Table133[[#This Row],[HOD AFTER PM HI]]&gt;=Table133[[#This Row],[PM Hi]],((Table133[[#This Row],[HOD AFTER PM HI]]-Table133[[#This Row],[Prior day close]])/Table133[[#This Row],[Prior day close]]),Table133[[#This Row],[Prior Close to PM Hi %]])</f>
        <v>#DIV/0!</v>
      </c>
      <c r="AB97" s="42" t="e">
        <f>(Table133[[#This Row],[Price at hi of squeeze]]-Table133[[#This Row],[MKT Open Price]])/Table133[[#This Row],[MKT Open Price]]</f>
        <v>#DIV/0!</v>
      </c>
      <c r="AC97" s="18" t="e">
        <f>(Table133[[#This Row],[Price at hi of squeeze]]-Table133[[#This Row],[PM Hi]])/Table133[[#This Row],[PM Hi]]</f>
        <v>#DIV/0!</v>
      </c>
      <c r="AD97" s="18"/>
      <c r="AE97" s="20" t="e">
        <f>Table133[[#This Row],[PM VOL]]/1000000/Table133[[#This Row],[FLOAT(M)]]</f>
        <v>#DIV/0!</v>
      </c>
      <c r="AF97" s="23" t="e">
        <f>(Table133[[#This Row],[Volume]]/1000000)/Table133[[#This Row],[FLOAT(M)]]</f>
        <v>#DIV/0!</v>
      </c>
      <c r="AH97" s="18" t="e">
        <f>(Table133[[#This Row],[PM Hi]]-Table133[[#This Row],[MKT Open Price]])/(Table133[[#This Row],[PM Hi]])</f>
        <v>#DIV/0!</v>
      </c>
      <c r="AI97" s="18" t="e">
        <f>IF(Table133[[#This Row],[PM LO]]&gt;Table133[[#This Row],[Prior day close]],(Table133[[#This Row],[PM Hi]]-Table133[[#This Row],[MKT Open Price]])/(Table133[[#This Row],[PM Hi]]-Table133[[#This Row],[Prior day close]]),(Table133[[#This Row],[PM Hi]]-Table133[[#This Row],[MKT Open Price]])/(Table133[[#This Row],[PM Hi]]-Table133[[#This Row],[PM LO]]))</f>
        <v>#DIV/0!</v>
      </c>
      <c r="AJ97" s="48" t="e">
        <f>IF(Table133[[#This Row],[Prior day close]]&lt;Table133[[#This Row],[PM LO]],(I97-K97)/(I97-Table133[[#This Row],[Prior day close]]),(I97-K97)/(I97-Table133[[#This Row],[PM LO]]))</f>
        <v>#DIV/0!</v>
      </c>
      <c r="AK97" s="48" t="e">
        <f>Table133[[#This Row],[Spike % on open before drop]]+AL97</f>
        <v>#DIV/0!</v>
      </c>
      <c r="AL97" s="16" t="e">
        <f>(I97-K97)/I97</f>
        <v>#DIV/0!</v>
      </c>
      <c r="AM97" s="18" t="e">
        <f>IF($J97&gt;=$F97,($J97-$K97)/($J97),(IF($H97&lt;=$K97,($F97-$H97)/($F97),(Table133[[#This Row],[PM Hi]]-Table133[[#This Row],[Lowest lo from open to squeeze]])/(Table133[[#This Row],[PM Hi]]))))</f>
        <v>#DIV/0!</v>
      </c>
      <c r="AN97" s="48" t="e">
        <f>IF(Table133[[#This Row],[Prior day close]]&lt;=Table133[[#This Row],[PM LO]],IF($J97&gt;=$F97,($J97-$K97)/($J97-Table133[[#This Row],[Prior day close]]),(IF($H97&lt;=$K97,($F97-$H97)/($F97-Table133[[#This Row],[Prior day close]]),(Table133[[#This Row],[PM Hi]]-Table133[[#This Row],[Lowest lo from open to squeeze]])/(Table133[[#This Row],[PM Hi]]-Table133[[#This Row],[Prior day close]])))),IF($J97&gt;=$F97,($J97-$K97)/($J97-Table133[[#This Row],[PM LO]]),(IF($H97&lt;=$K97,($F97-$H97)/($F97-Table133[[#This Row],[PM LO]]),(Table133[[#This Row],[PM Hi]]-Table133[[#This Row],[Lowest lo from open to squeeze]])/(Table133[[#This Row],[PM Hi]]-Table133[[#This Row],[PM LO]])))))</f>
        <v>#DIV/0!</v>
      </c>
      <c r="AO97" s="18" t="e">
        <f>IF(J97&gt;=F97,(J97-K97)/(J97-D97),(IF(H97&lt;=K97,(F97-H97)/(F97-D97),(Table133[[#This Row],[PM Hi]]-Table133[[#This Row],[Lowest lo from open to squeeze]])/(Table133[[#This Row],[PM Hi]]-Table133[[#This Row],[Prior day close]]))))</f>
        <v>#DIV/0!</v>
      </c>
      <c r="AP97" s="17">
        <f>390+Table133[[#This Row],[Time until ideal entry point (mins) from open]]</f>
        <v>390</v>
      </c>
      <c r="AQ97" s="17">
        <f>Table133[[#This Row],[Time until ideal entry + 390 (6:30)]]+Table133[[#This Row],[Duration of frontside (mins)]]</f>
        <v>390</v>
      </c>
    </row>
    <row r="98" spans="1:43" x14ac:dyDescent="0.25">
      <c r="A98" s="24" t="s">
        <v>309</v>
      </c>
      <c r="B98" s="47">
        <v>44182</v>
      </c>
      <c r="C98" s="47" t="s">
        <v>78</v>
      </c>
      <c r="D98" s="12"/>
      <c r="E98" s="13">
        <f>Table133[[#This Row],[Prior day close]]</f>
        <v>0</v>
      </c>
      <c r="F98" s="12"/>
      <c r="G98" s="12"/>
      <c r="H98" s="12"/>
      <c r="I98" s="12"/>
      <c r="J98" s="12"/>
      <c r="K98" s="12"/>
      <c r="N98" s="13"/>
      <c r="P98" s="37"/>
      <c r="Q98" s="46"/>
      <c r="R98" s="37"/>
      <c r="S98" s="37"/>
      <c r="T98" s="37"/>
      <c r="U98" s="38"/>
      <c r="V98" s="46"/>
      <c r="W98" s="37"/>
      <c r="X98" s="46"/>
      <c r="Y98" s="41">
        <f>Table133[[#This Row],[Time until ideal entry + 390 (6:30)]]/(1440)</f>
        <v>0.27083333333333331</v>
      </c>
      <c r="Z98" s="18" t="e">
        <f>(F98-D98)/D98</f>
        <v>#DIV/0!</v>
      </c>
      <c r="AA98" s="18" t="e">
        <f>IF(Table133[[#This Row],[HOD AFTER PM HI]]&gt;=Table133[[#This Row],[PM Hi]],((Table133[[#This Row],[HOD AFTER PM HI]]-Table133[[#This Row],[Prior day close]])/Table133[[#This Row],[Prior day close]]),Table133[[#This Row],[Prior Close to PM Hi %]])</f>
        <v>#DIV/0!</v>
      </c>
      <c r="AB98" s="42" t="e">
        <f>(Table133[[#This Row],[Price at hi of squeeze]]-Table133[[#This Row],[MKT Open Price]])/Table133[[#This Row],[MKT Open Price]]</f>
        <v>#DIV/0!</v>
      </c>
      <c r="AC98" s="18" t="e">
        <f>(Table133[[#This Row],[Price at hi of squeeze]]-Table133[[#This Row],[PM Hi]])/Table133[[#This Row],[PM Hi]]</f>
        <v>#DIV/0!</v>
      </c>
      <c r="AD98" s="18"/>
      <c r="AE98" s="20" t="e">
        <f>Table133[[#This Row],[PM VOL]]/1000000/Table133[[#This Row],[FLOAT(M)]]</f>
        <v>#DIV/0!</v>
      </c>
      <c r="AF98" s="23" t="e">
        <f>(Table133[[#This Row],[Volume]]/1000000)/Table133[[#This Row],[FLOAT(M)]]</f>
        <v>#DIV/0!</v>
      </c>
      <c r="AH98" s="18" t="e">
        <f>(Table133[[#This Row],[PM Hi]]-Table133[[#This Row],[MKT Open Price]])/(Table133[[#This Row],[PM Hi]])</f>
        <v>#DIV/0!</v>
      </c>
      <c r="AI98" s="18" t="e">
        <f>IF(Table133[[#This Row],[PM LO]]&gt;Table133[[#This Row],[Prior day close]],(Table133[[#This Row],[PM Hi]]-Table133[[#This Row],[MKT Open Price]])/(Table133[[#This Row],[PM Hi]]-Table133[[#This Row],[Prior day close]]),(Table133[[#This Row],[PM Hi]]-Table133[[#This Row],[MKT Open Price]])/(Table133[[#This Row],[PM Hi]]-Table133[[#This Row],[PM LO]]))</f>
        <v>#DIV/0!</v>
      </c>
      <c r="AJ98" s="48" t="e">
        <f>IF(Table133[[#This Row],[Prior day close]]&lt;Table133[[#This Row],[PM LO]],(I98-K98)/(I98-Table133[[#This Row],[Prior day close]]),(I98-K98)/(I98-Table133[[#This Row],[PM LO]]))</f>
        <v>#DIV/0!</v>
      </c>
      <c r="AK98" s="48" t="e">
        <f>Table133[[#This Row],[Spike % on open before drop]]+AL98</f>
        <v>#DIV/0!</v>
      </c>
      <c r="AL98" s="16" t="e">
        <f>(I98-K98)/I98</f>
        <v>#DIV/0!</v>
      </c>
      <c r="AM98" s="18" t="e">
        <f>IF($J98&gt;=$F98,($J98-$K98)/($J98),(IF($H98&lt;=$K98,($F98-$H98)/($F98),(Table133[[#This Row],[PM Hi]]-Table133[[#This Row],[Lowest lo from open to squeeze]])/(Table133[[#This Row],[PM Hi]]))))</f>
        <v>#DIV/0!</v>
      </c>
      <c r="AN98" s="48" t="e">
        <f>IF(Table133[[#This Row],[Prior day close]]&lt;=Table133[[#This Row],[PM LO]],IF($J98&gt;=$F98,($J98-$K98)/($J98-Table133[[#This Row],[Prior day close]]),(IF($H98&lt;=$K98,($F98-$H98)/($F98-Table133[[#This Row],[Prior day close]]),(Table133[[#This Row],[PM Hi]]-Table133[[#This Row],[Lowest lo from open to squeeze]])/(Table133[[#This Row],[PM Hi]]-Table133[[#This Row],[Prior day close]])))),IF($J98&gt;=$F98,($J98-$K98)/($J98-Table133[[#This Row],[PM LO]]),(IF($H98&lt;=$K98,($F98-$H98)/($F98-Table133[[#This Row],[PM LO]]),(Table133[[#This Row],[PM Hi]]-Table133[[#This Row],[Lowest lo from open to squeeze]])/(Table133[[#This Row],[PM Hi]]-Table133[[#This Row],[PM LO]])))))</f>
        <v>#DIV/0!</v>
      </c>
      <c r="AO98" s="18" t="e">
        <f>IF(J98&gt;=F98,(J98-K98)/(J98-D98),(IF(H98&lt;=K98,(F98-H98)/(F98-D98),(Table133[[#This Row],[PM Hi]]-Table133[[#This Row],[Lowest lo from open to squeeze]])/(Table133[[#This Row],[PM Hi]]-Table133[[#This Row],[Prior day close]]))))</f>
        <v>#DIV/0!</v>
      </c>
      <c r="AP98" s="17">
        <f>390+Table133[[#This Row],[Time until ideal entry point (mins) from open]]</f>
        <v>390</v>
      </c>
      <c r="AQ98" s="17">
        <f>Table133[[#This Row],[Time until ideal entry + 390 (6:30)]]+Table133[[#This Row],[Duration of frontside (mins)]]</f>
        <v>390</v>
      </c>
    </row>
    <row r="99" spans="1:43" x14ac:dyDescent="0.25">
      <c r="A99" s="24" t="s">
        <v>62</v>
      </c>
      <c r="B99" s="47">
        <v>44195</v>
      </c>
      <c r="C99" s="47" t="s">
        <v>78</v>
      </c>
      <c r="D99" s="12"/>
      <c r="E99" s="13">
        <f>Table133[[#This Row],[Prior day close]]</f>
        <v>0</v>
      </c>
      <c r="F99" s="12"/>
      <c r="G99" s="12"/>
      <c r="H99" s="12"/>
      <c r="I99" s="12"/>
      <c r="J99" s="12"/>
      <c r="K99" s="12"/>
      <c r="N99" s="13"/>
      <c r="P99" s="37"/>
      <c r="Q99" s="46"/>
      <c r="R99" s="37"/>
      <c r="S99" s="37"/>
      <c r="T99" s="37"/>
      <c r="U99" s="38"/>
      <c r="V99" s="46"/>
      <c r="W99" s="37"/>
      <c r="X99" s="46"/>
      <c r="Y99" s="41">
        <f>Table133[[#This Row],[Time until ideal entry + 390 (6:30)]]/(1440)</f>
        <v>0.27083333333333331</v>
      </c>
      <c r="Z99" s="18" t="e">
        <f>(F99-D99)/D99</f>
        <v>#DIV/0!</v>
      </c>
      <c r="AA99" s="18" t="e">
        <f>IF(Table133[[#This Row],[HOD AFTER PM HI]]&gt;=Table133[[#This Row],[PM Hi]],((Table133[[#This Row],[HOD AFTER PM HI]]-Table133[[#This Row],[Prior day close]])/Table133[[#This Row],[Prior day close]]),Table133[[#This Row],[Prior Close to PM Hi %]])</f>
        <v>#DIV/0!</v>
      </c>
      <c r="AB99" s="42" t="e">
        <f>(Table133[[#This Row],[Price at hi of squeeze]]-Table133[[#This Row],[MKT Open Price]])/Table133[[#This Row],[MKT Open Price]]</f>
        <v>#DIV/0!</v>
      </c>
      <c r="AC99" s="18" t="e">
        <f>(Table133[[#This Row],[Price at hi of squeeze]]-Table133[[#This Row],[PM Hi]])/Table133[[#This Row],[PM Hi]]</f>
        <v>#DIV/0!</v>
      </c>
      <c r="AD99" s="18"/>
      <c r="AE99" s="20" t="e">
        <f>Table133[[#This Row],[PM VOL]]/1000000/Table133[[#This Row],[FLOAT(M)]]</f>
        <v>#DIV/0!</v>
      </c>
      <c r="AF99" s="23" t="e">
        <f>(Table133[[#This Row],[Volume]]/1000000)/Table133[[#This Row],[FLOAT(M)]]</f>
        <v>#DIV/0!</v>
      </c>
      <c r="AH99" s="18" t="e">
        <f>(Table133[[#This Row],[PM Hi]]-Table133[[#This Row],[MKT Open Price]])/(Table133[[#This Row],[PM Hi]])</f>
        <v>#DIV/0!</v>
      </c>
      <c r="AI99" s="18" t="e">
        <f>IF(Table133[[#This Row],[PM LO]]&gt;Table133[[#This Row],[Prior day close]],(Table133[[#This Row],[PM Hi]]-Table133[[#This Row],[MKT Open Price]])/(Table133[[#This Row],[PM Hi]]-Table133[[#This Row],[Prior day close]]),(Table133[[#This Row],[PM Hi]]-Table133[[#This Row],[MKT Open Price]])/(Table133[[#This Row],[PM Hi]]-Table133[[#This Row],[PM LO]]))</f>
        <v>#DIV/0!</v>
      </c>
      <c r="AJ99" s="48" t="e">
        <f>IF(Table133[[#This Row],[Prior day close]]&lt;Table133[[#This Row],[PM LO]],(I99-K99)/(I99-Table133[[#This Row],[Prior day close]]),(I99-K99)/(I99-Table133[[#This Row],[PM LO]]))</f>
        <v>#DIV/0!</v>
      </c>
      <c r="AK99" s="48" t="e">
        <f>Table133[[#This Row],[Spike % on open before drop]]+AL99</f>
        <v>#DIV/0!</v>
      </c>
      <c r="AL99" s="16" t="e">
        <f>(I99-K99)/I99</f>
        <v>#DIV/0!</v>
      </c>
      <c r="AM99" s="18" t="e">
        <f>IF($J99&gt;=$F99,($J99-$K99)/($J99),(IF($H99&lt;=$K99,($F99-$H99)/($F99),(Table133[[#This Row],[PM Hi]]-Table133[[#This Row],[Lowest lo from open to squeeze]])/(Table133[[#This Row],[PM Hi]]))))</f>
        <v>#DIV/0!</v>
      </c>
      <c r="AN99" s="48" t="e">
        <f>IF(Table133[[#This Row],[Prior day close]]&lt;=Table133[[#This Row],[PM LO]],IF($J99&gt;=$F99,($J99-$K99)/($J99-Table133[[#This Row],[Prior day close]]),(IF($H99&lt;=$K99,($F99-$H99)/($F99-Table133[[#This Row],[Prior day close]]),(Table133[[#This Row],[PM Hi]]-Table133[[#This Row],[Lowest lo from open to squeeze]])/(Table133[[#This Row],[PM Hi]]-Table133[[#This Row],[Prior day close]])))),IF($J99&gt;=$F99,($J99-$K99)/($J99-Table133[[#This Row],[PM LO]]),(IF($H99&lt;=$K99,($F99-$H99)/($F99-Table133[[#This Row],[PM LO]]),(Table133[[#This Row],[PM Hi]]-Table133[[#This Row],[Lowest lo from open to squeeze]])/(Table133[[#This Row],[PM Hi]]-Table133[[#This Row],[PM LO]])))))</f>
        <v>#DIV/0!</v>
      </c>
      <c r="AO99" s="18" t="e">
        <f>IF(J99&gt;=F99,(J99-K99)/(J99-D99),(IF(H99&lt;=K99,(F99-H99)/(F99-D99),(Table133[[#This Row],[PM Hi]]-Table133[[#This Row],[Lowest lo from open to squeeze]])/(Table133[[#This Row],[PM Hi]]-Table133[[#This Row],[Prior day close]]))))</f>
        <v>#DIV/0!</v>
      </c>
      <c r="AP99" s="17">
        <f>390+Table133[[#This Row],[Time until ideal entry point (mins) from open]]</f>
        <v>390</v>
      </c>
      <c r="AQ99" s="17">
        <f>Table133[[#This Row],[Time until ideal entry + 390 (6:30)]]+Table133[[#This Row],[Duration of frontside (mins)]]</f>
        <v>390</v>
      </c>
    </row>
    <row r="100" spans="1:43" x14ac:dyDescent="0.25">
      <c r="A100" s="24" t="s">
        <v>203</v>
      </c>
      <c r="B100" s="47">
        <v>44216</v>
      </c>
      <c r="C100" s="47" t="s">
        <v>78</v>
      </c>
      <c r="D100" s="12"/>
      <c r="E100" s="13">
        <f>Table133[[#This Row],[Prior day close]]</f>
        <v>0</v>
      </c>
      <c r="F100" s="12"/>
      <c r="G100" s="12"/>
      <c r="H100" s="12"/>
      <c r="I100" s="12"/>
      <c r="J100" s="12"/>
      <c r="K100" s="12"/>
      <c r="N100" s="13"/>
      <c r="P100" s="37"/>
      <c r="Q100" s="46"/>
      <c r="R100" s="37"/>
      <c r="S100" s="37"/>
      <c r="T100" s="37"/>
      <c r="U100" s="38"/>
      <c r="V100" s="46"/>
      <c r="W100" s="37"/>
      <c r="X100" s="46"/>
      <c r="Y100" s="41">
        <f>Table133[[#This Row],[Time until ideal entry + 390 (6:30)]]/(1440)</f>
        <v>0.27083333333333331</v>
      </c>
      <c r="Z100" s="18" t="e">
        <f>(F100-D100)/D100</f>
        <v>#DIV/0!</v>
      </c>
      <c r="AA100" s="18" t="e">
        <f>IF(Table133[[#This Row],[HOD AFTER PM HI]]&gt;=Table133[[#This Row],[PM Hi]],((Table133[[#This Row],[HOD AFTER PM HI]]-Table133[[#This Row],[Prior day close]])/Table133[[#This Row],[Prior day close]]),Table133[[#This Row],[Prior Close to PM Hi %]])</f>
        <v>#DIV/0!</v>
      </c>
      <c r="AB100" s="42" t="e">
        <f>(Table133[[#This Row],[Price at hi of squeeze]]-Table133[[#This Row],[MKT Open Price]])/Table133[[#This Row],[MKT Open Price]]</f>
        <v>#DIV/0!</v>
      </c>
      <c r="AC100" s="18" t="e">
        <f>(Table133[[#This Row],[Price at hi of squeeze]]-Table133[[#This Row],[PM Hi]])/Table133[[#This Row],[PM Hi]]</f>
        <v>#DIV/0!</v>
      </c>
      <c r="AD100" s="18"/>
      <c r="AE100" s="20" t="e">
        <f>Table133[[#This Row],[PM VOL]]/1000000/Table133[[#This Row],[FLOAT(M)]]</f>
        <v>#DIV/0!</v>
      </c>
      <c r="AF100" s="23" t="e">
        <f>(Table133[[#This Row],[Volume]]/1000000)/Table133[[#This Row],[FLOAT(M)]]</f>
        <v>#DIV/0!</v>
      </c>
      <c r="AH100" s="18" t="e">
        <f>(Table133[[#This Row],[PM Hi]]-Table133[[#This Row],[MKT Open Price]])/(Table133[[#This Row],[PM Hi]])</f>
        <v>#DIV/0!</v>
      </c>
      <c r="AI100" s="18" t="e">
        <f>IF(Table133[[#This Row],[PM LO]]&gt;Table133[[#This Row],[Prior day close]],(Table133[[#This Row],[PM Hi]]-Table133[[#This Row],[MKT Open Price]])/(Table133[[#This Row],[PM Hi]]-Table133[[#This Row],[Prior day close]]),(Table133[[#This Row],[PM Hi]]-Table133[[#This Row],[MKT Open Price]])/(Table133[[#This Row],[PM Hi]]-Table133[[#This Row],[PM LO]]))</f>
        <v>#DIV/0!</v>
      </c>
      <c r="AJ100" s="48" t="e">
        <f>IF(Table133[[#This Row],[Prior day close]]&lt;Table133[[#This Row],[PM LO]],(I100-K100)/(I100-Table133[[#This Row],[Prior day close]]),(I100-K100)/(I100-Table133[[#This Row],[PM LO]]))</f>
        <v>#DIV/0!</v>
      </c>
      <c r="AK100" s="48" t="e">
        <f>Table133[[#This Row],[Spike % on open before drop]]+AL100</f>
        <v>#DIV/0!</v>
      </c>
      <c r="AL100" s="16" t="e">
        <f>(I100-K100)/I100</f>
        <v>#DIV/0!</v>
      </c>
      <c r="AM100" s="18" t="e">
        <f>IF($J100&gt;=$F100,($J100-$K100)/($J100),(IF($H100&lt;=$K100,($F100-$H100)/($F100),(Table133[[#This Row],[PM Hi]]-Table133[[#This Row],[Lowest lo from open to squeeze]])/(Table133[[#This Row],[PM Hi]]))))</f>
        <v>#DIV/0!</v>
      </c>
      <c r="AN100" s="48" t="e">
        <f>IF(Table133[[#This Row],[Prior day close]]&lt;=Table133[[#This Row],[PM LO]],IF($J100&gt;=$F100,($J100-$K100)/($J100-Table133[[#This Row],[Prior day close]]),(IF($H100&lt;=$K100,($F100-$H100)/($F100-Table133[[#This Row],[Prior day close]]),(Table133[[#This Row],[PM Hi]]-Table133[[#This Row],[Lowest lo from open to squeeze]])/(Table133[[#This Row],[PM Hi]]-Table133[[#This Row],[Prior day close]])))),IF($J100&gt;=$F100,($J100-$K100)/($J100-Table133[[#This Row],[PM LO]]),(IF($H100&lt;=$K100,($F100-$H100)/($F100-Table133[[#This Row],[PM LO]]),(Table133[[#This Row],[PM Hi]]-Table133[[#This Row],[Lowest lo from open to squeeze]])/(Table133[[#This Row],[PM Hi]]-Table133[[#This Row],[PM LO]])))))</f>
        <v>#DIV/0!</v>
      </c>
      <c r="AO100" s="18" t="e">
        <f>IF(J100&gt;=F100,(J100-K100)/(J100-D100),(IF(H100&lt;=K100,(F100-H100)/(F100-D100),(Table133[[#This Row],[PM Hi]]-Table133[[#This Row],[Lowest lo from open to squeeze]])/(Table133[[#This Row],[PM Hi]]-Table133[[#This Row],[Prior day close]]))))</f>
        <v>#DIV/0!</v>
      </c>
      <c r="AP100" s="17">
        <f>390+Table133[[#This Row],[Time until ideal entry point (mins) from open]]</f>
        <v>390</v>
      </c>
      <c r="AQ100" s="17">
        <f>Table133[[#This Row],[Time until ideal entry + 390 (6:30)]]+Table133[[#This Row],[Duration of frontside (mins)]]</f>
        <v>390</v>
      </c>
    </row>
    <row r="101" spans="1:43" x14ac:dyDescent="0.25">
      <c r="A101" s="24" t="s">
        <v>206</v>
      </c>
      <c r="B101" s="47">
        <v>44218</v>
      </c>
      <c r="C101" s="47" t="s">
        <v>78</v>
      </c>
      <c r="D101" s="12"/>
      <c r="E101" s="13">
        <f>Table133[[#This Row],[Prior day close]]</f>
        <v>0</v>
      </c>
      <c r="F101" s="12"/>
      <c r="G101" s="12"/>
      <c r="H101" s="12"/>
      <c r="I101" s="12"/>
      <c r="J101" s="12"/>
      <c r="K101" s="12"/>
      <c r="N101" s="13"/>
      <c r="P101" s="37"/>
      <c r="Q101" s="46"/>
      <c r="R101" s="37"/>
      <c r="S101" s="37"/>
      <c r="T101" s="37"/>
      <c r="U101" s="38"/>
      <c r="V101" s="46"/>
      <c r="W101" s="37"/>
      <c r="X101" s="46"/>
      <c r="Y101" s="41">
        <f>Table133[[#This Row],[Time until ideal entry + 390 (6:30)]]/(1440)</f>
        <v>0.27083333333333331</v>
      </c>
      <c r="Z101" s="18" t="e">
        <f>(F101-D101)/D101</f>
        <v>#DIV/0!</v>
      </c>
      <c r="AA101" s="18" t="e">
        <f>IF(Table133[[#This Row],[HOD AFTER PM HI]]&gt;=Table133[[#This Row],[PM Hi]],((Table133[[#This Row],[HOD AFTER PM HI]]-Table133[[#This Row],[Prior day close]])/Table133[[#This Row],[Prior day close]]),Table133[[#This Row],[Prior Close to PM Hi %]])</f>
        <v>#DIV/0!</v>
      </c>
      <c r="AB101" s="42" t="e">
        <f>(Table133[[#This Row],[Price at hi of squeeze]]-Table133[[#This Row],[MKT Open Price]])/Table133[[#This Row],[MKT Open Price]]</f>
        <v>#DIV/0!</v>
      </c>
      <c r="AC101" s="18" t="e">
        <f>(Table133[[#This Row],[Price at hi of squeeze]]-Table133[[#This Row],[PM Hi]])/Table133[[#This Row],[PM Hi]]</f>
        <v>#DIV/0!</v>
      </c>
      <c r="AD101" s="18"/>
      <c r="AE101" s="20" t="e">
        <f>Table133[[#This Row],[PM VOL]]/1000000/Table133[[#This Row],[FLOAT(M)]]</f>
        <v>#DIV/0!</v>
      </c>
      <c r="AF101" s="23" t="e">
        <f>(Table133[[#This Row],[Volume]]/1000000)/Table133[[#This Row],[FLOAT(M)]]</f>
        <v>#DIV/0!</v>
      </c>
      <c r="AH101" s="18" t="e">
        <f>(Table133[[#This Row],[PM Hi]]-Table133[[#This Row],[MKT Open Price]])/(Table133[[#This Row],[PM Hi]])</f>
        <v>#DIV/0!</v>
      </c>
      <c r="AI101" s="18" t="e">
        <f>IF(Table133[[#This Row],[PM LO]]&gt;Table133[[#This Row],[Prior day close]],(Table133[[#This Row],[PM Hi]]-Table133[[#This Row],[MKT Open Price]])/(Table133[[#This Row],[PM Hi]]-Table133[[#This Row],[Prior day close]]),(Table133[[#This Row],[PM Hi]]-Table133[[#This Row],[MKT Open Price]])/(Table133[[#This Row],[PM Hi]]-Table133[[#This Row],[PM LO]]))</f>
        <v>#DIV/0!</v>
      </c>
      <c r="AJ101" s="48" t="e">
        <f>IF(Table133[[#This Row],[Prior day close]]&lt;Table133[[#This Row],[PM LO]],(I101-K101)/(I101-Table133[[#This Row],[Prior day close]]),(I101-K101)/(I101-Table133[[#This Row],[PM LO]]))</f>
        <v>#DIV/0!</v>
      </c>
      <c r="AK101" s="48" t="e">
        <f>Table133[[#This Row],[Spike % on open before drop]]+AL101</f>
        <v>#DIV/0!</v>
      </c>
      <c r="AL101" s="16" t="e">
        <f>(I101-K101)/I101</f>
        <v>#DIV/0!</v>
      </c>
      <c r="AM101" s="18" t="e">
        <f>IF($J101&gt;=$F101,($J101-$K101)/($J101),(IF($H101&lt;=$K101,($F101-$H101)/($F101),(Table133[[#This Row],[PM Hi]]-Table133[[#This Row],[Lowest lo from open to squeeze]])/(Table133[[#This Row],[PM Hi]]))))</f>
        <v>#DIV/0!</v>
      </c>
      <c r="AN101" s="48" t="e">
        <f>IF(Table133[[#This Row],[Prior day close]]&lt;=Table133[[#This Row],[PM LO]],IF($J101&gt;=$F101,($J101-$K101)/($J101-Table133[[#This Row],[Prior day close]]),(IF($H101&lt;=$K101,($F101-$H101)/($F101-Table133[[#This Row],[Prior day close]]),(Table133[[#This Row],[PM Hi]]-Table133[[#This Row],[Lowest lo from open to squeeze]])/(Table133[[#This Row],[PM Hi]]-Table133[[#This Row],[Prior day close]])))),IF($J101&gt;=$F101,($J101-$K101)/($J101-Table133[[#This Row],[PM LO]]),(IF($H101&lt;=$K101,($F101-$H101)/($F101-Table133[[#This Row],[PM LO]]),(Table133[[#This Row],[PM Hi]]-Table133[[#This Row],[Lowest lo from open to squeeze]])/(Table133[[#This Row],[PM Hi]]-Table133[[#This Row],[PM LO]])))))</f>
        <v>#DIV/0!</v>
      </c>
      <c r="AO101" s="18" t="e">
        <f>IF(J101&gt;=F101,(J101-K101)/(J101-D101),(IF(H101&lt;=K101,(F101-H101)/(F101-D101),(Table133[[#This Row],[PM Hi]]-Table133[[#This Row],[Lowest lo from open to squeeze]])/(Table133[[#This Row],[PM Hi]]-Table133[[#This Row],[Prior day close]]))))</f>
        <v>#DIV/0!</v>
      </c>
      <c r="AP101" s="17">
        <f>390+Table133[[#This Row],[Time until ideal entry point (mins) from open]]</f>
        <v>390</v>
      </c>
      <c r="AQ101" s="17">
        <f>Table133[[#This Row],[Time until ideal entry + 390 (6:30)]]+Table133[[#This Row],[Duration of frontside (mins)]]</f>
        <v>390</v>
      </c>
    </row>
    <row r="102" spans="1:43" x14ac:dyDescent="0.25">
      <c r="A102" s="24" t="s">
        <v>311</v>
      </c>
      <c r="B102" s="47">
        <v>44221</v>
      </c>
      <c r="C102" s="47" t="s">
        <v>78</v>
      </c>
      <c r="D102" s="12"/>
      <c r="E102" s="13">
        <f>Table133[[#This Row],[Prior day close]]</f>
        <v>0</v>
      </c>
      <c r="F102" s="12"/>
      <c r="G102" s="12"/>
      <c r="H102" s="12"/>
      <c r="I102" s="12"/>
      <c r="J102" s="12"/>
      <c r="K102" s="12"/>
      <c r="N102" s="13"/>
      <c r="P102" s="37"/>
      <c r="Q102" s="46"/>
      <c r="R102" s="37"/>
      <c r="S102" s="37"/>
      <c r="T102" s="37"/>
      <c r="U102" s="38"/>
      <c r="V102" s="46"/>
      <c r="W102" s="37"/>
      <c r="X102" s="46"/>
      <c r="Y102" s="41">
        <f>Table133[[#This Row],[Time until ideal entry + 390 (6:30)]]/(1440)</f>
        <v>0.27083333333333331</v>
      </c>
      <c r="Z102" s="18" t="e">
        <f>(F102-D102)/D102</f>
        <v>#DIV/0!</v>
      </c>
      <c r="AA102" s="18" t="e">
        <f>IF(Table133[[#This Row],[HOD AFTER PM HI]]&gt;=Table133[[#This Row],[PM Hi]],((Table133[[#This Row],[HOD AFTER PM HI]]-Table133[[#This Row],[Prior day close]])/Table133[[#This Row],[Prior day close]]),Table133[[#This Row],[Prior Close to PM Hi %]])</f>
        <v>#DIV/0!</v>
      </c>
      <c r="AB102" s="42" t="e">
        <f>(Table133[[#This Row],[Price at hi of squeeze]]-Table133[[#This Row],[MKT Open Price]])/Table133[[#This Row],[MKT Open Price]]</f>
        <v>#DIV/0!</v>
      </c>
      <c r="AC102" s="18" t="e">
        <f>(Table133[[#This Row],[Price at hi of squeeze]]-Table133[[#This Row],[PM Hi]])/Table133[[#This Row],[PM Hi]]</f>
        <v>#DIV/0!</v>
      </c>
      <c r="AD102" s="18"/>
      <c r="AE102" s="20" t="e">
        <f>Table133[[#This Row],[PM VOL]]/1000000/Table133[[#This Row],[FLOAT(M)]]</f>
        <v>#DIV/0!</v>
      </c>
      <c r="AF102" s="23" t="e">
        <f>(Table133[[#This Row],[Volume]]/1000000)/Table133[[#This Row],[FLOAT(M)]]</f>
        <v>#DIV/0!</v>
      </c>
      <c r="AH102" s="18" t="e">
        <f>(Table133[[#This Row],[PM Hi]]-Table133[[#This Row],[MKT Open Price]])/(Table133[[#This Row],[PM Hi]])</f>
        <v>#DIV/0!</v>
      </c>
      <c r="AI102" s="18" t="e">
        <f>IF(Table133[[#This Row],[PM LO]]&gt;Table133[[#This Row],[Prior day close]],(Table133[[#This Row],[PM Hi]]-Table133[[#This Row],[MKT Open Price]])/(Table133[[#This Row],[PM Hi]]-Table133[[#This Row],[Prior day close]]),(Table133[[#This Row],[PM Hi]]-Table133[[#This Row],[MKT Open Price]])/(Table133[[#This Row],[PM Hi]]-Table133[[#This Row],[PM LO]]))</f>
        <v>#DIV/0!</v>
      </c>
      <c r="AJ102" s="48" t="e">
        <f>IF(Table133[[#This Row],[Prior day close]]&lt;Table133[[#This Row],[PM LO]],(I102-K102)/(I102-Table133[[#This Row],[Prior day close]]),(I102-K102)/(I102-Table133[[#This Row],[PM LO]]))</f>
        <v>#DIV/0!</v>
      </c>
      <c r="AK102" s="48" t="e">
        <f>Table133[[#This Row],[Spike % on open before drop]]+AL102</f>
        <v>#DIV/0!</v>
      </c>
      <c r="AL102" s="16" t="e">
        <f>(I102-K102)/I102</f>
        <v>#DIV/0!</v>
      </c>
      <c r="AM102" s="18" t="e">
        <f>IF($J102&gt;=$F102,($J102-$K102)/($J102),(IF($H102&lt;=$K102,($F102-$H102)/($F102),(Table133[[#This Row],[PM Hi]]-Table133[[#This Row],[Lowest lo from open to squeeze]])/(Table133[[#This Row],[PM Hi]]))))</f>
        <v>#DIV/0!</v>
      </c>
      <c r="AN102" s="48" t="e">
        <f>IF(Table133[[#This Row],[Prior day close]]&lt;=Table133[[#This Row],[PM LO]],IF($J102&gt;=$F102,($J102-$K102)/($J102-Table133[[#This Row],[Prior day close]]),(IF($H102&lt;=$K102,($F102-$H102)/($F102-Table133[[#This Row],[Prior day close]]),(Table133[[#This Row],[PM Hi]]-Table133[[#This Row],[Lowest lo from open to squeeze]])/(Table133[[#This Row],[PM Hi]]-Table133[[#This Row],[Prior day close]])))),IF($J102&gt;=$F102,($J102-$K102)/($J102-Table133[[#This Row],[PM LO]]),(IF($H102&lt;=$K102,($F102-$H102)/($F102-Table133[[#This Row],[PM LO]]),(Table133[[#This Row],[PM Hi]]-Table133[[#This Row],[Lowest lo from open to squeeze]])/(Table133[[#This Row],[PM Hi]]-Table133[[#This Row],[PM LO]])))))</f>
        <v>#DIV/0!</v>
      </c>
      <c r="AO102" s="18" t="e">
        <f>IF(J102&gt;=F102,(J102-K102)/(J102-D102),(IF(H102&lt;=K102,(F102-H102)/(F102-D102),(Table133[[#This Row],[PM Hi]]-Table133[[#This Row],[Lowest lo from open to squeeze]])/(Table133[[#This Row],[PM Hi]]-Table133[[#This Row],[Prior day close]]))))</f>
        <v>#DIV/0!</v>
      </c>
      <c r="AP102" s="17">
        <f>390+Table133[[#This Row],[Time until ideal entry point (mins) from open]]</f>
        <v>390</v>
      </c>
      <c r="AQ102" s="17">
        <f>Table133[[#This Row],[Time until ideal entry + 390 (6:30)]]+Table133[[#This Row],[Duration of frontside (mins)]]</f>
        <v>390</v>
      </c>
    </row>
    <row r="103" spans="1:43" x14ac:dyDescent="0.25">
      <c r="A103" s="24" t="s">
        <v>338</v>
      </c>
      <c r="B103" s="47">
        <v>44225</v>
      </c>
      <c r="C103" s="47" t="s">
        <v>78</v>
      </c>
      <c r="D103" s="12"/>
      <c r="E103" s="13">
        <f>Table133[[#This Row],[Prior day close]]</f>
        <v>0</v>
      </c>
      <c r="F103" s="12"/>
      <c r="G103" s="12"/>
      <c r="H103" s="12"/>
      <c r="I103" s="12"/>
      <c r="J103" s="12"/>
      <c r="K103" s="12"/>
      <c r="N103" s="13"/>
      <c r="P103" s="37"/>
      <c r="Q103" s="46"/>
      <c r="R103" s="37"/>
      <c r="S103" s="37"/>
      <c r="T103" s="37"/>
      <c r="U103" s="38"/>
      <c r="V103" s="46"/>
      <c r="W103" s="37"/>
      <c r="X103" s="46"/>
      <c r="Y103" s="41">
        <f>Table133[[#This Row],[Time until ideal entry + 390 (6:30)]]/(1440)</f>
        <v>0.27083333333333331</v>
      </c>
      <c r="Z103" s="18" t="e">
        <f>(F103-D103)/D103</f>
        <v>#DIV/0!</v>
      </c>
      <c r="AA103" s="18" t="e">
        <f>IF(Table133[[#This Row],[HOD AFTER PM HI]]&gt;=Table133[[#This Row],[PM Hi]],((Table133[[#This Row],[HOD AFTER PM HI]]-Table133[[#This Row],[Prior day close]])/Table133[[#This Row],[Prior day close]]),Table133[[#This Row],[Prior Close to PM Hi %]])</f>
        <v>#DIV/0!</v>
      </c>
      <c r="AB103" s="42" t="e">
        <f>(Table133[[#This Row],[Price at hi of squeeze]]-Table133[[#This Row],[MKT Open Price]])/Table133[[#This Row],[MKT Open Price]]</f>
        <v>#DIV/0!</v>
      </c>
      <c r="AC103" s="18" t="e">
        <f>(Table133[[#This Row],[Price at hi of squeeze]]-Table133[[#This Row],[PM Hi]])/Table133[[#This Row],[PM Hi]]</f>
        <v>#DIV/0!</v>
      </c>
      <c r="AD103" s="18"/>
      <c r="AE103" s="20" t="e">
        <f>Table133[[#This Row],[PM VOL]]/1000000/Table133[[#This Row],[FLOAT(M)]]</f>
        <v>#DIV/0!</v>
      </c>
      <c r="AF103" s="23" t="e">
        <f>(Table133[[#This Row],[Volume]]/1000000)/Table133[[#This Row],[FLOAT(M)]]</f>
        <v>#DIV/0!</v>
      </c>
      <c r="AH103" s="18" t="e">
        <f>(Table133[[#This Row],[PM Hi]]-Table133[[#This Row],[MKT Open Price]])/(Table133[[#This Row],[PM Hi]])</f>
        <v>#DIV/0!</v>
      </c>
      <c r="AI103" s="18" t="e">
        <f>IF(Table133[[#This Row],[PM LO]]&gt;Table133[[#This Row],[Prior day close]],(Table133[[#This Row],[PM Hi]]-Table133[[#This Row],[MKT Open Price]])/(Table133[[#This Row],[PM Hi]]-Table133[[#This Row],[Prior day close]]),(Table133[[#This Row],[PM Hi]]-Table133[[#This Row],[MKT Open Price]])/(Table133[[#This Row],[PM Hi]]-Table133[[#This Row],[PM LO]]))</f>
        <v>#DIV/0!</v>
      </c>
      <c r="AJ103" s="48" t="e">
        <f>IF(Table133[[#This Row],[Prior day close]]&lt;Table133[[#This Row],[PM LO]],(I103-K103)/(I103-Table133[[#This Row],[Prior day close]]),(I103-K103)/(I103-Table133[[#This Row],[PM LO]]))</f>
        <v>#DIV/0!</v>
      </c>
      <c r="AK103" s="48" t="e">
        <f>Table133[[#This Row],[Spike % on open before drop]]+AL103</f>
        <v>#DIV/0!</v>
      </c>
      <c r="AL103" s="16" t="e">
        <f>(I103-K103)/I103</f>
        <v>#DIV/0!</v>
      </c>
      <c r="AM103" s="18" t="e">
        <f>IF($J103&gt;=$F103,($J103-$K103)/($J103),(IF($H103&lt;=$K103,($F103-$H103)/($F103),(Table133[[#This Row],[PM Hi]]-Table133[[#This Row],[Lowest lo from open to squeeze]])/(Table133[[#This Row],[PM Hi]]))))</f>
        <v>#DIV/0!</v>
      </c>
      <c r="AN103" s="48" t="e">
        <f>IF(Table133[[#This Row],[Prior day close]]&lt;=Table133[[#This Row],[PM LO]],IF($J103&gt;=$F103,($J103-$K103)/($J103-Table133[[#This Row],[Prior day close]]),(IF($H103&lt;=$K103,($F103-$H103)/($F103-Table133[[#This Row],[Prior day close]]),(Table133[[#This Row],[PM Hi]]-Table133[[#This Row],[Lowest lo from open to squeeze]])/(Table133[[#This Row],[PM Hi]]-Table133[[#This Row],[Prior day close]])))),IF($J103&gt;=$F103,($J103-$K103)/($J103-Table133[[#This Row],[PM LO]]),(IF($H103&lt;=$K103,($F103-$H103)/($F103-Table133[[#This Row],[PM LO]]),(Table133[[#This Row],[PM Hi]]-Table133[[#This Row],[Lowest lo from open to squeeze]])/(Table133[[#This Row],[PM Hi]]-Table133[[#This Row],[PM LO]])))))</f>
        <v>#DIV/0!</v>
      </c>
      <c r="AO103" s="18" t="e">
        <f>IF(J103&gt;=F103,(J103-K103)/(J103-D103),(IF(H103&lt;=K103,(F103-H103)/(F103-D103),(Table133[[#This Row],[PM Hi]]-Table133[[#This Row],[Lowest lo from open to squeeze]])/(Table133[[#This Row],[PM Hi]]-Table133[[#This Row],[Prior day close]]))))</f>
        <v>#DIV/0!</v>
      </c>
      <c r="AP103" s="17">
        <f>390+Table133[[#This Row],[Time until ideal entry point (mins) from open]]</f>
        <v>390</v>
      </c>
      <c r="AQ103" s="17">
        <f>Table133[[#This Row],[Time until ideal entry + 390 (6:30)]]+Table133[[#This Row],[Duration of frontside (mins)]]</f>
        <v>390</v>
      </c>
    </row>
    <row r="104" spans="1:43" x14ac:dyDescent="0.25">
      <c r="A104" s="24" t="s">
        <v>207</v>
      </c>
      <c r="B104" s="47">
        <v>43837</v>
      </c>
      <c r="C104" s="47" t="s">
        <v>178</v>
      </c>
      <c r="D104" s="12"/>
      <c r="E104" s="13"/>
      <c r="F104" s="12"/>
      <c r="G104" s="12"/>
      <c r="H104" s="12"/>
      <c r="I104" s="12"/>
      <c r="J104" s="12"/>
      <c r="K104" s="12"/>
      <c r="N104" s="13"/>
      <c r="P104" s="37"/>
      <c r="Q104" s="46"/>
      <c r="R104" s="37"/>
      <c r="S104" s="37"/>
      <c r="T104" s="37"/>
      <c r="U104" s="38"/>
      <c r="V104" s="46"/>
      <c r="W104" s="37"/>
      <c r="X104" s="46"/>
      <c r="Y104" s="41">
        <f>Table133[[#This Row],[Time until ideal entry + 390 (6:30)]]/(1440)</f>
        <v>0.27083333333333331</v>
      </c>
      <c r="Z104" s="18" t="e">
        <f>(F104-D104)/D104</f>
        <v>#DIV/0!</v>
      </c>
      <c r="AA104" s="18" t="e">
        <f>IF(Table133[[#This Row],[HOD AFTER PM HI]]&gt;=Table133[[#This Row],[PM Hi]],((Table133[[#This Row],[HOD AFTER PM HI]]-Table133[[#This Row],[Prior day close]])/Table133[[#This Row],[Prior day close]]),Table133[[#This Row],[Prior Close to PM Hi %]])</f>
        <v>#DIV/0!</v>
      </c>
      <c r="AB104" s="42" t="e">
        <f>(Table133[[#This Row],[Price at hi of squeeze]]-Table133[[#This Row],[MKT Open Price]])/Table133[[#This Row],[MKT Open Price]]</f>
        <v>#DIV/0!</v>
      </c>
      <c r="AC104" s="18" t="e">
        <f>(Table133[[#This Row],[Price at hi of squeeze]]-Table133[[#This Row],[PM Hi]])/Table133[[#This Row],[PM Hi]]</f>
        <v>#DIV/0!</v>
      </c>
      <c r="AD104" s="18"/>
      <c r="AE104" s="20" t="e">
        <f>Table133[[#This Row],[PM VOL]]/1000000/Table133[[#This Row],[FLOAT(M)]]</f>
        <v>#DIV/0!</v>
      </c>
      <c r="AF104" s="23" t="e">
        <f>(Table133[[#This Row],[Volume]]/1000000)/Table133[[#This Row],[FLOAT(M)]]</f>
        <v>#DIV/0!</v>
      </c>
      <c r="AH104" s="18" t="e">
        <f>(Table133[[#This Row],[PM Hi]]-Table133[[#This Row],[MKT Open Price]])/(Table133[[#This Row],[PM Hi]])</f>
        <v>#DIV/0!</v>
      </c>
      <c r="AI104" s="18" t="e">
        <f>IF(Table133[[#This Row],[PM LO]]&gt;Table133[[#This Row],[Prior day close]],(Table133[[#This Row],[PM Hi]]-Table133[[#This Row],[MKT Open Price]])/(Table133[[#This Row],[PM Hi]]-Table133[[#This Row],[Prior day close]]),(Table133[[#This Row],[PM Hi]]-Table133[[#This Row],[MKT Open Price]])/(Table133[[#This Row],[PM Hi]]-Table133[[#This Row],[PM LO]]))</f>
        <v>#DIV/0!</v>
      </c>
      <c r="AJ104" s="48" t="e">
        <f>IF(Table133[[#This Row],[Prior day close]]&lt;Table133[[#This Row],[PM LO]],(I104-K104)/(I104-Table133[[#This Row],[Prior day close]]),(I104-K104)/(I104-Table133[[#This Row],[PM LO]]))</f>
        <v>#DIV/0!</v>
      </c>
      <c r="AK104" s="48" t="e">
        <f>Table133[[#This Row],[Spike % on open before drop]]+AL104</f>
        <v>#DIV/0!</v>
      </c>
      <c r="AL104" s="16" t="e">
        <f>(I104-K104)/I104</f>
        <v>#DIV/0!</v>
      </c>
      <c r="AM104" s="18" t="e">
        <f>IF($J104&gt;=$F104,($J104-$K104)/($J104),(IF($H104&lt;=$K104,($F104-$H104)/($F104),(Table133[[#This Row],[PM Hi]]-Table133[[#This Row],[Lowest lo from open to squeeze]])/(Table133[[#This Row],[PM Hi]]))))</f>
        <v>#DIV/0!</v>
      </c>
      <c r="AN104" s="48" t="e">
        <f>IF(Table133[[#This Row],[Prior day close]]&lt;=Table133[[#This Row],[PM LO]],IF($J104&gt;=$F104,($J104-$K104)/($J104-Table133[[#This Row],[Prior day close]]),(IF($H104&lt;=$K104,($F104-$H104)/($F104-Table133[[#This Row],[Prior day close]]),(Table133[[#This Row],[PM Hi]]-Table133[[#This Row],[Lowest lo from open to squeeze]])/(Table133[[#This Row],[PM Hi]]-Table133[[#This Row],[Prior day close]])))),IF($J104&gt;=$F104,($J104-$K104)/($J104-Table133[[#This Row],[PM LO]]),(IF($H104&lt;=$K104,($F104-$H104)/($F104-Table133[[#This Row],[PM LO]]),(Table133[[#This Row],[PM Hi]]-Table133[[#This Row],[Lowest lo from open to squeeze]])/(Table133[[#This Row],[PM Hi]]-Table133[[#This Row],[PM LO]])))))</f>
        <v>#DIV/0!</v>
      </c>
      <c r="AO104" s="18" t="e">
        <f>IF(J104&gt;=F104,(J104-K104)/(J104-D104),(IF(H104&lt;=K104,(F104-H104)/(F104-D104),(Table133[[#This Row],[PM Hi]]-Table133[[#This Row],[Lowest lo from open to squeeze]])/(Table133[[#This Row],[PM Hi]]-Table133[[#This Row],[Prior day close]]))))</f>
        <v>#DIV/0!</v>
      </c>
      <c r="AP104" s="17">
        <f>390+Table133[[#This Row],[Time until ideal entry point (mins) from open]]</f>
        <v>390</v>
      </c>
      <c r="AQ104" s="17">
        <f>Table133[[#This Row],[Time until ideal entry + 390 (6:30)]]+Table133[[#This Row],[Duration of frontside (mins)]]</f>
        <v>390</v>
      </c>
    </row>
    <row r="105" spans="1:43" x14ac:dyDescent="0.25">
      <c r="A105" s="24" t="s">
        <v>215</v>
      </c>
      <c r="B105" s="47">
        <v>43888</v>
      </c>
      <c r="C105" s="47" t="s">
        <v>364</v>
      </c>
      <c r="D105" s="12"/>
      <c r="E105" s="13"/>
      <c r="F105" s="12"/>
      <c r="G105" s="12"/>
      <c r="H105" s="12"/>
      <c r="I105" s="12"/>
      <c r="J105" s="12"/>
      <c r="K105" s="12"/>
      <c r="N105" s="13"/>
      <c r="P105" s="37"/>
      <c r="Q105" s="46"/>
      <c r="R105" s="37"/>
      <c r="S105" s="37"/>
      <c r="T105" s="37"/>
      <c r="U105" s="38"/>
      <c r="V105" s="46"/>
      <c r="W105" s="37"/>
      <c r="X105" s="46"/>
      <c r="Y105" s="41">
        <f>Table133[[#This Row],[Time until ideal entry + 390 (6:30)]]/(1440)</f>
        <v>0.27083333333333331</v>
      </c>
      <c r="Z105" s="18" t="e">
        <f>(F105-D105)/D105</f>
        <v>#DIV/0!</v>
      </c>
      <c r="AA105" s="18" t="e">
        <f>IF(Table133[[#This Row],[HOD AFTER PM HI]]&gt;=Table133[[#This Row],[PM Hi]],((Table133[[#This Row],[HOD AFTER PM HI]]-Table133[[#This Row],[Prior day close]])/Table133[[#This Row],[Prior day close]]),Table133[[#This Row],[Prior Close to PM Hi %]])</f>
        <v>#DIV/0!</v>
      </c>
      <c r="AB105" s="42" t="e">
        <f>(Table133[[#This Row],[Price at hi of squeeze]]-Table133[[#This Row],[MKT Open Price]])/Table133[[#This Row],[MKT Open Price]]</f>
        <v>#DIV/0!</v>
      </c>
      <c r="AC105" s="18" t="e">
        <f>(Table133[[#This Row],[Price at hi of squeeze]]-Table133[[#This Row],[PM Hi]])/Table133[[#This Row],[PM Hi]]</f>
        <v>#DIV/0!</v>
      </c>
      <c r="AD105" s="18"/>
      <c r="AE105" s="20" t="e">
        <f>Table133[[#This Row],[PM VOL]]/1000000/Table133[[#This Row],[FLOAT(M)]]</f>
        <v>#DIV/0!</v>
      </c>
      <c r="AF105" s="23" t="e">
        <f>(Table133[[#This Row],[Volume]]/1000000)/Table133[[#This Row],[FLOAT(M)]]</f>
        <v>#DIV/0!</v>
      </c>
      <c r="AH105" s="18" t="e">
        <f>(Table133[[#This Row],[PM Hi]]-Table133[[#This Row],[MKT Open Price]])/(Table133[[#This Row],[PM Hi]])</f>
        <v>#DIV/0!</v>
      </c>
      <c r="AI105" s="18" t="e">
        <f>IF(Table133[[#This Row],[PM LO]]&gt;Table133[[#This Row],[Prior day close]],(Table133[[#This Row],[PM Hi]]-Table133[[#This Row],[MKT Open Price]])/(Table133[[#This Row],[PM Hi]]-Table133[[#This Row],[Prior day close]]),(Table133[[#This Row],[PM Hi]]-Table133[[#This Row],[MKT Open Price]])/(Table133[[#This Row],[PM Hi]]-Table133[[#This Row],[PM LO]]))</f>
        <v>#DIV/0!</v>
      </c>
      <c r="AJ105" s="48" t="e">
        <f>IF(Table133[[#This Row],[Prior day close]]&lt;Table133[[#This Row],[PM LO]],(I105-K105)/(I105-Table133[[#This Row],[Prior day close]]),(I105-K105)/(I105-Table133[[#This Row],[PM LO]]))</f>
        <v>#DIV/0!</v>
      </c>
      <c r="AK105" s="48" t="e">
        <f>Table133[[#This Row],[Spike % on open before drop]]+AL105</f>
        <v>#DIV/0!</v>
      </c>
      <c r="AL105" s="16" t="e">
        <f>(I105-K105)/I105</f>
        <v>#DIV/0!</v>
      </c>
      <c r="AM105" s="18" t="e">
        <f>IF($J105&gt;=$F105,($J105-$K105)/($J105),(IF($H105&lt;=$K105,($F105-$H105)/($F105),(Table133[[#This Row],[PM Hi]]-Table133[[#This Row],[Lowest lo from open to squeeze]])/(Table133[[#This Row],[PM Hi]]))))</f>
        <v>#DIV/0!</v>
      </c>
      <c r="AN105" s="48" t="e">
        <f>IF(Table133[[#This Row],[Prior day close]]&lt;=Table133[[#This Row],[PM LO]],IF($J105&gt;=$F105,($J105-$K105)/($J105-Table133[[#This Row],[Prior day close]]),(IF($H105&lt;=$K105,($F105-$H105)/($F105-Table133[[#This Row],[Prior day close]]),(Table133[[#This Row],[PM Hi]]-Table133[[#This Row],[Lowest lo from open to squeeze]])/(Table133[[#This Row],[PM Hi]]-Table133[[#This Row],[Prior day close]])))),IF($J105&gt;=$F105,($J105-$K105)/($J105-Table133[[#This Row],[PM LO]]),(IF($H105&lt;=$K105,($F105-$H105)/($F105-Table133[[#This Row],[PM LO]]),(Table133[[#This Row],[PM Hi]]-Table133[[#This Row],[Lowest lo from open to squeeze]])/(Table133[[#This Row],[PM Hi]]-Table133[[#This Row],[PM LO]])))))</f>
        <v>#DIV/0!</v>
      </c>
      <c r="AO105" s="18" t="e">
        <f>IF(J105&gt;=F105,(J105-K105)/(J105-D105),(IF(H105&lt;=K105,(F105-H105)/(F105-D105),(Table133[[#This Row],[PM Hi]]-Table133[[#This Row],[Lowest lo from open to squeeze]])/(Table133[[#This Row],[PM Hi]]-Table133[[#This Row],[Prior day close]]))))</f>
        <v>#DIV/0!</v>
      </c>
      <c r="AP105" s="17">
        <f>390+Table133[[#This Row],[Time until ideal entry point (mins) from open]]</f>
        <v>390</v>
      </c>
      <c r="AQ105" s="17">
        <f>Table133[[#This Row],[Time until ideal entry + 390 (6:30)]]+Table133[[#This Row],[Duration of frontside (mins)]]</f>
        <v>390</v>
      </c>
    </row>
    <row r="106" spans="1:43" x14ac:dyDescent="0.25">
      <c r="A106" s="24" t="s">
        <v>280</v>
      </c>
      <c r="B106" s="47">
        <v>44124</v>
      </c>
      <c r="C106" s="47" t="s">
        <v>178</v>
      </c>
      <c r="D106" s="12"/>
      <c r="E106" s="13"/>
      <c r="F106" s="12"/>
      <c r="G106" s="12"/>
      <c r="H106" s="12"/>
      <c r="I106" s="12"/>
      <c r="J106" s="12"/>
      <c r="K106" s="12"/>
      <c r="N106" s="13"/>
      <c r="P106" s="37"/>
      <c r="Q106" s="46"/>
      <c r="R106" s="37"/>
      <c r="S106" s="37"/>
      <c r="T106" s="37"/>
      <c r="U106" s="38"/>
      <c r="V106" s="46"/>
      <c r="W106" s="37"/>
      <c r="X106" s="46"/>
      <c r="Y106" s="41">
        <f>Table133[[#This Row],[Time until ideal entry + 390 (6:30)]]/(1440)</f>
        <v>0.27083333333333331</v>
      </c>
      <c r="Z106" s="18" t="e">
        <f>(F106-D106)/D106</f>
        <v>#DIV/0!</v>
      </c>
      <c r="AA106" s="18" t="e">
        <f>IF(Table133[[#This Row],[HOD AFTER PM HI]]&gt;=Table133[[#This Row],[PM Hi]],((Table133[[#This Row],[HOD AFTER PM HI]]-Table133[[#This Row],[Prior day close]])/Table133[[#This Row],[Prior day close]]),Table133[[#This Row],[Prior Close to PM Hi %]])</f>
        <v>#DIV/0!</v>
      </c>
      <c r="AB106" s="42" t="e">
        <f>(Table133[[#This Row],[Price at hi of squeeze]]-Table133[[#This Row],[MKT Open Price]])/Table133[[#This Row],[MKT Open Price]]</f>
        <v>#DIV/0!</v>
      </c>
      <c r="AC106" s="18" t="e">
        <f>(Table133[[#This Row],[Price at hi of squeeze]]-Table133[[#This Row],[PM Hi]])/Table133[[#This Row],[PM Hi]]</f>
        <v>#DIV/0!</v>
      </c>
      <c r="AD106" s="18"/>
      <c r="AE106" s="20" t="e">
        <f>Table133[[#This Row],[PM VOL]]/1000000/Table133[[#This Row],[FLOAT(M)]]</f>
        <v>#DIV/0!</v>
      </c>
      <c r="AF106" s="23" t="e">
        <f>(Table133[[#This Row],[Volume]]/1000000)/Table133[[#This Row],[FLOAT(M)]]</f>
        <v>#DIV/0!</v>
      </c>
      <c r="AH106" s="18" t="e">
        <f>(Table133[[#This Row],[PM Hi]]-Table133[[#This Row],[MKT Open Price]])/(Table133[[#This Row],[PM Hi]])</f>
        <v>#DIV/0!</v>
      </c>
      <c r="AI106" s="18" t="e">
        <f>IF(Table133[[#This Row],[PM LO]]&gt;Table133[[#This Row],[Prior day close]],(Table133[[#This Row],[PM Hi]]-Table133[[#This Row],[MKT Open Price]])/(Table133[[#This Row],[PM Hi]]-Table133[[#This Row],[Prior day close]]),(Table133[[#This Row],[PM Hi]]-Table133[[#This Row],[MKT Open Price]])/(Table133[[#This Row],[PM Hi]]-Table133[[#This Row],[PM LO]]))</f>
        <v>#DIV/0!</v>
      </c>
      <c r="AJ106" s="48" t="e">
        <f>IF(Table133[[#This Row],[Prior day close]]&lt;Table133[[#This Row],[PM LO]],(I106-K106)/(I106-Table133[[#This Row],[Prior day close]]),(I106-K106)/(I106-Table133[[#This Row],[PM LO]]))</f>
        <v>#DIV/0!</v>
      </c>
      <c r="AK106" s="48" t="e">
        <f>Table133[[#This Row],[Spike % on open before drop]]+AL106</f>
        <v>#DIV/0!</v>
      </c>
      <c r="AL106" s="16" t="e">
        <f>(I106-K106)/I106</f>
        <v>#DIV/0!</v>
      </c>
      <c r="AM106" s="18" t="e">
        <f>IF($J106&gt;=$F106,($J106-$K106)/($J106),(IF($H106&lt;=$K106,($F106-$H106)/($F106),(Table133[[#This Row],[PM Hi]]-Table133[[#This Row],[Lowest lo from open to squeeze]])/(Table133[[#This Row],[PM Hi]]))))</f>
        <v>#DIV/0!</v>
      </c>
      <c r="AN106" s="48" t="e">
        <f>IF(Table133[[#This Row],[Prior day close]]&lt;=Table133[[#This Row],[PM LO]],IF($J106&gt;=$F106,($J106-$K106)/($J106-Table133[[#This Row],[Prior day close]]),(IF($H106&lt;=$K106,($F106-$H106)/($F106-Table133[[#This Row],[Prior day close]]),(Table133[[#This Row],[PM Hi]]-Table133[[#This Row],[Lowest lo from open to squeeze]])/(Table133[[#This Row],[PM Hi]]-Table133[[#This Row],[Prior day close]])))),IF($J106&gt;=$F106,($J106-$K106)/($J106-Table133[[#This Row],[PM LO]]),(IF($H106&lt;=$K106,($F106-$H106)/($F106-Table133[[#This Row],[PM LO]]),(Table133[[#This Row],[PM Hi]]-Table133[[#This Row],[Lowest lo from open to squeeze]])/(Table133[[#This Row],[PM Hi]]-Table133[[#This Row],[PM LO]])))))</f>
        <v>#DIV/0!</v>
      </c>
      <c r="AO106" s="18" t="e">
        <f>IF(J106&gt;=F106,(J106-K106)/(J106-D106),(IF(H106&lt;=K106,(F106-H106)/(F106-D106),(Table133[[#This Row],[PM Hi]]-Table133[[#This Row],[Lowest lo from open to squeeze]])/(Table133[[#This Row],[PM Hi]]-Table133[[#This Row],[Prior day close]]))))</f>
        <v>#DIV/0!</v>
      </c>
      <c r="AP106" s="17">
        <f>390+Table133[[#This Row],[Time until ideal entry point (mins) from open]]</f>
        <v>390</v>
      </c>
      <c r="AQ106" s="17">
        <f>Table133[[#This Row],[Time until ideal entry + 390 (6:30)]]+Table133[[#This Row],[Duration of frontside (mins)]]</f>
        <v>390</v>
      </c>
    </row>
    <row r="107" spans="1:43" x14ac:dyDescent="0.25">
      <c r="A107" s="24" t="s">
        <v>222</v>
      </c>
      <c r="B107" s="47">
        <v>43936</v>
      </c>
      <c r="C107" s="47" t="s">
        <v>178</v>
      </c>
      <c r="D107" s="12"/>
      <c r="E107" s="13"/>
      <c r="F107" s="12"/>
      <c r="G107" s="12"/>
      <c r="H107" s="12"/>
      <c r="I107" s="12"/>
      <c r="J107" s="12"/>
      <c r="K107" s="12"/>
      <c r="N107" s="13"/>
      <c r="P107" s="37"/>
      <c r="Q107" s="46"/>
      <c r="R107" s="37"/>
      <c r="S107" s="37"/>
      <c r="T107" s="37"/>
      <c r="U107" s="38"/>
      <c r="V107" s="46"/>
      <c r="W107" s="37"/>
      <c r="X107" s="46"/>
      <c r="Y107" s="41">
        <f>Table133[[#This Row],[Time until ideal entry + 390 (6:30)]]/(1440)</f>
        <v>0.27083333333333331</v>
      </c>
      <c r="Z107" s="18" t="e">
        <f>(F107-D107)/D107</f>
        <v>#DIV/0!</v>
      </c>
      <c r="AA107" s="18" t="e">
        <f>IF(Table133[[#This Row],[HOD AFTER PM HI]]&gt;=Table133[[#This Row],[PM Hi]],((Table133[[#This Row],[HOD AFTER PM HI]]-Table133[[#This Row],[Prior day close]])/Table133[[#This Row],[Prior day close]]),Table133[[#This Row],[Prior Close to PM Hi %]])</f>
        <v>#DIV/0!</v>
      </c>
      <c r="AB107" s="42" t="e">
        <f>(Table133[[#This Row],[Price at hi of squeeze]]-Table133[[#This Row],[MKT Open Price]])/Table133[[#This Row],[MKT Open Price]]</f>
        <v>#DIV/0!</v>
      </c>
      <c r="AC107" s="18" t="e">
        <f>(Table133[[#This Row],[Price at hi of squeeze]]-Table133[[#This Row],[PM Hi]])/Table133[[#This Row],[PM Hi]]</f>
        <v>#DIV/0!</v>
      </c>
      <c r="AD107" s="18"/>
      <c r="AE107" s="20" t="e">
        <f>Table133[[#This Row],[PM VOL]]/1000000/Table133[[#This Row],[FLOAT(M)]]</f>
        <v>#DIV/0!</v>
      </c>
      <c r="AF107" s="23" t="e">
        <f>(Table133[[#This Row],[Volume]]/1000000)/Table133[[#This Row],[FLOAT(M)]]</f>
        <v>#DIV/0!</v>
      </c>
      <c r="AH107" s="18" t="e">
        <f>(Table133[[#This Row],[PM Hi]]-Table133[[#This Row],[MKT Open Price]])/(Table133[[#This Row],[PM Hi]])</f>
        <v>#DIV/0!</v>
      </c>
      <c r="AI107" s="18" t="e">
        <f>IF(Table133[[#This Row],[PM LO]]&gt;Table133[[#This Row],[Prior day close]],(Table133[[#This Row],[PM Hi]]-Table133[[#This Row],[MKT Open Price]])/(Table133[[#This Row],[PM Hi]]-Table133[[#This Row],[Prior day close]]),(Table133[[#This Row],[PM Hi]]-Table133[[#This Row],[MKT Open Price]])/(Table133[[#This Row],[PM Hi]]-Table133[[#This Row],[PM LO]]))</f>
        <v>#DIV/0!</v>
      </c>
      <c r="AJ107" s="48" t="e">
        <f>IF(Table133[[#This Row],[Prior day close]]&lt;Table133[[#This Row],[PM LO]],(I107-K107)/(I107-Table133[[#This Row],[Prior day close]]),(I107-K107)/(I107-Table133[[#This Row],[PM LO]]))</f>
        <v>#DIV/0!</v>
      </c>
      <c r="AK107" s="48" t="e">
        <f>Table133[[#This Row],[Spike % on open before drop]]+AL107</f>
        <v>#DIV/0!</v>
      </c>
      <c r="AL107" s="16" t="e">
        <f>(I107-K107)/I107</f>
        <v>#DIV/0!</v>
      </c>
      <c r="AM107" s="18" t="e">
        <f>IF($J107&gt;=$F107,($J107-$K107)/($J107),(IF($H107&lt;=$K107,($F107-$H107)/($F107),(Table133[[#This Row],[PM Hi]]-Table133[[#This Row],[Lowest lo from open to squeeze]])/(Table133[[#This Row],[PM Hi]]))))</f>
        <v>#DIV/0!</v>
      </c>
      <c r="AN107" s="48" t="e">
        <f>IF(Table133[[#This Row],[Prior day close]]&lt;=Table133[[#This Row],[PM LO]],IF($J107&gt;=$F107,($J107-$K107)/($J107-Table133[[#This Row],[Prior day close]]),(IF($H107&lt;=$K107,($F107-$H107)/($F107-Table133[[#This Row],[Prior day close]]),(Table133[[#This Row],[PM Hi]]-Table133[[#This Row],[Lowest lo from open to squeeze]])/(Table133[[#This Row],[PM Hi]]-Table133[[#This Row],[Prior day close]])))),IF($J107&gt;=$F107,($J107-$K107)/($J107-Table133[[#This Row],[PM LO]]),(IF($H107&lt;=$K107,($F107-$H107)/($F107-Table133[[#This Row],[PM LO]]),(Table133[[#This Row],[PM Hi]]-Table133[[#This Row],[Lowest lo from open to squeeze]])/(Table133[[#This Row],[PM Hi]]-Table133[[#This Row],[PM LO]])))))</f>
        <v>#DIV/0!</v>
      </c>
      <c r="AO107" s="18" t="e">
        <f>IF(J107&gt;=F107,(J107-K107)/(J107-D107),(IF(H107&lt;=K107,(F107-H107)/(F107-D107),(Table133[[#This Row],[PM Hi]]-Table133[[#This Row],[Lowest lo from open to squeeze]])/(Table133[[#This Row],[PM Hi]]-Table133[[#This Row],[Prior day close]]))))</f>
        <v>#DIV/0!</v>
      </c>
      <c r="AP107" s="17">
        <f>390+Table133[[#This Row],[Time until ideal entry point (mins) from open]]</f>
        <v>390</v>
      </c>
      <c r="AQ107" s="17">
        <f>Table133[[#This Row],[Time until ideal entry + 390 (6:30)]]+Table133[[#This Row],[Duration of frontside (mins)]]</f>
        <v>390</v>
      </c>
    </row>
    <row r="108" spans="1:43" x14ac:dyDescent="0.25">
      <c r="A108" s="24" t="s">
        <v>213</v>
      </c>
      <c r="B108" s="47">
        <v>43888</v>
      </c>
      <c r="C108" s="47" t="s">
        <v>178</v>
      </c>
      <c r="D108" s="12"/>
      <c r="E108" s="13"/>
      <c r="F108" s="12"/>
      <c r="G108" s="12"/>
      <c r="H108" s="12"/>
      <c r="I108" s="12"/>
      <c r="J108" s="12"/>
      <c r="K108" s="12"/>
      <c r="N108" s="13"/>
      <c r="P108" s="37"/>
      <c r="Q108" s="46"/>
      <c r="R108" s="37"/>
      <c r="S108" s="37"/>
      <c r="T108" s="37"/>
      <c r="U108" s="38"/>
      <c r="V108" s="46"/>
      <c r="W108" s="37"/>
      <c r="X108" s="46"/>
      <c r="Y108" s="41">
        <f>Table133[[#This Row],[Time until ideal entry + 390 (6:30)]]/(1440)</f>
        <v>0.27083333333333331</v>
      </c>
      <c r="Z108" s="18" t="e">
        <f>(F108-D108)/D108</f>
        <v>#DIV/0!</v>
      </c>
      <c r="AA108" s="18" t="e">
        <f>IF(Table133[[#This Row],[HOD AFTER PM HI]]&gt;=Table133[[#This Row],[PM Hi]],((Table133[[#This Row],[HOD AFTER PM HI]]-Table133[[#This Row],[Prior day close]])/Table133[[#This Row],[Prior day close]]),Table133[[#This Row],[Prior Close to PM Hi %]])</f>
        <v>#DIV/0!</v>
      </c>
      <c r="AB108" s="42" t="e">
        <f>(Table133[[#This Row],[Price at hi of squeeze]]-Table133[[#This Row],[MKT Open Price]])/Table133[[#This Row],[MKT Open Price]]</f>
        <v>#DIV/0!</v>
      </c>
      <c r="AC108" s="18" t="e">
        <f>(Table133[[#This Row],[Price at hi of squeeze]]-Table133[[#This Row],[PM Hi]])/Table133[[#This Row],[PM Hi]]</f>
        <v>#DIV/0!</v>
      </c>
      <c r="AD108" s="18"/>
      <c r="AE108" s="20" t="e">
        <f>Table133[[#This Row],[PM VOL]]/1000000/Table133[[#This Row],[FLOAT(M)]]</f>
        <v>#DIV/0!</v>
      </c>
      <c r="AF108" s="23" t="e">
        <f>(Table133[[#This Row],[Volume]]/1000000)/Table133[[#This Row],[FLOAT(M)]]</f>
        <v>#DIV/0!</v>
      </c>
      <c r="AH108" s="18" t="e">
        <f>(Table133[[#This Row],[PM Hi]]-Table133[[#This Row],[MKT Open Price]])/(Table133[[#This Row],[PM Hi]])</f>
        <v>#DIV/0!</v>
      </c>
      <c r="AI108" s="18" t="e">
        <f>IF(Table133[[#This Row],[PM LO]]&gt;Table133[[#This Row],[Prior day close]],(Table133[[#This Row],[PM Hi]]-Table133[[#This Row],[MKT Open Price]])/(Table133[[#This Row],[PM Hi]]-Table133[[#This Row],[Prior day close]]),(Table133[[#This Row],[PM Hi]]-Table133[[#This Row],[MKT Open Price]])/(Table133[[#This Row],[PM Hi]]-Table133[[#This Row],[PM LO]]))</f>
        <v>#DIV/0!</v>
      </c>
      <c r="AJ108" s="48" t="e">
        <f>IF(Table133[[#This Row],[Prior day close]]&lt;Table133[[#This Row],[PM LO]],(I108-K108)/(I108-Table133[[#This Row],[Prior day close]]),(I108-K108)/(I108-Table133[[#This Row],[PM LO]]))</f>
        <v>#DIV/0!</v>
      </c>
      <c r="AK108" s="48" t="e">
        <f>Table133[[#This Row],[Spike % on open before drop]]+AL108</f>
        <v>#DIV/0!</v>
      </c>
      <c r="AL108" s="16" t="e">
        <f>(I108-K108)/I108</f>
        <v>#DIV/0!</v>
      </c>
      <c r="AM108" s="18" t="e">
        <f>IF($J108&gt;=$F108,($J108-$K108)/($J108),(IF($H108&lt;=$K108,($F108-$H108)/($F108),(Table133[[#This Row],[PM Hi]]-Table133[[#This Row],[Lowest lo from open to squeeze]])/(Table133[[#This Row],[PM Hi]]))))</f>
        <v>#DIV/0!</v>
      </c>
      <c r="AN108" s="48" t="e">
        <f>IF(Table133[[#This Row],[Prior day close]]&lt;=Table133[[#This Row],[PM LO]],IF($J108&gt;=$F108,($J108-$K108)/($J108-Table133[[#This Row],[Prior day close]]),(IF($H108&lt;=$K108,($F108-$H108)/($F108-Table133[[#This Row],[Prior day close]]),(Table133[[#This Row],[PM Hi]]-Table133[[#This Row],[Lowest lo from open to squeeze]])/(Table133[[#This Row],[PM Hi]]-Table133[[#This Row],[Prior day close]])))),IF($J108&gt;=$F108,($J108-$K108)/($J108-Table133[[#This Row],[PM LO]]),(IF($H108&lt;=$K108,($F108-$H108)/($F108-Table133[[#This Row],[PM LO]]),(Table133[[#This Row],[PM Hi]]-Table133[[#This Row],[Lowest lo from open to squeeze]])/(Table133[[#This Row],[PM Hi]]-Table133[[#This Row],[PM LO]])))))</f>
        <v>#DIV/0!</v>
      </c>
      <c r="AO108" s="18" t="e">
        <f>IF(J108&gt;=F108,(J108-K108)/(J108-D108),(IF(H108&lt;=K108,(F108-H108)/(F108-D108),(Table133[[#This Row],[PM Hi]]-Table133[[#This Row],[Lowest lo from open to squeeze]])/(Table133[[#This Row],[PM Hi]]-Table133[[#This Row],[Prior day close]]))))</f>
        <v>#DIV/0!</v>
      </c>
      <c r="AP108" s="17">
        <f>390+Table133[[#This Row],[Time until ideal entry point (mins) from open]]</f>
        <v>390</v>
      </c>
      <c r="AQ108" s="17">
        <f>Table133[[#This Row],[Time until ideal entry + 390 (6:30)]]+Table133[[#This Row],[Duration of frontside (mins)]]</f>
        <v>390</v>
      </c>
    </row>
    <row r="109" spans="1:43" x14ac:dyDescent="0.25">
      <c r="A109" s="24" t="s">
        <v>220</v>
      </c>
      <c r="B109" s="47">
        <v>43910</v>
      </c>
      <c r="C109" s="47" t="s">
        <v>178</v>
      </c>
      <c r="D109" s="12"/>
      <c r="E109" s="13"/>
      <c r="F109" s="12"/>
      <c r="G109" s="12"/>
      <c r="H109" s="12"/>
      <c r="I109" s="12"/>
      <c r="J109" s="12"/>
      <c r="K109" s="12"/>
      <c r="N109" s="13"/>
      <c r="P109" s="37"/>
      <c r="Q109" s="46"/>
      <c r="R109" s="37"/>
      <c r="S109" s="37"/>
      <c r="T109" s="37"/>
      <c r="U109" s="38"/>
      <c r="V109" s="46"/>
      <c r="W109" s="37"/>
      <c r="X109" s="46"/>
      <c r="Y109" s="41">
        <f>Table133[[#This Row],[Time until ideal entry + 390 (6:30)]]/(1440)</f>
        <v>0.27083333333333331</v>
      </c>
      <c r="Z109" s="18" t="e">
        <f>(F109-D109)/D109</f>
        <v>#DIV/0!</v>
      </c>
      <c r="AA109" s="18" t="e">
        <f>IF(Table133[[#This Row],[HOD AFTER PM HI]]&gt;=Table133[[#This Row],[PM Hi]],((Table133[[#This Row],[HOD AFTER PM HI]]-Table133[[#This Row],[Prior day close]])/Table133[[#This Row],[Prior day close]]),Table133[[#This Row],[Prior Close to PM Hi %]])</f>
        <v>#DIV/0!</v>
      </c>
      <c r="AB109" s="42" t="e">
        <f>(Table133[[#This Row],[Price at hi of squeeze]]-Table133[[#This Row],[MKT Open Price]])/Table133[[#This Row],[MKT Open Price]]</f>
        <v>#DIV/0!</v>
      </c>
      <c r="AC109" s="18" t="e">
        <f>(Table133[[#This Row],[Price at hi of squeeze]]-Table133[[#This Row],[PM Hi]])/Table133[[#This Row],[PM Hi]]</f>
        <v>#DIV/0!</v>
      </c>
      <c r="AD109" s="18"/>
      <c r="AE109" s="20" t="e">
        <f>Table133[[#This Row],[PM VOL]]/1000000/Table133[[#This Row],[FLOAT(M)]]</f>
        <v>#DIV/0!</v>
      </c>
      <c r="AF109" s="23" t="e">
        <f>(Table133[[#This Row],[Volume]]/1000000)/Table133[[#This Row],[FLOAT(M)]]</f>
        <v>#DIV/0!</v>
      </c>
      <c r="AH109" s="18" t="e">
        <f>(Table133[[#This Row],[PM Hi]]-Table133[[#This Row],[MKT Open Price]])/(Table133[[#This Row],[PM Hi]])</f>
        <v>#DIV/0!</v>
      </c>
      <c r="AI109" s="18" t="e">
        <f>IF(Table133[[#This Row],[PM LO]]&gt;Table133[[#This Row],[Prior day close]],(Table133[[#This Row],[PM Hi]]-Table133[[#This Row],[MKT Open Price]])/(Table133[[#This Row],[PM Hi]]-Table133[[#This Row],[Prior day close]]),(Table133[[#This Row],[PM Hi]]-Table133[[#This Row],[MKT Open Price]])/(Table133[[#This Row],[PM Hi]]-Table133[[#This Row],[PM LO]]))</f>
        <v>#DIV/0!</v>
      </c>
      <c r="AJ109" s="48" t="e">
        <f>IF(Table133[[#This Row],[Prior day close]]&lt;Table133[[#This Row],[PM LO]],(I109-K109)/(I109-Table133[[#This Row],[Prior day close]]),(I109-K109)/(I109-Table133[[#This Row],[PM LO]]))</f>
        <v>#DIV/0!</v>
      </c>
      <c r="AK109" s="48" t="e">
        <f>Table133[[#This Row],[Spike % on open before drop]]+AL109</f>
        <v>#DIV/0!</v>
      </c>
      <c r="AL109" s="16" t="e">
        <f>(I109-K109)/I109</f>
        <v>#DIV/0!</v>
      </c>
      <c r="AM109" s="18" t="e">
        <f>IF($J109&gt;=$F109,($J109-$K109)/($J109),(IF($H109&lt;=$K109,($F109-$H109)/($F109),(Table133[[#This Row],[PM Hi]]-Table133[[#This Row],[Lowest lo from open to squeeze]])/(Table133[[#This Row],[PM Hi]]))))</f>
        <v>#DIV/0!</v>
      </c>
      <c r="AN109" s="48" t="e">
        <f>IF(Table133[[#This Row],[Prior day close]]&lt;=Table133[[#This Row],[PM LO]],IF($J109&gt;=$F109,($J109-$K109)/($J109-Table133[[#This Row],[Prior day close]]),(IF($H109&lt;=$K109,($F109-$H109)/($F109-Table133[[#This Row],[Prior day close]]),(Table133[[#This Row],[PM Hi]]-Table133[[#This Row],[Lowest lo from open to squeeze]])/(Table133[[#This Row],[PM Hi]]-Table133[[#This Row],[Prior day close]])))),IF($J109&gt;=$F109,($J109-$K109)/($J109-Table133[[#This Row],[PM LO]]),(IF($H109&lt;=$K109,($F109-$H109)/($F109-Table133[[#This Row],[PM LO]]),(Table133[[#This Row],[PM Hi]]-Table133[[#This Row],[Lowest lo from open to squeeze]])/(Table133[[#This Row],[PM Hi]]-Table133[[#This Row],[PM LO]])))))</f>
        <v>#DIV/0!</v>
      </c>
      <c r="AO109" s="18" t="e">
        <f>IF(J109&gt;=F109,(J109-K109)/(J109-D109),(IF(H109&lt;=K109,(F109-H109)/(F109-D109),(Table133[[#This Row],[PM Hi]]-Table133[[#This Row],[Lowest lo from open to squeeze]])/(Table133[[#This Row],[PM Hi]]-Table133[[#This Row],[Prior day close]]))))</f>
        <v>#DIV/0!</v>
      </c>
      <c r="AP109" s="17">
        <f>390+Table133[[#This Row],[Time until ideal entry point (mins) from open]]</f>
        <v>390</v>
      </c>
      <c r="AQ109" s="17">
        <f>Table133[[#This Row],[Time until ideal entry + 390 (6:30)]]+Table133[[#This Row],[Duration of frontside (mins)]]</f>
        <v>390</v>
      </c>
    </row>
    <row r="110" spans="1:43" x14ac:dyDescent="0.25">
      <c r="A110" s="25" t="s">
        <v>236</v>
      </c>
      <c r="B110" s="11">
        <v>43983</v>
      </c>
      <c r="C110" s="47" t="s">
        <v>178</v>
      </c>
      <c r="D110" s="12"/>
      <c r="E110" s="13"/>
      <c r="F110" s="12"/>
      <c r="G110" s="12"/>
      <c r="H110" s="12"/>
      <c r="I110" s="12"/>
      <c r="J110" s="12"/>
      <c r="K110" s="12"/>
      <c r="N110" s="13"/>
      <c r="P110" s="37"/>
      <c r="Q110" s="46"/>
      <c r="R110" s="37"/>
      <c r="S110" s="37"/>
      <c r="T110" s="37"/>
      <c r="U110" s="38"/>
      <c r="V110" s="46"/>
      <c r="W110" s="37"/>
      <c r="X110" s="46"/>
      <c r="Y110" s="41">
        <f>Table133[[#This Row],[Time until ideal entry + 390 (6:30)]]/(1440)</f>
        <v>0.27083333333333331</v>
      </c>
      <c r="Z110" s="18" t="e">
        <f>(F110-D110)/D110</f>
        <v>#DIV/0!</v>
      </c>
      <c r="AA110" s="18" t="e">
        <f>IF(Table133[[#This Row],[HOD AFTER PM HI]]&gt;=Table133[[#This Row],[PM Hi]],((Table133[[#This Row],[HOD AFTER PM HI]]-Table133[[#This Row],[Prior day close]])/Table133[[#This Row],[Prior day close]]),Table133[[#This Row],[Prior Close to PM Hi %]])</f>
        <v>#DIV/0!</v>
      </c>
      <c r="AB110" s="42" t="e">
        <f>(Table133[[#This Row],[Price at hi of squeeze]]-Table133[[#This Row],[MKT Open Price]])/Table133[[#This Row],[MKT Open Price]]</f>
        <v>#DIV/0!</v>
      </c>
      <c r="AC110" s="18" t="e">
        <f>(Table133[[#This Row],[Price at hi of squeeze]]-Table133[[#This Row],[PM Hi]])/Table133[[#This Row],[PM Hi]]</f>
        <v>#DIV/0!</v>
      </c>
      <c r="AD110" s="18"/>
      <c r="AE110" s="20" t="e">
        <f>Table133[[#This Row],[PM VOL]]/1000000/Table133[[#This Row],[FLOAT(M)]]</f>
        <v>#DIV/0!</v>
      </c>
      <c r="AF110" s="23" t="e">
        <f>(Table133[[#This Row],[Volume]]/1000000)/Table133[[#This Row],[FLOAT(M)]]</f>
        <v>#DIV/0!</v>
      </c>
      <c r="AH110" s="18" t="e">
        <f>(Table133[[#This Row],[PM Hi]]-Table133[[#This Row],[MKT Open Price]])/(Table133[[#This Row],[PM Hi]])</f>
        <v>#DIV/0!</v>
      </c>
      <c r="AI110" s="18" t="e">
        <f>IF(Table133[[#This Row],[PM LO]]&gt;Table133[[#This Row],[Prior day close]],(Table133[[#This Row],[PM Hi]]-Table133[[#This Row],[MKT Open Price]])/(Table133[[#This Row],[PM Hi]]-Table133[[#This Row],[Prior day close]]),(Table133[[#This Row],[PM Hi]]-Table133[[#This Row],[MKT Open Price]])/(Table133[[#This Row],[PM Hi]]-Table133[[#This Row],[PM LO]]))</f>
        <v>#DIV/0!</v>
      </c>
      <c r="AJ110" s="48" t="e">
        <f>IF(Table133[[#This Row],[Prior day close]]&lt;Table133[[#This Row],[PM LO]],(I110-K110)/(I110-Table133[[#This Row],[Prior day close]]),(I110-K110)/(I110-Table133[[#This Row],[PM LO]]))</f>
        <v>#DIV/0!</v>
      </c>
      <c r="AK110" s="48" t="e">
        <f>Table133[[#This Row],[Spike % on open before drop]]+AL110</f>
        <v>#DIV/0!</v>
      </c>
      <c r="AL110" s="16" t="e">
        <f>(I110-K110)/I110</f>
        <v>#DIV/0!</v>
      </c>
      <c r="AM110" s="18" t="e">
        <f>IF($J110&gt;=$F110,($J110-$K110)/($J110),(IF($H110&lt;=$K110,($F110-$H110)/($F110),(Table133[[#This Row],[PM Hi]]-Table133[[#This Row],[Lowest lo from open to squeeze]])/(Table133[[#This Row],[PM Hi]]))))</f>
        <v>#DIV/0!</v>
      </c>
      <c r="AN110" s="48" t="e">
        <f>IF(Table133[[#This Row],[Prior day close]]&lt;=Table133[[#This Row],[PM LO]],IF($J110&gt;=$F110,($J110-$K110)/($J110-Table133[[#This Row],[Prior day close]]),(IF($H110&lt;=$K110,($F110-$H110)/($F110-Table133[[#This Row],[Prior day close]]),(Table133[[#This Row],[PM Hi]]-Table133[[#This Row],[Lowest lo from open to squeeze]])/(Table133[[#This Row],[PM Hi]]-Table133[[#This Row],[Prior day close]])))),IF($J110&gt;=$F110,($J110-$K110)/($J110-Table133[[#This Row],[PM LO]]),(IF($H110&lt;=$K110,($F110-$H110)/($F110-Table133[[#This Row],[PM LO]]),(Table133[[#This Row],[PM Hi]]-Table133[[#This Row],[Lowest lo from open to squeeze]])/(Table133[[#This Row],[PM Hi]]-Table133[[#This Row],[PM LO]])))))</f>
        <v>#DIV/0!</v>
      </c>
      <c r="AO110" s="18" t="e">
        <f>IF(J110&gt;=F110,(J110-K110)/(J110-D110),(IF(H110&lt;=K110,(F110-H110)/(F110-D110),(Table133[[#This Row],[PM Hi]]-Table133[[#This Row],[Lowest lo from open to squeeze]])/(Table133[[#This Row],[PM Hi]]-Table133[[#This Row],[Prior day close]]))))</f>
        <v>#DIV/0!</v>
      </c>
      <c r="AP110" s="17">
        <f>390+Table133[[#This Row],[Time until ideal entry point (mins) from open]]</f>
        <v>390</v>
      </c>
      <c r="AQ110" s="17">
        <f>Table133[[#This Row],[Time until ideal entry + 390 (6:30)]]+Table133[[#This Row],[Duration of frontside (mins)]]</f>
        <v>390</v>
      </c>
    </row>
    <row r="111" spans="1:43" x14ac:dyDescent="0.25">
      <c r="A111" s="24" t="s">
        <v>41</v>
      </c>
      <c r="B111" s="47">
        <v>44217</v>
      </c>
      <c r="C111" s="47" t="s">
        <v>178</v>
      </c>
      <c r="D111" s="12"/>
      <c r="E111" s="13"/>
      <c r="F111" s="12"/>
      <c r="G111" s="12"/>
      <c r="H111" s="12"/>
      <c r="I111" s="12"/>
      <c r="J111" s="12"/>
      <c r="K111" s="12"/>
      <c r="N111" s="13"/>
      <c r="P111" s="37"/>
      <c r="Q111" s="46"/>
      <c r="R111" s="37"/>
      <c r="S111" s="37"/>
      <c r="T111" s="37"/>
      <c r="U111" s="38"/>
      <c r="V111" s="46"/>
      <c r="W111" s="37"/>
      <c r="X111" s="46"/>
      <c r="Y111" s="41">
        <f>Table133[[#This Row],[Time until ideal entry + 390 (6:30)]]/(1440)</f>
        <v>0.27083333333333331</v>
      </c>
      <c r="Z111" s="18" t="e">
        <f>(F111-D111)/D111</f>
        <v>#DIV/0!</v>
      </c>
      <c r="AA111" s="18" t="e">
        <f>IF(Table133[[#This Row],[HOD AFTER PM HI]]&gt;=Table133[[#This Row],[PM Hi]],((Table133[[#This Row],[HOD AFTER PM HI]]-Table133[[#This Row],[Prior day close]])/Table133[[#This Row],[Prior day close]]),Table133[[#This Row],[Prior Close to PM Hi %]])</f>
        <v>#DIV/0!</v>
      </c>
      <c r="AB111" s="42" t="e">
        <f>(Table133[[#This Row],[Price at hi of squeeze]]-Table133[[#This Row],[MKT Open Price]])/Table133[[#This Row],[MKT Open Price]]</f>
        <v>#DIV/0!</v>
      </c>
      <c r="AC111" s="18" t="e">
        <f>(Table133[[#This Row],[Price at hi of squeeze]]-Table133[[#This Row],[PM Hi]])/Table133[[#This Row],[PM Hi]]</f>
        <v>#DIV/0!</v>
      </c>
      <c r="AD111" s="18"/>
      <c r="AE111" s="20" t="e">
        <f>Table133[[#This Row],[PM VOL]]/1000000/Table133[[#This Row],[FLOAT(M)]]</f>
        <v>#DIV/0!</v>
      </c>
      <c r="AF111" s="23" t="e">
        <f>(Table133[[#This Row],[Volume]]/1000000)/Table133[[#This Row],[FLOAT(M)]]</f>
        <v>#DIV/0!</v>
      </c>
      <c r="AH111" s="18" t="e">
        <f>(Table133[[#This Row],[PM Hi]]-Table133[[#This Row],[MKT Open Price]])/(Table133[[#This Row],[PM Hi]])</f>
        <v>#DIV/0!</v>
      </c>
      <c r="AI111" s="18" t="e">
        <f>IF(Table133[[#This Row],[PM LO]]&gt;Table133[[#This Row],[Prior day close]],(Table133[[#This Row],[PM Hi]]-Table133[[#This Row],[MKT Open Price]])/(Table133[[#This Row],[PM Hi]]-Table133[[#This Row],[Prior day close]]),(Table133[[#This Row],[PM Hi]]-Table133[[#This Row],[MKT Open Price]])/(Table133[[#This Row],[PM Hi]]-Table133[[#This Row],[PM LO]]))</f>
        <v>#DIV/0!</v>
      </c>
      <c r="AJ111" s="48" t="e">
        <f>IF(Table133[[#This Row],[Prior day close]]&lt;Table133[[#This Row],[PM LO]],(I111-K111)/(I111-Table133[[#This Row],[Prior day close]]),(I111-K111)/(I111-Table133[[#This Row],[PM LO]]))</f>
        <v>#DIV/0!</v>
      </c>
      <c r="AK111" s="48" t="e">
        <f>Table133[[#This Row],[Spike % on open before drop]]+AL111</f>
        <v>#DIV/0!</v>
      </c>
      <c r="AL111" s="16" t="e">
        <f>(I111-K111)/I111</f>
        <v>#DIV/0!</v>
      </c>
      <c r="AM111" s="18" t="e">
        <f>IF($J111&gt;=$F111,($J111-$K111)/($J111),(IF($H111&lt;=$K111,($F111-$H111)/($F111),(Table133[[#This Row],[PM Hi]]-Table133[[#This Row],[Lowest lo from open to squeeze]])/(Table133[[#This Row],[PM Hi]]))))</f>
        <v>#DIV/0!</v>
      </c>
      <c r="AN111" s="48" t="e">
        <f>IF(Table133[[#This Row],[Prior day close]]&lt;=Table133[[#This Row],[PM LO]],IF($J111&gt;=$F111,($J111-$K111)/($J111-Table133[[#This Row],[Prior day close]]),(IF($H111&lt;=$K111,($F111-$H111)/($F111-Table133[[#This Row],[Prior day close]]),(Table133[[#This Row],[PM Hi]]-Table133[[#This Row],[Lowest lo from open to squeeze]])/(Table133[[#This Row],[PM Hi]]-Table133[[#This Row],[Prior day close]])))),IF($J111&gt;=$F111,($J111-$K111)/($J111-Table133[[#This Row],[PM LO]]),(IF($H111&lt;=$K111,($F111-$H111)/($F111-Table133[[#This Row],[PM LO]]),(Table133[[#This Row],[PM Hi]]-Table133[[#This Row],[Lowest lo from open to squeeze]])/(Table133[[#This Row],[PM Hi]]-Table133[[#This Row],[PM LO]])))))</f>
        <v>#DIV/0!</v>
      </c>
      <c r="AO111" s="18" t="e">
        <f>IF(J111&gt;=F111,(J111-K111)/(J111-D111),(IF(H111&lt;=K111,(F111-H111)/(F111-D111),(Table133[[#This Row],[PM Hi]]-Table133[[#This Row],[Lowest lo from open to squeeze]])/(Table133[[#This Row],[PM Hi]]-Table133[[#This Row],[Prior day close]]))))</f>
        <v>#DIV/0!</v>
      </c>
      <c r="AP111" s="17">
        <f>390+Table133[[#This Row],[Time until ideal entry point (mins) from open]]</f>
        <v>390</v>
      </c>
      <c r="AQ111" s="17">
        <f>Table133[[#This Row],[Time until ideal entry + 390 (6:30)]]+Table133[[#This Row],[Duration of frontside (mins)]]</f>
        <v>390</v>
      </c>
    </row>
    <row r="112" spans="1:43" x14ac:dyDescent="0.25">
      <c r="A112" s="24" t="s">
        <v>179</v>
      </c>
      <c r="B112" s="47">
        <v>43978</v>
      </c>
      <c r="C112" s="47" t="s">
        <v>178</v>
      </c>
      <c r="D112" s="12"/>
      <c r="E112" s="13"/>
      <c r="F112" s="12"/>
      <c r="G112" s="12"/>
      <c r="H112" s="12"/>
      <c r="I112" s="12"/>
      <c r="J112" s="12"/>
      <c r="K112" s="12"/>
      <c r="N112" s="13"/>
      <c r="P112" s="37"/>
      <c r="Q112" s="46"/>
      <c r="R112" s="37"/>
      <c r="S112" s="37"/>
      <c r="T112" s="37"/>
      <c r="U112" s="38"/>
      <c r="V112" s="46"/>
      <c r="W112" s="37"/>
      <c r="X112" s="46"/>
      <c r="Y112" s="41">
        <f>Table133[[#This Row],[Time until ideal entry + 390 (6:30)]]/(1440)</f>
        <v>0.27083333333333331</v>
      </c>
      <c r="Z112" s="18" t="e">
        <f>(F112-D112)/D112</f>
        <v>#DIV/0!</v>
      </c>
      <c r="AA112" s="18" t="e">
        <f>IF(Table133[[#This Row],[HOD AFTER PM HI]]&gt;=Table133[[#This Row],[PM Hi]],((Table133[[#This Row],[HOD AFTER PM HI]]-Table133[[#This Row],[Prior day close]])/Table133[[#This Row],[Prior day close]]),Table133[[#This Row],[Prior Close to PM Hi %]])</f>
        <v>#DIV/0!</v>
      </c>
      <c r="AB112" s="42" t="e">
        <f>(Table133[[#This Row],[Price at hi of squeeze]]-Table133[[#This Row],[MKT Open Price]])/Table133[[#This Row],[MKT Open Price]]</f>
        <v>#DIV/0!</v>
      </c>
      <c r="AC112" s="18" t="e">
        <f>(Table133[[#This Row],[Price at hi of squeeze]]-Table133[[#This Row],[PM Hi]])/Table133[[#This Row],[PM Hi]]</f>
        <v>#DIV/0!</v>
      </c>
      <c r="AD112" s="18"/>
      <c r="AE112" s="20" t="e">
        <f>Table133[[#This Row],[PM VOL]]/1000000/Table133[[#This Row],[FLOAT(M)]]</f>
        <v>#DIV/0!</v>
      </c>
      <c r="AF112" s="23" t="e">
        <f>(Table133[[#This Row],[Volume]]/1000000)/Table133[[#This Row],[FLOAT(M)]]</f>
        <v>#DIV/0!</v>
      </c>
      <c r="AH112" s="18" t="e">
        <f>(Table133[[#This Row],[PM Hi]]-Table133[[#This Row],[MKT Open Price]])/(Table133[[#This Row],[PM Hi]])</f>
        <v>#DIV/0!</v>
      </c>
      <c r="AI112" s="18" t="e">
        <f>IF(Table133[[#This Row],[PM LO]]&gt;Table133[[#This Row],[Prior day close]],(Table133[[#This Row],[PM Hi]]-Table133[[#This Row],[MKT Open Price]])/(Table133[[#This Row],[PM Hi]]-Table133[[#This Row],[Prior day close]]),(Table133[[#This Row],[PM Hi]]-Table133[[#This Row],[MKT Open Price]])/(Table133[[#This Row],[PM Hi]]-Table133[[#This Row],[PM LO]]))</f>
        <v>#DIV/0!</v>
      </c>
      <c r="AJ112" s="48" t="e">
        <f>IF(Table133[[#This Row],[Prior day close]]&lt;Table133[[#This Row],[PM LO]],(I112-K112)/(I112-Table133[[#This Row],[Prior day close]]),(I112-K112)/(I112-Table133[[#This Row],[PM LO]]))</f>
        <v>#DIV/0!</v>
      </c>
      <c r="AK112" s="48" t="e">
        <f>Table133[[#This Row],[Spike % on open before drop]]+AL112</f>
        <v>#DIV/0!</v>
      </c>
      <c r="AL112" s="16" t="e">
        <f>(I112-K112)/I112</f>
        <v>#DIV/0!</v>
      </c>
      <c r="AM112" s="18" t="e">
        <f>IF($J112&gt;=$F112,($J112-$K112)/($J112),(IF($H112&lt;=$K112,($F112-$H112)/($F112),(Table133[[#This Row],[PM Hi]]-Table133[[#This Row],[Lowest lo from open to squeeze]])/(Table133[[#This Row],[PM Hi]]))))</f>
        <v>#DIV/0!</v>
      </c>
      <c r="AN112" s="48" t="e">
        <f>IF(Table133[[#This Row],[Prior day close]]&lt;=Table133[[#This Row],[PM LO]],IF($J112&gt;=$F112,($J112-$K112)/($J112-Table133[[#This Row],[Prior day close]]),(IF($H112&lt;=$K112,($F112-$H112)/($F112-Table133[[#This Row],[Prior day close]]),(Table133[[#This Row],[PM Hi]]-Table133[[#This Row],[Lowest lo from open to squeeze]])/(Table133[[#This Row],[PM Hi]]-Table133[[#This Row],[Prior day close]])))),IF($J112&gt;=$F112,($J112-$K112)/($J112-Table133[[#This Row],[PM LO]]),(IF($H112&lt;=$K112,($F112-$H112)/($F112-Table133[[#This Row],[PM LO]]),(Table133[[#This Row],[PM Hi]]-Table133[[#This Row],[Lowest lo from open to squeeze]])/(Table133[[#This Row],[PM Hi]]-Table133[[#This Row],[PM LO]])))))</f>
        <v>#DIV/0!</v>
      </c>
      <c r="AO112" s="18" t="e">
        <f>IF(J112&gt;=F112,(J112-K112)/(J112-D112),(IF(H112&lt;=K112,(F112-H112)/(F112-D112),(Table133[[#This Row],[PM Hi]]-Table133[[#This Row],[Lowest lo from open to squeeze]])/(Table133[[#This Row],[PM Hi]]-Table133[[#This Row],[Prior day close]]))))</f>
        <v>#DIV/0!</v>
      </c>
      <c r="AP112" s="17">
        <f>390+Table133[[#This Row],[Time until ideal entry point (mins) from open]]</f>
        <v>390</v>
      </c>
      <c r="AQ112" s="17">
        <f>Table133[[#This Row],[Time until ideal entry + 390 (6:30)]]+Table133[[#This Row],[Duration of frontside (mins)]]</f>
        <v>390</v>
      </c>
    </row>
    <row r="113" spans="1:43" x14ac:dyDescent="0.25">
      <c r="A113" s="24" t="s">
        <v>208</v>
      </c>
      <c r="B113" s="47">
        <v>44213</v>
      </c>
      <c r="C113" s="47" t="s">
        <v>178</v>
      </c>
      <c r="D113" s="12"/>
      <c r="E113" s="13"/>
      <c r="F113" s="12"/>
      <c r="G113" s="12"/>
      <c r="H113" s="12"/>
      <c r="I113" s="12"/>
      <c r="J113" s="12"/>
      <c r="K113" s="12"/>
      <c r="N113" s="13"/>
      <c r="P113" s="37"/>
      <c r="Q113" s="46"/>
      <c r="R113" s="37"/>
      <c r="S113" s="37"/>
      <c r="T113" s="37"/>
      <c r="U113" s="38"/>
      <c r="V113" s="46"/>
      <c r="W113" s="37"/>
      <c r="X113" s="46"/>
      <c r="Y113" s="41">
        <f>Table133[[#This Row],[Time until ideal entry + 390 (6:30)]]/(1440)</f>
        <v>0.27083333333333331</v>
      </c>
      <c r="Z113" s="18" t="e">
        <f>(F113-D113)/D113</f>
        <v>#DIV/0!</v>
      </c>
      <c r="AA113" s="18" t="e">
        <f>IF(Table133[[#This Row],[HOD AFTER PM HI]]&gt;=Table133[[#This Row],[PM Hi]],((Table133[[#This Row],[HOD AFTER PM HI]]-Table133[[#This Row],[Prior day close]])/Table133[[#This Row],[Prior day close]]),Table133[[#This Row],[Prior Close to PM Hi %]])</f>
        <v>#DIV/0!</v>
      </c>
      <c r="AB113" s="42" t="e">
        <f>(Table133[[#This Row],[Price at hi of squeeze]]-Table133[[#This Row],[MKT Open Price]])/Table133[[#This Row],[MKT Open Price]]</f>
        <v>#DIV/0!</v>
      </c>
      <c r="AC113" s="18" t="e">
        <f>(Table133[[#This Row],[Price at hi of squeeze]]-Table133[[#This Row],[PM Hi]])/Table133[[#This Row],[PM Hi]]</f>
        <v>#DIV/0!</v>
      </c>
      <c r="AD113" s="18"/>
      <c r="AE113" s="20" t="e">
        <f>Table133[[#This Row],[PM VOL]]/1000000/Table133[[#This Row],[FLOAT(M)]]</f>
        <v>#DIV/0!</v>
      </c>
      <c r="AF113" s="23" t="e">
        <f>(Table133[[#This Row],[Volume]]/1000000)/Table133[[#This Row],[FLOAT(M)]]</f>
        <v>#DIV/0!</v>
      </c>
      <c r="AH113" s="18" t="e">
        <f>(Table133[[#This Row],[PM Hi]]-Table133[[#This Row],[MKT Open Price]])/(Table133[[#This Row],[PM Hi]])</f>
        <v>#DIV/0!</v>
      </c>
      <c r="AI113" s="18" t="e">
        <f>IF(Table133[[#This Row],[PM LO]]&gt;Table133[[#This Row],[Prior day close]],(Table133[[#This Row],[PM Hi]]-Table133[[#This Row],[MKT Open Price]])/(Table133[[#This Row],[PM Hi]]-Table133[[#This Row],[Prior day close]]),(Table133[[#This Row],[PM Hi]]-Table133[[#This Row],[MKT Open Price]])/(Table133[[#This Row],[PM Hi]]-Table133[[#This Row],[PM LO]]))</f>
        <v>#DIV/0!</v>
      </c>
      <c r="AJ113" s="48" t="e">
        <f>IF(Table133[[#This Row],[Prior day close]]&lt;Table133[[#This Row],[PM LO]],(I113-K113)/(I113-Table133[[#This Row],[Prior day close]]),(I113-K113)/(I113-Table133[[#This Row],[PM LO]]))</f>
        <v>#DIV/0!</v>
      </c>
      <c r="AK113" s="48" t="e">
        <f>Table133[[#This Row],[Spike % on open before drop]]+AL113</f>
        <v>#DIV/0!</v>
      </c>
      <c r="AL113" s="16" t="e">
        <f>(I113-K113)/I113</f>
        <v>#DIV/0!</v>
      </c>
      <c r="AM113" s="18" t="e">
        <f>IF($J113&gt;=$F113,($J113-$K113)/($J113),(IF($H113&lt;=$K113,($F113-$H113)/($F113),(Table133[[#This Row],[PM Hi]]-Table133[[#This Row],[Lowest lo from open to squeeze]])/(Table133[[#This Row],[PM Hi]]))))</f>
        <v>#DIV/0!</v>
      </c>
      <c r="AN113" s="48" t="e">
        <f>IF(Table133[[#This Row],[Prior day close]]&lt;=Table133[[#This Row],[PM LO]],IF($J113&gt;=$F113,($J113-$K113)/($J113-Table133[[#This Row],[Prior day close]]),(IF($H113&lt;=$K113,($F113-$H113)/($F113-Table133[[#This Row],[Prior day close]]),(Table133[[#This Row],[PM Hi]]-Table133[[#This Row],[Lowest lo from open to squeeze]])/(Table133[[#This Row],[PM Hi]]-Table133[[#This Row],[Prior day close]])))),IF($J113&gt;=$F113,($J113-$K113)/($J113-Table133[[#This Row],[PM LO]]),(IF($H113&lt;=$K113,($F113-$H113)/($F113-Table133[[#This Row],[PM LO]]),(Table133[[#This Row],[PM Hi]]-Table133[[#This Row],[Lowest lo from open to squeeze]])/(Table133[[#This Row],[PM Hi]]-Table133[[#This Row],[PM LO]])))))</f>
        <v>#DIV/0!</v>
      </c>
      <c r="AO113" s="18" t="e">
        <f>IF(J113&gt;=F113,(J113-K113)/(J113-D113),(IF(H113&lt;=K113,(F113-H113)/(F113-D113),(Table133[[#This Row],[PM Hi]]-Table133[[#This Row],[Lowest lo from open to squeeze]])/(Table133[[#This Row],[PM Hi]]-Table133[[#This Row],[Prior day close]]))))</f>
        <v>#DIV/0!</v>
      </c>
      <c r="AP113" s="17">
        <f>390+Table133[[#This Row],[Time until ideal entry point (mins) from open]]</f>
        <v>390</v>
      </c>
      <c r="AQ113" s="17">
        <f>Table133[[#This Row],[Time until ideal entry + 390 (6:30)]]+Table133[[#This Row],[Duration of frontside (mins)]]</f>
        <v>390</v>
      </c>
    </row>
    <row r="114" spans="1:43" x14ac:dyDescent="0.25">
      <c r="A114" s="24" t="s">
        <v>219</v>
      </c>
      <c r="B114" s="47">
        <v>43902</v>
      </c>
      <c r="C114" s="47" t="s">
        <v>178</v>
      </c>
      <c r="D114" s="12"/>
      <c r="E114" s="13"/>
      <c r="F114" s="12"/>
      <c r="G114" s="12"/>
      <c r="H114" s="12"/>
      <c r="I114" s="12"/>
      <c r="J114" s="12"/>
      <c r="K114" s="12"/>
      <c r="N114" s="13"/>
      <c r="P114" s="37"/>
      <c r="Q114" s="46"/>
      <c r="R114" s="37"/>
      <c r="S114" s="37"/>
      <c r="T114" s="37"/>
      <c r="U114" s="38"/>
      <c r="V114" s="46"/>
      <c r="W114" s="37"/>
      <c r="X114" s="46"/>
      <c r="Y114" s="41">
        <f>Table133[[#This Row],[Time until ideal entry + 390 (6:30)]]/(1440)</f>
        <v>0.27083333333333331</v>
      </c>
      <c r="Z114" s="18" t="e">
        <f>(F114-D114)/D114</f>
        <v>#DIV/0!</v>
      </c>
      <c r="AA114" s="18" t="e">
        <f>IF(Table133[[#This Row],[HOD AFTER PM HI]]&gt;=Table133[[#This Row],[PM Hi]],((Table133[[#This Row],[HOD AFTER PM HI]]-Table133[[#This Row],[Prior day close]])/Table133[[#This Row],[Prior day close]]),Table133[[#This Row],[Prior Close to PM Hi %]])</f>
        <v>#DIV/0!</v>
      </c>
      <c r="AB114" s="42" t="e">
        <f>(Table133[[#This Row],[Price at hi of squeeze]]-Table133[[#This Row],[MKT Open Price]])/Table133[[#This Row],[MKT Open Price]]</f>
        <v>#DIV/0!</v>
      </c>
      <c r="AC114" s="18" t="e">
        <f>(Table133[[#This Row],[Price at hi of squeeze]]-Table133[[#This Row],[PM Hi]])/Table133[[#This Row],[PM Hi]]</f>
        <v>#DIV/0!</v>
      </c>
      <c r="AD114" s="18"/>
      <c r="AE114" s="20" t="e">
        <f>Table133[[#This Row],[PM VOL]]/1000000/Table133[[#This Row],[FLOAT(M)]]</f>
        <v>#DIV/0!</v>
      </c>
      <c r="AF114" s="23" t="e">
        <f>(Table133[[#This Row],[Volume]]/1000000)/Table133[[#This Row],[FLOAT(M)]]</f>
        <v>#DIV/0!</v>
      </c>
      <c r="AH114" s="18" t="e">
        <f>(Table133[[#This Row],[PM Hi]]-Table133[[#This Row],[MKT Open Price]])/(Table133[[#This Row],[PM Hi]])</f>
        <v>#DIV/0!</v>
      </c>
      <c r="AI114" s="18" t="e">
        <f>IF(Table133[[#This Row],[PM LO]]&gt;Table133[[#This Row],[Prior day close]],(Table133[[#This Row],[PM Hi]]-Table133[[#This Row],[MKT Open Price]])/(Table133[[#This Row],[PM Hi]]-Table133[[#This Row],[Prior day close]]),(Table133[[#This Row],[PM Hi]]-Table133[[#This Row],[MKT Open Price]])/(Table133[[#This Row],[PM Hi]]-Table133[[#This Row],[PM LO]]))</f>
        <v>#DIV/0!</v>
      </c>
      <c r="AJ114" s="48" t="e">
        <f>IF(Table133[[#This Row],[Prior day close]]&lt;Table133[[#This Row],[PM LO]],(I114-K114)/(I114-Table133[[#This Row],[Prior day close]]),(I114-K114)/(I114-Table133[[#This Row],[PM LO]]))</f>
        <v>#DIV/0!</v>
      </c>
      <c r="AK114" s="48" t="e">
        <f>Table133[[#This Row],[Spike % on open before drop]]+AL114</f>
        <v>#DIV/0!</v>
      </c>
      <c r="AL114" s="16" t="e">
        <f>(I114-K114)/I114</f>
        <v>#DIV/0!</v>
      </c>
      <c r="AM114" s="18" t="e">
        <f>IF($J114&gt;=$F114,($J114-$K114)/($J114),(IF($H114&lt;=$K114,($F114-$H114)/($F114),(Table133[[#This Row],[PM Hi]]-Table133[[#This Row],[Lowest lo from open to squeeze]])/(Table133[[#This Row],[PM Hi]]))))</f>
        <v>#DIV/0!</v>
      </c>
      <c r="AN114" s="48" t="e">
        <f>IF(Table133[[#This Row],[Prior day close]]&lt;=Table133[[#This Row],[PM LO]],IF($J114&gt;=$F114,($J114-$K114)/($J114-Table133[[#This Row],[Prior day close]]),(IF($H114&lt;=$K114,($F114-$H114)/($F114-Table133[[#This Row],[Prior day close]]),(Table133[[#This Row],[PM Hi]]-Table133[[#This Row],[Lowest lo from open to squeeze]])/(Table133[[#This Row],[PM Hi]]-Table133[[#This Row],[Prior day close]])))),IF($J114&gt;=$F114,($J114-$K114)/($J114-Table133[[#This Row],[PM LO]]),(IF($H114&lt;=$K114,($F114-$H114)/($F114-Table133[[#This Row],[PM LO]]),(Table133[[#This Row],[PM Hi]]-Table133[[#This Row],[Lowest lo from open to squeeze]])/(Table133[[#This Row],[PM Hi]]-Table133[[#This Row],[PM LO]])))))</f>
        <v>#DIV/0!</v>
      </c>
      <c r="AO114" s="18" t="e">
        <f>IF(J114&gt;=F114,(J114-K114)/(J114-D114),(IF(H114&lt;=K114,(F114-H114)/(F114-D114),(Table133[[#This Row],[PM Hi]]-Table133[[#This Row],[Lowest lo from open to squeeze]])/(Table133[[#This Row],[PM Hi]]-Table133[[#This Row],[Prior day close]]))))</f>
        <v>#DIV/0!</v>
      </c>
      <c r="AP114" s="17">
        <f>390+Table133[[#This Row],[Time until ideal entry point (mins) from open]]</f>
        <v>390</v>
      </c>
      <c r="AQ114" s="17">
        <f>Table133[[#This Row],[Time until ideal entry + 390 (6:30)]]+Table133[[#This Row],[Duration of frontside (mins)]]</f>
        <v>390</v>
      </c>
    </row>
    <row r="115" spans="1:43" x14ac:dyDescent="0.25">
      <c r="A115" s="24" t="s">
        <v>264</v>
      </c>
      <c r="B115" s="47">
        <v>44070</v>
      </c>
      <c r="C115" s="47" t="s">
        <v>178</v>
      </c>
      <c r="D115" s="12"/>
      <c r="E115" s="13"/>
      <c r="F115" s="12"/>
      <c r="G115" s="12"/>
      <c r="H115" s="12"/>
      <c r="I115" s="12"/>
      <c r="J115" s="12"/>
      <c r="K115" s="12"/>
      <c r="N115" s="13"/>
      <c r="P115" s="37"/>
      <c r="Q115" s="46"/>
      <c r="R115" s="37"/>
      <c r="S115" s="37"/>
      <c r="T115" s="37"/>
      <c r="U115" s="38"/>
      <c r="V115" s="46"/>
      <c r="W115" s="37"/>
      <c r="X115" s="46"/>
      <c r="Y115" s="41">
        <f>Table133[[#This Row],[Time until ideal entry + 390 (6:30)]]/(1440)</f>
        <v>0.27083333333333331</v>
      </c>
      <c r="Z115" s="18" t="e">
        <f>(F115-D115)/D115</f>
        <v>#DIV/0!</v>
      </c>
      <c r="AA115" s="18" t="e">
        <f>IF(Table133[[#This Row],[HOD AFTER PM HI]]&gt;=Table133[[#This Row],[PM Hi]],((Table133[[#This Row],[HOD AFTER PM HI]]-Table133[[#This Row],[Prior day close]])/Table133[[#This Row],[Prior day close]]),Table133[[#This Row],[Prior Close to PM Hi %]])</f>
        <v>#DIV/0!</v>
      </c>
      <c r="AB115" s="42" t="e">
        <f>(Table133[[#This Row],[Price at hi of squeeze]]-Table133[[#This Row],[MKT Open Price]])/Table133[[#This Row],[MKT Open Price]]</f>
        <v>#DIV/0!</v>
      </c>
      <c r="AC115" s="18" t="e">
        <f>(Table133[[#This Row],[Price at hi of squeeze]]-Table133[[#This Row],[PM Hi]])/Table133[[#This Row],[PM Hi]]</f>
        <v>#DIV/0!</v>
      </c>
      <c r="AD115" s="18"/>
      <c r="AE115" s="20" t="e">
        <f>Table133[[#This Row],[PM VOL]]/1000000/Table133[[#This Row],[FLOAT(M)]]</f>
        <v>#DIV/0!</v>
      </c>
      <c r="AF115" s="23" t="e">
        <f>(Table133[[#This Row],[Volume]]/1000000)/Table133[[#This Row],[FLOAT(M)]]</f>
        <v>#DIV/0!</v>
      </c>
      <c r="AH115" s="18" t="e">
        <f>(Table133[[#This Row],[PM Hi]]-Table133[[#This Row],[MKT Open Price]])/(Table133[[#This Row],[PM Hi]])</f>
        <v>#DIV/0!</v>
      </c>
      <c r="AI115" s="18" t="e">
        <f>IF(Table133[[#This Row],[PM LO]]&gt;Table133[[#This Row],[Prior day close]],(Table133[[#This Row],[PM Hi]]-Table133[[#This Row],[MKT Open Price]])/(Table133[[#This Row],[PM Hi]]-Table133[[#This Row],[Prior day close]]),(Table133[[#This Row],[PM Hi]]-Table133[[#This Row],[MKT Open Price]])/(Table133[[#This Row],[PM Hi]]-Table133[[#This Row],[PM LO]]))</f>
        <v>#DIV/0!</v>
      </c>
      <c r="AJ115" s="48" t="e">
        <f>IF(Table133[[#This Row],[Prior day close]]&lt;Table133[[#This Row],[PM LO]],(I115-K115)/(I115-Table133[[#This Row],[Prior day close]]),(I115-K115)/(I115-Table133[[#This Row],[PM LO]]))</f>
        <v>#DIV/0!</v>
      </c>
      <c r="AK115" s="48" t="e">
        <f>Table133[[#This Row],[Spike % on open before drop]]+AL115</f>
        <v>#DIV/0!</v>
      </c>
      <c r="AL115" s="16" t="e">
        <f>(I115-K115)/I115</f>
        <v>#DIV/0!</v>
      </c>
      <c r="AM115" s="18" t="e">
        <f>IF($J115&gt;=$F115,($J115-$K115)/($J115),(IF($H115&lt;=$K115,($F115-$H115)/($F115),(Table133[[#This Row],[PM Hi]]-Table133[[#This Row],[Lowest lo from open to squeeze]])/(Table133[[#This Row],[PM Hi]]))))</f>
        <v>#DIV/0!</v>
      </c>
      <c r="AN115" s="48" t="e">
        <f>IF(Table133[[#This Row],[Prior day close]]&lt;=Table133[[#This Row],[PM LO]],IF($J115&gt;=$F115,($J115-$K115)/($J115-Table133[[#This Row],[Prior day close]]),(IF($H115&lt;=$K115,($F115-$H115)/($F115-Table133[[#This Row],[Prior day close]]),(Table133[[#This Row],[PM Hi]]-Table133[[#This Row],[Lowest lo from open to squeeze]])/(Table133[[#This Row],[PM Hi]]-Table133[[#This Row],[Prior day close]])))),IF($J115&gt;=$F115,($J115-$K115)/($J115-Table133[[#This Row],[PM LO]]),(IF($H115&lt;=$K115,($F115-$H115)/($F115-Table133[[#This Row],[PM LO]]),(Table133[[#This Row],[PM Hi]]-Table133[[#This Row],[Lowest lo from open to squeeze]])/(Table133[[#This Row],[PM Hi]]-Table133[[#This Row],[PM LO]])))))</f>
        <v>#DIV/0!</v>
      </c>
      <c r="AO115" s="18" t="e">
        <f>IF(J115&gt;=F115,(J115-K115)/(J115-D115),(IF(H115&lt;=K115,(F115-H115)/(F115-D115),(Table133[[#This Row],[PM Hi]]-Table133[[#This Row],[Lowest lo from open to squeeze]])/(Table133[[#This Row],[PM Hi]]-Table133[[#This Row],[Prior day close]]))))</f>
        <v>#DIV/0!</v>
      </c>
      <c r="AP115" s="17">
        <f>390+Table133[[#This Row],[Time until ideal entry point (mins) from open]]</f>
        <v>390</v>
      </c>
      <c r="AQ115" s="17">
        <f>Table133[[#This Row],[Time until ideal entry + 390 (6:30)]]+Table133[[#This Row],[Duration of frontside (mins)]]</f>
        <v>390</v>
      </c>
    </row>
    <row r="116" spans="1:43" x14ac:dyDescent="0.25">
      <c r="A116" s="24" t="s">
        <v>327</v>
      </c>
      <c r="B116" s="47">
        <v>43849</v>
      </c>
      <c r="C116" s="47" t="s">
        <v>178</v>
      </c>
      <c r="D116" s="12"/>
      <c r="E116" s="13"/>
      <c r="F116" s="12"/>
      <c r="G116" s="12"/>
      <c r="H116" s="12"/>
      <c r="I116" s="12"/>
      <c r="J116" s="12"/>
      <c r="K116" s="12"/>
      <c r="N116" s="13"/>
      <c r="P116" s="37"/>
      <c r="Q116" s="46"/>
      <c r="R116" s="37"/>
      <c r="S116" s="37"/>
      <c r="T116" s="37"/>
      <c r="U116" s="38"/>
      <c r="V116" s="46"/>
      <c r="W116" s="37"/>
      <c r="X116" s="46"/>
      <c r="Y116" s="41">
        <f>Table133[[#This Row],[Time until ideal entry + 390 (6:30)]]/(1440)</f>
        <v>0.27083333333333331</v>
      </c>
      <c r="Z116" s="18" t="e">
        <f>(F116-D116)/D116</f>
        <v>#DIV/0!</v>
      </c>
      <c r="AA116" s="18" t="e">
        <f>IF(Table133[[#This Row],[HOD AFTER PM HI]]&gt;=Table133[[#This Row],[PM Hi]],((Table133[[#This Row],[HOD AFTER PM HI]]-Table133[[#This Row],[Prior day close]])/Table133[[#This Row],[Prior day close]]),Table133[[#This Row],[Prior Close to PM Hi %]])</f>
        <v>#DIV/0!</v>
      </c>
      <c r="AB116" s="42" t="e">
        <f>(Table133[[#This Row],[Price at hi of squeeze]]-Table133[[#This Row],[MKT Open Price]])/Table133[[#This Row],[MKT Open Price]]</f>
        <v>#DIV/0!</v>
      </c>
      <c r="AC116" s="18" t="e">
        <f>(Table133[[#This Row],[Price at hi of squeeze]]-Table133[[#This Row],[PM Hi]])/Table133[[#This Row],[PM Hi]]</f>
        <v>#DIV/0!</v>
      </c>
      <c r="AD116" s="18"/>
      <c r="AE116" s="20" t="e">
        <f>Table133[[#This Row],[PM VOL]]/1000000/Table133[[#This Row],[FLOAT(M)]]</f>
        <v>#DIV/0!</v>
      </c>
      <c r="AF116" s="23" t="e">
        <f>(Table133[[#This Row],[Volume]]/1000000)/Table133[[#This Row],[FLOAT(M)]]</f>
        <v>#DIV/0!</v>
      </c>
      <c r="AH116" s="18" t="e">
        <f>(Table133[[#This Row],[PM Hi]]-Table133[[#This Row],[MKT Open Price]])/(Table133[[#This Row],[PM Hi]])</f>
        <v>#DIV/0!</v>
      </c>
      <c r="AI116" s="18" t="e">
        <f>IF(Table133[[#This Row],[PM LO]]&gt;Table133[[#This Row],[Prior day close]],(Table133[[#This Row],[PM Hi]]-Table133[[#This Row],[MKT Open Price]])/(Table133[[#This Row],[PM Hi]]-Table133[[#This Row],[Prior day close]]),(Table133[[#This Row],[PM Hi]]-Table133[[#This Row],[MKT Open Price]])/(Table133[[#This Row],[PM Hi]]-Table133[[#This Row],[PM LO]]))</f>
        <v>#DIV/0!</v>
      </c>
      <c r="AJ116" s="48" t="e">
        <f>IF(Table133[[#This Row],[Prior day close]]&lt;Table133[[#This Row],[PM LO]],(I116-K116)/(I116-Table133[[#This Row],[Prior day close]]),(I116-K116)/(I116-Table133[[#This Row],[PM LO]]))</f>
        <v>#DIV/0!</v>
      </c>
      <c r="AK116" s="48" t="e">
        <f>Table133[[#This Row],[Spike % on open before drop]]+AL116</f>
        <v>#DIV/0!</v>
      </c>
      <c r="AL116" s="16" t="e">
        <f>(I116-K116)/I116</f>
        <v>#DIV/0!</v>
      </c>
      <c r="AM116" s="18" t="e">
        <f>IF($J116&gt;=$F116,($J116-$K116)/($J116),(IF($H116&lt;=$K116,($F116-$H116)/($F116),(Table133[[#This Row],[PM Hi]]-Table133[[#This Row],[Lowest lo from open to squeeze]])/(Table133[[#This Row],[PM Hi]]))))</f>
        <v>#DIV/0!</v>
      </c>
      <c r="AN116" s="48" t="e">
        <f>IF(Table133[[#This Row],[Prior day close]]&lt;=Table133[[#This Row],[PM LO]],IF($J116&gt;=$F116,($J116-$K116)/($J116-Table133[[#This Row],[Prior day close]]),(IF($H116&lt;=$K116,($F116-$H116)/($F116-Table133[[#This Row],[Prior day close]]),(Table133[[#This Row],[PM Hi]]-Table133[[#This Row],[Lowest lo from open to squeeze]])/(Table133[[#This Row],[PM Hi]]-Table133[[#This Row],[Prior day close]])))),IF($J116&gt;=$F116,($J116-$K116)/($J116-Table133[[#This Row],[PM LO]]),(IF($H116&lt;=$K116,($F116-$H116)/($F116-Table133[[#This Row],[PM LO]]),(Table133[[#This Row],[PM Hi]]-Table133[[#This Row],[Lowest lo from open to squeeze]])/(Table133[[#This Row],[PM Hi]]-Table133[[#This Row],[PM LO]])))))</f>
        <v>#DIV/0!</v>
      </c>
      <c r="AO116" s="18" t="e">
        <f>IF(J116&gt;=F116,(J116-K116)/(J116-D116),(IF(H116&lt;=K116,(F116-H116)/(F116-D116),(Table133[[#This Row],[PM Hi]]-Table133[[#This Row],[Lowest lo from open to squeeze]])/(Table133[[#This Row],[PM Hi]]-Table133[[#This Row],[Prior day close]]))))</f>
        <v>#DIV/0!</v>
      </c>
      <c r="AP116" s="17">
        <f>390+Table133[[#This Row],[Time until ideal entry point (mins) from open]]</f>
        <v>390</v>
      </c>
      <c r="AQ116" s="17">
        <f>Table133[[#This Row],[Time until ideal entry + 390 (6:30)]]+Table133[[#This Row],[Duration of frontside (mins)]]</f>
        <v>390</v>
      </c>
    </row>
    <row r="117" spans="1:43" x14ac:dyDescent="0.25">
      <c r="A117" s="24" t="s">
        <v>209</v>
      </c>
      <c r="B117" s="47">
        <v>44217</v>
      </c>
      <c r="C117" s="47" t="s">
        <v>178</v>
      </c>
      <c r="D117" s="12"/>
      <c r="E117" s="13"/>
      <c r="F117" s="12"/>
      <c r="G117" s="12"/>
      <c r="H117" s="12"/>
      <c r="I117" s="12"/>
      <c r="J117" s="12"/>
      <c r="K117" s="12"/>
      <c r="N117" s="13"/>
      <c r="P117" s="37"/>
      <c r="Q117" s="46"/>
      <c r="R117" s="37"/>
      <c r="S117" s="37"/>
      <c r="T117" s="37"/>
      <c r="U117" s="38"/>
      <c r="V117" s="46"/>
      <c r="W117" s="37"/>
      <c r="X117" s="46"/>
      <c r="Y117" s="41">
        <f>Table133[[#This Row],[Time until ideal entry + 390 (6:30)]]/(1440)</f>
        <v>0.27083333333333331</v>
      </c>
      <c r="Z117" s="18" t="e">
        <f>(F117-D117)/D117</f>
        <v>#DIV/0!</v>
      </c>
      <c r="AA117" s="18" t="e">
        <f>IF(Table133[[#This Row],[HOD AFTER PM HI]]&gt;=Table133[[#This Row],[PM Hi]],((Table133[[#This Row],[HOD AFTER PM HI]]-Table133[[#This Row],[Prior day close]])/Table133[[#This Row],[Prior day close]]),Table133[[#This Row],[Prior Close to PM Hi %]])</f>
        <v>#DIV/0!</v>
      </c>
      <c r="AB117" s="42" t="e">
        <f>(Table133[[#This Row],[Price at hi of squeeze]]-Table133[[#This Row],[MKT Open Price]])/Table133[[#This Row],[MKT Open Price]]</f>
        <v>#DIV/0!</v>
      </c>
      <c r="AC117" s="18" t="e">
        <f>(Table133[[#This Row],[Price at hi of squeeze]]-Table133[[#This Row],[PM Hi]])/Table133[[#This Row],[PM Hi]]</f>
        <v>#DIV/0!</v>
      </c>
      <c r="AD117" s="18"/>
      <c r="AE117" s="20" t="e">
        <f>Table133[[#This Row],[PM VOL]]/1000000/Table133[[#This Row],[FLOAT(M)]]</f>
        <v>#DIV/0!</v>
      </c>
      <c r="AF117" s="23" t="e">
        <f>(Table133[[#This Row],[Volume]]/1000000)/Table133[[#This Row],[FLOAT(M)]]</f>
        <v>#DIV/0!</v>
      </c>
      <c r="AH117" s="18" t="e">
        <f>(Table133[[#This Row],[PM Hi]]-Table133[[#This Row],[MKT Open Price]])/(Table133[[#This Row],[PM Hi]])</f>
        <v>#DIV/0!</v>
      </c>
      <c r="AI117" s="18" t="e">
        <f>IF(Table133[[#This Row],[PM LO]]&gt;Table133[[#This Row],[Prior day close]],(Table133[[#This Row],[PM Hi]]-Table133[[#This Row],[MKT Open Price]])/(Table133[[#This Row],[PM Hi]]-Table133[[#This Row],[Prior day close]]),(Table133[[#This Row],[PM Hi]]-Table133[[#This Row],[MKT Open Price]])/(Table133[[#This Row],[PM Hi]]-Table133[[#This Row],[PM LO]]))</f>
        <v>#DIV/0!</v>
      </c>
      <c r="AJ117" s="48" t="e">
        <f>IF(Table133[[#This Row],[Prior day close]]&lt;Table133[[#This Row],[PM LO]],(I117-K117)/(I117-Table133[[#This Row],[Prior day close]]),(I117-K117)/(I117-Table133[[#This Row],[PM LO]]))</f>
        <v>#DIV/0!</v>
      </c>
      <c r="AK117" s="48" t="e">
        <f>Table133[[#This Row],[Spike % on open before drop]]+AL117</f>
        <v>#DIV/0!</v>
      </c>
      <c r="AL117" s="16" t="e">
        <f>(I117-K117)/I117</f>
        <v>#DIV/0!</v>
      </c>
      <c r="AM117" s="18" t="e">
        <f>IF($J117&gt;=$F117,($J117-$K117)/($J117),(IF($H117&lt;=$K117,($F117-$H117)/($F117),(Table133[[#This Row],[PM Hi]]-Table133[[#This Row],[Lowest lo from open to squeeze]])/(Table133[[#This Row],[PM Hi]]))))</f>
        <v>#DIV/0!</v>
      </c>
      <c r="AN117" s="48" t="e">
        <f>IF(Table133[[#This Row],[Prior day close]]&lt;=Table133[[#This Row],[PM LO]],IF($J117&gt;=$F117,($J117-$K117)/($J117-Table133[[#This Row],[Prior day close]]),(IF($H117&lt;=$K117,($F117-$H117)/($F117-Table133[[#This Row],[Prior day close]]),(Table133[[#This Row],[PM Hi]]-Table133[[#This Row],[Lowest lo from open to squeeze]])/(Table133[[#This Row],[PM Hi]]-Table133[[#This Row],[Prior day close]])))),IF($J117&gt;=$F117,($J117-$K117)/($J117-Table133[[#This Row],[PM LO]]),(IF($H117&lt;=$K117,($F117-$H117)/($F117-Table133[[#This Row],[PM LO]]),(Table133[[#This Row],[PM Hi]]-Table133[[#This Row],[Lowest lo from open to squeeze]])/(Table133[[#This Row],[PM Hi]]-Table133[[#This Row],[PM LO]])))))</f>
        <v>#DIV/0!</v>
      </c>
      <c r="AO117" s="18" t="e">
        <f>IF(J117&gt;=F117,(J117-K117)/(J117-D117),(IF(H117&lt;=K117,(F117-H117)/(F117-D117),(Table133[[#This Row],[PM Hi]]-Table133[[#This Row],[Lowest lo from open to squeeze]])/(Table133[[#This Row],[PM Hi]]-Table133[[#This Row],[Prior day close]]))))</f>
        <v>#DIV/0!</v>
      </c>
      <c r="AP117" s="17">
        <f>390+Table133[[#This Row],[Time until ideal entry point (mins) from open]]</f>
        <v>390</v>
      </c>
      <c r="AQ117" s="17">
        <f>Table133[[#This Row],[Time until ideal entry + 390 (6:30)]]+Table133[[#This Row],[Duration of frontside (mins)]]</f>
        <v>390</v>
      </c>
    </row>
    <row r="118" spans="1:43" x14ac:dyDescent="0.25">
      <c r="A118" s="24" t="s">
        <v>210</v>
      </c>
      <c r="B118" s="47">
        <v>43902</v>
      </c>
      <c r="C118" s="47" t="s">
        <v>364</v>
      </c>
      <c r="D118" s="12"/>
      <c r="E118" s="13"/>
      <c r="F118" s="12"/>
      <c r="G118" s="12"/>
      <c r="H118" s="12"/>
      <c r="I118" s="12"/>
      <c r="J118" s="12"/>
      <c r="K118" s="12"/>
      <c r="N118" s="13"/>
      <c r="P118" s="37"/>
      <c r="Q118" s="46"/>
      <c r="R118" s="37"/>
      <c r="S118" s="37"/>
      <c r="T118" s="37"/>
      <c r="U118" s="38"/>
      <c r="V118" s="46"/>
      <c r="W118" s="37"/>
      <c r="X118" s="46"/>
      <c r="Y118" s="41">
        <f>Table133[[#This Row],[Time until ideal entry + 390 (6:30)]]/(1440)</f>
        <v>0.27083333333333331</v>
      </c>
      <c r="Z118" s="18" t="e">
        <f>(F118-D118)/D118</f>
        <v>#DIV/0!</v>
      </c>
      <c r="AA118" s="18" t="e">
        <f>IF(Table133[[#This Row],[HOD AFTER PM HI]]&gt;=Table133[[#This Row],[PM Hi]],((Table133[[#This Row],[HOD AFTER PM HI]]-Table133[[#This Row],[Prior day close]])/Table133[[#This Row],[Prior day close]]),Table133[[#This Row],[Prior Close to PM Hi %]])</f>
        <v>#DIV/0!</v>
      </c>
      <c r="AB118" s="42" t="e">
        <f>(Table133[[#This Row],[Price at hi of squeeze]]-Table133[[#This Row],[MKT Open Price]])/Table133[[#This Row],[MKT Open Price]]</f>
        <v>#DIV/0!</v>
      </c>
      <c r="AC118" s="18" t="e">
        <f>(Table133[[#This Row],[Price at hi of squeeze]]-Table133[[#This Row],[PM Hi]])/Table133[[#This Row],[PM Hi]]</f>
        <v>#DIV/0!</v>
      </c>
      <c r="AD118" s="18"/>
      <c r="AE118" s="20" t="e">
        <f>Table133[[#This Row],[PM VOL]]/1000000/Table133[[#This Row],[FLOAT(M)]]</f>
        <v>#DIV/0!</v>
      </c>
      <c r="AF118" s="23" t="e">
        <f>(Table133[[#This Row],[Volume]]/1000000)/Table133[[#This Row],[FLOAT(M)]]</f>
        <v>#DIV/0!</v>
      </c>
      <c r="AH118" s="18" t="e">
        <f>(Table133[[#This Row],[PM Hi]]-Table133[[#This Row],[MKT Open Price]])/(Table133[[#This Row],[PM Hi]])</f>
        <v>#DIV/0!</v>
      </c>
      <c r="AI118" s="18" t="e">
        <f>IF(Table133[[#This Row],[PM LO]]&gt;Table133[[#This Row],[Prior day close]],(Table133[[#This Row],[PM Hi]]-Table133[[#This Row],[MKT Open Price]])/(Table133[[#This Row],[PM Hi]]-Table133[[#This Row],[Prior day close]]),(Table133[[#This Row],[PM Hi]]-Table133[[#This Row],[MKT Open Price]])/(Table133[[#This Row],[PM Hi]]-Table133[[#This Row],[PM LO]]))</f>
        <v>#DIV/0!</v>
      </c>
      <c r="AJ118" s="48" t="e">
        <f>IF(Table133[[#This Row],[Prior day close]]&lt;Table133[[#This Row],[PM LO]],(I118-K118)/(I118-Table133[[#This Row],[Prior day close]]),(I118-K118)/(I118-Table133[[#This Row],[PM LO]]))</f>
        <v>#DIV/0!</v>
      </c>
      <c r="AK118" s="48" t="e">
        <f>Table133[[#This Row],[Spike % on open before drop]]+AL118</f>
        <v>#DIV/0!</v>
      </c>
      <c r="AL118" s="16" t="e">
        <f>(I118-K118)/I118</f>
        <v>#DIV/0!</v>
      </c>
      <c r="AM118" s="18" t="e">
        <f>IF($J118&gt;=$F118,($J118-$K118)/($J118),(IF($H118&lt;=$K118,($F118-$H118)/($F118),(Table133[[#This Row],[PM Hi]]-Table133[[#This Row],[Lowest lo from open to squeeze]])/(Table133[[#This Row],[PM Hi]]))))</f>
        <v>#DIV/0!</v>
      </c>
      <c r="AN118" s="48" t="e">
        <f>IF(Table133[[#This Row],[Prior day close]]&lt;=Table133[[#This Row],[PM LO]],IF($J118&gt;=$F118,($J118-$K118)/($J118-Table133[[#This Row],[Prior day close]]),(IF($H118&lt;=$K118,($F118-$H118)/($F118-Table133[[#This Row],[Prior day close]]),(Table133[[#This Row],[PM Hi]]-Table133[[#This Row],[Lowest lo from open to squeeze]])/(Table133[[#This Row],[PM Hi]]-Table133[[#This Row],[Prior day close]])))),IF($J118&gt;=$F118,($J118-$K118)/($J118-Table133[[#This Row],[PM LO]]),(IF($H118&lt;=$K118,($F118-$H118)/($F118-Table133[[#This Row],[PM LO]]),(Table133[[#This Row],[PM Hi]]-Table133[[#This Row],[Lowest lo from open to squeeze]])/(Table133[[#This Row],[PM Hi]]-Table133[[#This Row],[PM LO]])))))</f>
        <v>#DIV/0!</v>
      </c>
      <c r="AO118" s="18" t="e">
        <f>IF(J118&gt;=F118,(J118-K118)/(J118-D118),(IF(H118&lt;=K118,(F118-H118)/(F118-D118),(Table133[[#This Row],[PM Hi]]-Table133[[#This Row],[Lowest lo from open to squeeze]])/(Table133[[#This Row],[PM Hi]]-Table133[[#This Row],[Prior day close]]))))</f>
        <v>#DIV/0!</v>
      </c>
      <c r="AP118" s="17">
        <f>390+Table133[[#This Row],[Time until ideal entry point (mins) from open]]</f>
        <v>390</v>
      </c>
      <c r="AQ118" s="17">
        <f>Table133[[#This Row],[Time until ideal entry + 390 (6:30)]]+Table133[[#This Row],[Duration of frontside (mins)]]</f>
        <v>390</v>
      </c>
    </row>
    <row r="119" spans="1:43" x14ac:dyDescent="0.25">
      <c r="A119" s="24" t="s">
        <v>219</v>
      </c>
      <c r="B119" s="47">
        <v>43914</v>
      </c>
      <c r="C119" s="47" t="s">
        <v>364</v>
      </c>
      <c r="D119" s="12"/>
      <c r="E119" s="13"/>
      <c r="F119" s="12"/>
      <c r="G119" s="12"/>
      <c r="H119" s="12"/>
      <c r="I119" s="12"/>
      <c r="J119" s="12"/>
      <c r="K119" s="12"/>
      <c r="N119" s="13"/>
      <c r="P119" s="37"/>
      <c r="Q119" s="46"/>
      <c r="R119" s="37"/>
      <c r="S119" s="37"/>
      <c r="T119" s="37"/>
      <c r="U119" s="38"/>
      <c r="V119" s="46"/>
      <c r="W119" s="37"/>
      <c r="X119" s="46"/>
      <c r="Y119" s="41">
        <f>Table133[[#This Row],[Time until ideal entry + 390 (6:30)]]/(1440)</f>
        <v>0.27083333333333331</v>
      </c>
      <c r="Z119" s="18" t="e">
        <f>(F119-D119)/D119</f>
        <v>#DIV/0!</v>
      </c>
      <c r="AA119" s="18" t="e">
        <f>IF(Table133[[#This Row],[HOD AFTER PM HI]]&gt;=Table133[[#This Row],[PM Hi]],((Table133[[#This Row],[HOD AFTER PM HI]]-Table133[[#This Row],[Prior day close]])/Table133[[#This Row],[Prior day close]]),Table133[[#This Row],[Prior Close to PM Hi %]])</f>
        <v>#DIV/0!</v>
      </c>
      <c r="AB119" s="42" t="e">
        <f>(Table133[[#This Row],[Price at hi of squeeze]]-Table133[[#This Row],[MKT Open Price]])/Table133[[#This Row],[MKT Open Price]]</f>
        <v>#DIV/0!</v>
      </c>
      <c r="AC119" s="18" t="e">
        <f>(Table133[[#This Row],[Price at hi of squeeze]]-Table133[[#This Row],[PM Hi]])/Table133[[#This Row],[PM Hi]]</f>
        <v>#DIV/0!</v>
      </c>
      <c r="AD119" s="18"/>
      <c r="AE119" s="20" t="e">
        <f>Table133[[#This Row],[PM VOL]]/1000000/Table133[[#This Row],[FLOAT(M)]]</f>
        <v>#DIV/0!</v>
      </c>
      <c r="AF119" s="23" t="e">
        <f>(Table133[[#This Row],[Volume]]/1000000)/Table133[[#This Row],[FLOAT(M)]]</f>
        <v>#DIV/0!</v>
      </c>
      <c r="AH119" s="18" t="e">
        <f>(Table133[[#This Row],[PM Hi]]-Table133[[#This Row],[MKT Open Price]])/(Table133[[#This Row],[PM Hi]])</f>
        <v>#DIV/0!</v>
      </c>
      <c r="AI119" s="18" t="e">
        <f>IF(Table133[[#This Row],[PM LO]]&gt;Table133[[#This Row],[Prior day close]],(Table133[[#This Row],[PM Hi]]-Table133[[#This Row],[MKT Open Price]])/(Table133[[#This Row],[PM Hi]]-Table133[[#This Row],[Prior day close]]),(Table133[[#This Row],[PM Hi]]-Table133[[#This Row],[MKT Open Price]])/(Table133[[#This Row],[PM Hi]]-Table133[[#This Row],[PM LO]]))</f>
        <v>#DIV/0!</v>
      </c>
      <c r="AJ119" s="48" t="e">
        <f>IF(Table133[[#This Row],[Prior day close]]&lt;Table133[[#This Row],[PM LO]],(I119-K119)/(I119-Table133[[#This Row],[Prior day close]]),(I119-K119)/(I119-Table133[[#This Row],[PM LO]]))</f>
        <v>#DIV/0!</v>
      </c>
      <c r="AK119" s="48" t="e">
        <f>Table133[[#This Row],[Spike % on open before drop]]+AL119</f>
        <v>#DIV/0!</v>
      </c>
      <c r="AL119" s="16" t="e">
        <f>(I119-K119)/I119</f>
        <v>#DIV/0!</v>
      </c>
      <c r="AM119" s="18" t="e">
        <f>IF($J119&gt;=$F119,($J119-$K119)/($J119),(IF($H119&lt;=$K119,($F119-$H119)/($F119),(Table133[[#This Row],[PM Hi]]-Table133[[#This Row],[Lowest lo from open to squeeze]])/(Table133[[#This Row],[PM Hi]]))))</f>
        <v>#DIV/0!</v>
      </c>
      <c r="AN119" s="48" t="e">
        <f>IF(Table133[[#This Row],[Prior day close]]&lt;=Table133[[#This Row],[PM LO]],IF($J119&gt;=$F119,($J119-$K119)/($J119-Table133[[#This Row],[Prior day close]]),(IF($H119&lt;=$K119,($F119-$H119)/($F119-Table133[[#This Row],[Prior day close]]),(Table133[[#This Row],[PM Hi]]-Table133[[#This Row],[Lowest lo from open to squeeze]])/(Table133[[#This Row],[PM Hi]]-Table133[[#This Row],[Prior day close]])))),IF($J119&gt;=$F119,($J119-$K119)/($J119-Table133[[#This Row],[PM LO]]),(IF($H119&lt;=$K119,($F119-$H119)/($F119-Table133[[#This Row],[PM LO]]),(Table133[[#This Row],[PM Hi]]-Table133[[#This Row],[Lowest lo from open to squeeze]])/(Table133[[#This Row],[PM Hi]]-Table133[[#This Row],[PM LO]])))))</f>
        <v>#DIV/0!</v>
      </c>
      <c r="AO119" s="18" t="e">
        <f>IF(J119&gt;=F119,(J119-K119)/(J119-D119),(IF(H119&lt;=K119,(F119-H119)/(F119-D119),(Table133[[#This Row],[PM Hi]]-Table133[[#This Row],[Lowest lo from open to squeeze]])/(Table133[[#This Row],[PM Hi]]-Table133[[#This Row],[Prior day close]]))))</f>
        <v>#DIV/0!</v>
      </c>
      <c r="AP119" s="17">
        <f>390+Table133[[#This Row],[Time until ideal entry point (mins) from open]]</f>
        <v>390</v>
      </c>
      <c r="AQ119" s="17">
        <f>Table133[[#This Row],[Time until ideal entry + 390 (6:30)]]+Table133[[#This Row],[Duration of frontside (mins)]]</f>
        <v>390</v>
      </c>
    </row>
    <row r="120" spans="1:43" x14ac:dyDescent="0.25">
      <c r="A120" s="24" t="s">
        <v>278</v>
      </c>
      <c r="B120" s="47">
        <v>44118</v>
      </c>
      <c r="C120" s="47" t="s">
        <v>178</v>
      </c>
      <c r="D120" s="12"/>
      <c r="E120" s="13"/>
      <c r="F120" s="12"/>
      <c r="G120" s="12"/>
      <c r="H120" s="12"/>
      <c r="I120" s="12"/>
      <c r="J120" s="12"/>
      <c r="K120" s="12"/>
      <c r="N120" s="13"/>
      <c r="P120" s="37"/>
      <c r="Q120" s="46"/>
      <c r="R120" s="37"/>
      <c r="S120" s="37"/>
      <c r="T120" s="37"/>
      <c r="U120" s="38"/>
      <c r="V120" s="46"/>
      <c r="W120" s="37"/>
      <c r="X120" s="46"/>
      <c r="Y120" s="41">
        <f>Table133[[#This Row],[Time until ideal entry + 390 (6:30)]]/(1440)</f>
        <v>0.27083333333333331</v>
      </c>
      <c r="Z120" s="18" t="e">
        <f>(F120-D120)/D120</f>
        <v>#DIV/0!</v>
      </c>
      <c r="AA120" s="18" t="e">
        <f>IF(Table133[[#This Row],[HOD AFTER PM HI]]&gt;=Table133[[#This Row],[PM Hi]],((Table133[[#This Row],[HOD AFTER PM HI]]-Table133[[#This Row],[Prior day close]])/Table133[[#This Row],[Prior day close]]),Table133[[#This Row],[Prior Close to PM Hi %]])</f>
        <v>#DIV/0!</v>
      </c>
      <c r="AB120" s="42" t="e">
        <f>(Table133[[#This Row],[Price at hi of squeeze]]-Table133[[#This Row],[MKT Open Price]])/Table133[[#This Row],[MKT Open Price]]</f>
        <v>#DIV/0!</v>
      </c>
      <c r="AC120" s="18" t="e">
        <f>(Table133[[#This Row],[Price at hi of squeeze]]-Table133[[#This Row],[PM Hi]])/Table133[[#This Row],[PM Hi]]</f>
        <v>#DIV/0!</v>
      </c>
      <c r="AD120" s="18"/>
      <c r="AE120" s="20" t="e">
        <f>Table133[[#This Row],[PM VOL]]/1000000/Table133[[#This Row],[FLOAT(M)]]</f>
        <v>#DIV/0!</v>
      </c>
      <c r="AF120" s="23" t="e">
        <f>(Table133[[#This Row],[Volume]]/1000000)/Table133[[#This Row],[FLOAT(M)]]</f>
        <v>#DIV/0!</v>
      </c>
      <c r="AH120" s="18" t="e">
        <f>(Table133[[#This Row],[PM Hi]]-Table133[[#This Row],[MKT Open Price]])/(Table133[[#This Row],[PM Hi]])</f>
        <v>#DIV/0!</v>
      </c>
      <c r="AI120" s="18" t="e">
        <f>IF(Table133[[#This Row],[PM LO]]&gt;Table133[[#This Row],[Prior day close]],(Table133[[#This Row],[PM Hi]]-Table133[[#This Row],[MKT Open Price]])/(Table133[[#This Row],[PM Hi]]-Table133[[#This Row],[Prior day close]]),(Table133[[#This Row],[PM Hi]]-Table133[[#This Row],[MKT Open Price]])/(Table133[[#This Row],[PM Hi]]-Table133[[#This Row],[PM LO]]))</f>
        <v>#DIV/0!</v>
      </c>
      <c r="AJ120" s="48" t="e">
        <f>IF(Table133[[#This Row],[Prior day close]]&lt;Table133[[#This Row],[PM LO]],(I120-K120)/(I120-Table133[[#This Row],[Prior day close]]),(I120-K120)/(I120-Table133[[#This Row],[PM LO]]))</f>
        <v>#DIV/0!</v>
      </c>
      <c r="AK120" s="48" t="e">
        <f>Table133[[#This Row],[Spike % on open before drop]]+AL120</f>
        <v>#DIV/0!</v>
      </c>
      <c r="AL120" s="16" t="e">
        <f>(I120-K120)/I120</f>
        <v>#DIV/0!</v>
      </c>
      <c r="AM120" s="18" t="e">
        <f>IF($J120&gt;=$F120,($J120-$K120)/($J120),(IF($H120&lt;=$K120,($F120-$H120)/($F120),(Table133[[#This Row],[PM Hi]]-Table133[[#This Row],[Lowest lo from open to squeeze]])/(Table133[[#This Row],[PM Hi]]))))</f>
        <v>#DIV/0!</v>
      </c>
      <c r="AN120" s="48" t="e">
        <f>IF(Table133[[#This Row],[Prior day close]]&lt;=Table133[[#This Row],[PM LO]],IF($J120&gt;=$F120,($J120-$K120)/($J120-Table133[[#This Row],[Prior day close]]),(IF($H120&lt;=$K120,($F120-$H120)/($F120-Table133[[#This Row],[Prior day close]]),(Table133[[#This Row],[PM Hi]]-Table133[[#This Row],[Lowest lo from open to squeeze]])/(Table133[[#This Row],[PM Hi]]-Table133[[#This Row],[Prior day close]])))),IF($J120&gt;=$F120,($J120-$K120)/($J120-Table133[[#This Row],[PM LO]]),(IF($H120&lt;=$K120,($F120-$H120)/($F120-Table133[[#This Row],[PM LO]]),(Table133[[#This Row],[PM Hi]]-Table133[[#This Row],[Lowest lo from open to squeeze]])/(Table133[[#This Row],[PM Hi]]-Table133[[#This Row],[PM LO]])))))</f>
        <v>#DIV/0!</v>
      </c>
      <c r="AO120" s="18" t="e">
        <f>IF(J120&gt;=F120,(J120-K120)/(J120-D120),(IF(H120&lt;=K120,(F120-H120)/(F120-D120),(Table133[[#This Row],[PM Hi]]-Table133[[#This Row],[Lowest lo from open to squeeze]])/(Table133[[#This Row],[PM Hi]]-Table133[[#This Row],[Prior day close]]))))</f>
        <v>#DIV/0!</v>
      </c>
      <c r="AP120" s="17">
        <f>390+Table133[[#This Row],[Time until ideal entry point (mins) from open]]</f>
        <v>390</v>
      </c>
      <c r="AQ120" s="17">
        <f>Table133[[#This Row],[Time until ideal entry + 390 (6:30)]]+Table133[[#This Row],[Duration of frontside (mins)]]</f>
        <v>390</v>
      </c>
    </row>
    <row r="121" spans="1:43" x14ac:dyDescent="0.25">
      <c r="A121" s="24" t="s">
        <v>278</v>
      </c>
      <c r="B121" s="47">
        <v>44180</v>
      </c>
      <c r="C121" s="47" t="s">
        <v>178</v>
      </c>
      <c r="D121" s="12"/>
      <c r="E121" s="13"/>
      <c r="F121" s="12"/>
      <c r="G121" s="12"/>
      <c r="H121" s="12"/>
      <c r="I121" s="12"/>
      <c r="J121" s="12"/>
      <c r="K121" s="12"/>
      <c r="N121" s="13"/>
      <c r="P121" s="37"/>
      <c r="Q121" s="46"/>
      <c r="R121" s="37"/>
      <c r="S121" s="37"/>
      <c r="T121" s="37"/>
      <c r="U121" s="38"/>
      <c r="V121" s="46"/>
      <c r="W121" s="37"/>
      <c r="X121" s="46"/>
      <c r="Y121" s="41">
        <f>Table133[[#This Row],[Time until ideal entry + 390 (6:30)]]/(1440)</f>
        <v>0.27083333333333331</v>
      </c>
      <c r="Z121" s="18" t="e">
        <f>(F121-D121)/D121</f>
        <v>#DIV/0!</v>
      </c>
      <c r="AA121" s="18" t="e">
        <f>IF(Table133[[#This Row],[HOD AFTER PM HI]]&gt;=Table133[[#This Row],[PM Hi]],((Table133[[#This Row],[HOD AFTER PM HI]]-Table133[[#This Row],[Prior day close]])/Table133[[#This Row],[Prior day close]]),Table133[[#This Row],[Prior Close to PM Hi %]])</f>
        <v>#DIV/0!</v>
      </c>
      <c r="AB121" s="42" t="e">
        <f>(Table133[[#This Row],[Price at hi of squeeze]]-Table133[[#This Row],[MKT Open Price]])/Table133[[#This Row],[MKT Open Price]]</f>
        <v>#DIV/0!</v>
      </c>
      <c r="AC121" s="18" t="e">
        <f>(Table133[[#This Row],[Price at hi of squeeze]]-Table133[[#This Row],[PM Hi]])/Table133[[#This Row],[PM Hi]]</f>
        <v>#DIV/0!</v>
      </c>
      <c r="AD121" s="18"/>
      <c r="AE121" s="20" t="e">
        <f>Table133[[#This Row],[PM VOL]]/1000000/Table133[[#This Row],[FLOAT(M)]]</f>
        <v>#DIV/0!</v>
      </c>
      <c r="AF121" s="23" t="e">
        <f>(Table133[[#This Row],[Volume]]/1000000)/Table133[[#This Row],[FLOAT(M)]]</f>
        <v>#DIV/0!</v>
      </c>
      <c r="AH121" s="18" t="e">
        <f>(Table133[[#This Row],[PM Hi]]-Table133[[#This Row],[MKT Open Price]])/(Table133[[#This Row],[PM Hi]])</f>
        <v>#DIV/0!</v>
      </c>
      <c r="AI121" s="18" t="e">
        <f>IF(Table133[[#This Row],[PM LO]]&gt;Table133[[#This Row],[Prior day close]],(Table133[[#This Row],[PM Hi]]-Table133[[#This Row],[MKT Open Price]])/(Table133[[#This Row],[PM Hi]]-Table133[[#This Row],[Prior day close]]),(Table133[[#This Row],[PM Hi]]-Table133[[#This Row],[MKT Open Price]])/(Table133[[#This Row],[PM Hi]]-Table133[[#This Row],[PM LO]]))</f>
        <v>#DIV/0!</v>
      </c>
      <c r="AJ121" s="48" t="e">
        <f>IF(Table133[[#This Row],[Prior day close]]&lt;Table133[[#This Row],[PM LO]],(I121-K121)/(I121-Table133[[#This Row],[Prior day close]]),(I121-K121)/(I121-Table133[[#This Row],[PM LO]]))</f>
        <v>#DIV/0!</v>
      </c>
      <c r="AK121" s="48" t="e">
        <f>Table133[[#This Row],[Spike % on open before drop]]+AL121</f>
        <v>#DIV/0!</v>
      </c>
      <c r="AL121" s="16" t="e">
        <f>(I121-K121)/I121</f>
        <v>#DIV/0!</v>
      </c>
      <c r="AM121" s="18" t="e">
        <f>IF($J121&gt;=$F121,($J121-$K121)/($J121),(IF($H121&lt;=$K121,($F121-$H121)/($F121),(Table133[[#This Row],[PM Hi]]-Table133[[#This Row],[Lowest lo from open to squeeze]])/(Table133[[#This Row],[PM Hi]]))))</f>
        <v>#DIV/0!</v>
      </c>
      <c r="AN121" s="48" t="e">
        <f>IF(Table133[[#This Row],[Prior day close]]&lt;=Table133[[#This Row],[PM LO]],IF($J121&gt;=$F121,($J121-$K121)/($J121-Table133[[#This Row],[Prior day close]]),(IF($H121&lt;=$K121,($F121-$H121)/($F121-Table133[[#This Row],[Prior day close]]),(Table133[[#This Row],[PM Hi]]-Table133[[#This Row],[Lowest lo from open to squeeze]])/(Table133[[#This Row],[PM Hi]]-Table133[[#This Row],[Prior day close]])))),IF($J121&gt;=$F121,($J121-$K121)/($J121-Table133[[#This Row],[PM LO]]),(IF($H121&lt;=$K121,($F121-$H121)/($F121-Table133[[#This Row],[PM LO]]),(Table133[[#This Row],[PM Hi]]-Table133[[#This Row],[Lowest lo from open to squeeze]])/(Table133[[#This Row],[PM Hi]]-Table133[[#This Row],[PM LO]])))))</f>
        <v>#DIV/0!</v>
      </c>
      <c r="AO121" s="18" t="e">
        <f>IF(J121&gt;=F121,(J121-K121)/(J121-D121),(IF(H121&lt;=K121,(F121-H121)/(F121-D121),(Table133[[#This Row],[PM Hi]]-Table133[[#This Row],[Lowest lo from open to squeeze]])/(Table133[[#This Row],[PM Hi]]-Table133[[#This Row],[Prior day close]]))))</f>
        <v>#DIV/0!</v>
      </c>
      <c r="AP121" s="17">
        <f>390+Table133[[#This Row],[Time until ideal entry point (mins) from open]]</f>
        <v>390</v>
      </c>
      <c r="AQ121" s="17">
        <f>Table133[[#This Row],[Time until ideal entry + 390 (6:30)]]+Table133[[#This Row],[Duration of frontside (mins)]]</f>
        <v>390</v>
      </c>
    </row>
    <row r="122" spans="1:43" x14ac:dyDescent="0.25">
      <c r="A122" s="24" t="s">
        <v>223</v>
      </c>
      <c r="B122" s="47">
        <v>43937</v>
      </c>
      <c r="C122" s="47" t="s">
        <v>364</v>
      </c>
      <c r="D122" s="12"/>
      <c r="E122" s="13"/>
      <c r="F122" s="12"/>
      <c r="G122" s="12"/>
      <c r="H122" s="12"/>
      <c r="I122" s="12"/>
      <c r="J122" s="12"/>
      <c r="K122" s="12"/>
      <c r="N122" s="13"/>
      <c r="P122" s="37"/>
      <c r="Q122" s="46"/>
      <c r="R122" s="37"/>
      <c r="S122" s="37"/>
      <c r="T122" s="37"/>
      <c r="U122" s="38"/>
      <c r="V122" s="46"/>
      <c r="W122" s="37"/>
      <c r="X122" s="46"/>
      <c r="Y122" s="41">
        <f>Table133[[#This Row],[Time until ideal entry + 390 (6:30)]]/(1440)</f>
        <v>0.27083333333333331</v>
      </c>
      <c r="Z122" s="18" t="e">
        <f>(F122-D122)/D122</f>
        <v>#DIV/0!</v>
      </c>
      <c r="AA122" s="18" t="e">
        <f>IF(Table133[[#This Row],[HOD AFTER PM HI]]&gt;=Table133[[#This Row],[PM Hi]],((Table133[[#This Row],[HOD AFTER PM HI]]-Table133[[#This Row],[Prior day close]])/Table133[[#This Row],[Prior day close]]),Table133[[#This Row],[Prior Close to PM Hi %]])</f>
        <v>#DIV/0!</v>
      </c>
      <c r="AB122" s="42" t="e">
        <f>(Table133[[#This Row],[Price at hi of squeeze]]-Table133[[#This Row],[MKT Open Price]])/Table133[[#This Row],[MKT Open Price]]</f>
        <v>#DIV/0!</v>
      </c>
      <c r="AC122" s="18" t="e">
        <f>(Table133[[#This Row],[Price at hi of squeeze]]-Table133[[#This Row],[PM Hi]])/Table133[[#This Row],[PM Hi]]</f>
        <v>#DIV/0!</v>
      </c>
      <c r="AD122" s="18"/>
      <c r="AE122" s="20" t="e">
        <f>Table133[[#This Row],[PM VOL]]/1000000/Table133[[#This Row],[FLOAT(M)]]</f>
        <v>#DIV/0!</v>
      </c>
      <c r="AF122" s="23" t="e">
        <f>(Table133[[#This Row],[Volume]]/1000000)/Table133[[#This Row],[FLOAT(M)]]</f>
        <v>#DIV/0!</v>
      </c>
      <c r="AH122" s="18" t="e">
        <f>(Table133[[#This Row],[PM Hi]]-Table133[[#This Row],[MKT Open Price]])/(Table133[[#This Row],[PM Hi]])</f>
        <v>#DIV/0!</v>
      </c>
      <c r="AI122" s="18" t="e">
        <f>IF(Table133[[#This Row],[PM LO]]&gt;Table133[[#This Row],[Prior day close]],(Table133[[#This Row],[PM Hi]]-Table133[[#This Row],[MKT Open Price]])/(Table133[[#This Row],[PM Hi]]-Table133[[#This Row],[Prior day close]]),(Table133[[#This Row],[PM Hi]]-Table133[[#This Row],[MKT Open Price]])/(Table133[[#This Row],[PM Hi]]-Table133[[#This Row],[PM LO]]))</f>
        <v>#DIV/0!</v>
      </c>
      <c r="AJ122" s="48" t="e">
        <f>IF(Table133[[#This Row],[Prior day close]]&lt;Table133[[#This Row],[PM LO]],(I122-K122)/(I122-Table133[[#This Row],[Prior day close]]),(I122-K122)/(I122-Table133[[#This Row],[PM LO]]))</f>
        <v>#DIV/0!</v>
      </c>
      <c r="AK122" s="48" t="e">
        <f>Table133[[#This Row],[Spike % on open before drop]]+AL122</f>
        <v>#DIV/0!</v>
      </c>
      <c r="AL122" s="16" t="e">
        <f>(I122-K122)/I122</f>
        <v>#DIV/0!</v>
      </c>
      <c r="AM122" s="18" t="e">
        <f>IF($J122&gt;=$F122,($J122-$K122)/($J122),(IF($H122&lt;=$K122,($F122-$H122)/($F122),(Table133[[#This Row],[PM Hi]]-Table133[[#This Row],[Lowest lo from open to squeeze]])/(Table133[[#This Row],[PM Hi]]))))</f>
        <v>#DIV/0!</v>
      </c>
      <c r="AN122" s="48" t="e">
        <f>IF(Table133[[#This Row],[Prior day close]]&lt;=Table133[[#This Row],[PM LO]],IF($J122&gt;=$F122,($J122-$K122)/($J122-Table133[[#This Row],[Prior day close]]),(IF($H122&lt;=$K122,($F122-$H122)/($F122-Table133[[#This Row],[Prior day close]]),(Table133[[#This Row],[PM Hi]]-Table133[[#This Row],[Lowest lo from open to squeeze]])/(Table133[[#This Row],[PM Hi]]-Table133[[#This Row],[Prior day close]])))),IF($J122&gt;=$F122,($J122-$K122)/($J122-Table133[[#This Row],[PM LO]]),(IF($H122&lt;=$K122,($F122-$H122)/($F122-Table133[[#This Row],[PM LO]]),(Table133[[#This Row],[PM Hi]]-Table133[[#This Row],[Lowest lo from open to squeeze]])/(Table133[[#This Row],[PM Hi]]-Table133[[#This Row],[PM LO]])))))</f>
        <v>#DIV/0!</v>
      </c>
      <c r="AO122" s="18" t="e">
        <f>IF(J122&gt;=F122,(J122-K122)/(J122-D122),(IF(H122&lt;=K122,(F122-H122)/(F122-D122),(Table133[[#This Row],[PM Hi]]-Table133[[#This Row],[Lowest lo from open to squeeze]])/(Table133[[#This Row],[PM Hi]]-Table133[[#This Row],[Prior day close]]))))</f>
        <v>#DIV/0!</v>
      </c>
      <c r="AP122" s="17">
        <f>390+Table133[[#This Row],[Time until ideal entry point (mins) from open]]</f>
        <v>390</v>
      </c>
      <c r="AQ122" s="17">
        <f>Table133[[#This Row],[Time until ideal entry + 390 (6:30)]]+Table133[[#This Row],[Duration of frontside (mins)]]</f>
        <v>390</v>
      </c>
    </row>
    <row r="123" spans="1:43" x14ac:dyDescent="0.25">
      <c r="A123" s="24" t="s">
        <v>242</v>
      </c>
      <c r="B123" s="47">
        <v>43999</v>
      </c>
      <c r="C123" s="47" t="s">
        <v>178</v>
      </c>
      <c r="D123" s="12"/>
      <c r="E123" s="13"/>
      <c r="F123" s="12"/>
      <c r="G123" s="12"/>
      <c r="H123" s="12"/>
      <c r="I123" s="12"/>
      <c r="J123" s="12"/>
      <c r="K123" s="12"/>
      <c r="N123" s="13"/>
      <c r="P123" s="37"/>
      <c r="Q123" s="46"/>
      <c r="R123" s="37"/>
      <c r="S123" s="37"/>
      <c r="T123" s="37"/>
      <c r="U123" s="38"/>
      <c r="V123" s="46"/>
      <c r="W123" s="37"/>
      <c r="X123" s="46"/>
      <c r="Y123" s="41">
        <f>Table133[[#This Row],[Time until ideal entry + 390 (6:30)]]/(1440)</f>
        <v>0.27083333333333331</v>
      </c>
      <c r="Z123" s="18" t="e">
        <f>(F123-D123)/D123</f>
        <v>#DIV/0!</v>
      </c>
      <c r="AA123" s="18" t="e">
        <f>IF(Table133[[#This Row],[HOD AFTER PM HI]]&gt;=Table133[[#This Row],[PM Hi]],((Table133[[#This Row],[HOD AFTER PM HI]]-Table133[[#This Row],[Prior day close]])/Table133[[#This Row],[Prior day close]]),Table133[[#This Row],[Prior Close to PM Hi %]])</f>
        <v>#DIV/0!</v>
      </c>
      <c r="AB123" s="42" t="e">
        <f>(Table133[[#This Row],[Price at hi of squeeze]]-Table133[[#This Row],[MKT Open Price]])/Table133[[#This Row],[MKT Open Price]]</f>
        <v>#DIV/0!</v>
      </c>
      <c r="AC123" s="18" t="e">
        <f>(Table133[[#This Row],[Price at hi of squeeze]]-Table133[[#This Row],[PM Hi]])/Table133[[#This Row],[PM Hi]]</f>
        <v>#DIV/0!</v>
      </c>
      <c r="AD123" s="18"/>
      <c r="AE123" s="20" t="e">
        <f>Table133[[#This Row],[PM VOL]]/1000000/Table133[[#This Row],[FLOAT(M)]]</f>
        <v>#DIV/0!</v>
      </c>
      <c r="AF123" s="23" t="e">
        <f>(Table133[[#This Row],[Volume]]/1000000)/Table133[[#This Row],[FLOAT(M)]]</f>
        <v>#DIV/0!</v>
      </c>
      <c r="AH123" s="18" t="e">
        <f>(Table133[[#This Row],[PM Hi]]-Table133[[#This Row],[MKT Open Price]])/(Table133[[#This Row],[PM Hi]])</f>
        <v>#DIV/0!</v>
      </c>
      <c r="AI123" s="18" t="e">
        <f>IF(Table133[[#This Row],[PM LO]]&gt;Table133[[#This Row],[Prior day close]],(Table133[[#This Row],[PM Hi]]-Table133[[#This Row],[MKT Open Price]])/(Table133[[#This Row],[PM Hi]]-Table133[[#This Row],[Prior day close]]),(Table133[[#This Row],[PM Hi]]-Table133[[#This Row],[MKT Open Price]])/(Table133[[#This Row],[PM Hi]]-Table133[[#This Row],[PM LO]]))</f>
        <v>#DIV/0!</v>
      </c>
      <c r="AJ123" s="48" t="e">
        <f>IF(Table133[[#This Row],[Prior day close]]&lt;Table133[[#This Row],[PM LO]],(I123-K123)/(I123-Table133[[#This Row],[Prior day close]]),(I123-K123)/(I123-Table133[[#This Row],[PM LO]]))</f>
        <v>#DIV/0!</v>
      </c>
      <c r="AK123" s="48" t="e">
        <f>Table133[[#This Row],[Spike % on open before drop]]+AL123</f>
        <v>#DIV/0!</v>
      </c>
      <c r="AL123" s="16" t="e">
        <f>(I123-K123)/I123</f>
        <v>#DIV/0!</v>
      </c>
      <c r="AM123" s="18" t="e">
        <f>IF($J123&gt;=$F123,($J123-$K123)/($J123),(IF($H123&lt;=$K123,($F123-$H123)/($F123),(Table133[[#This Row],[PM Hi]]-Table133[[#This Row],[Lowest lo from open to squeeze]])/(Table133[[#This Row],[PM Hi]]))))</f>
        <v>#DIV/0!</v>
      </c>
      <c r="AN123" s="48" t="e">
        <f>IF(Table133[[#This Row],[Prior day close]]&lt;=Table133[[#This Row],[PM LO]],IF($J123&gt;=$F123,($J123-$K123)/($J123-Table133[[#This Row],[Prior day close]]),(IF($H123&lt;=$K123,($F123-$H123)/($F123-Table133[[#This Row],[Prior day close]]),(Table133[[#This Row],[PM Hi]]-Table133[[#This Row],[Lowest lo from open to squeeze]])/(Table133[[#This Row],[PM Hi]]-Table133[[#This Row],[Prior day close]])))),IF($J123&gt;=$F123,($J123-$K123)/($J123-Table133[[#This Row],[PM LO]]),(IF($H123&lt;=$K123,($F123-$H123)/($F123-Table133[[#This Row],[PM LO]]),(Table133[[#This Row],[PM Hi]]-Table133[[#This Row],[Lowest lo from open to squeeze]])/(Table133[[#This Row],[PM Hi]]-Table133[[#This Row],[PM LO]])))))</f>
        <v>#DIV/0!</v>
      </c>
      <c r="AO123" s="18" t="e">
        <f>IF(J123&gt;=F123,(J123-K123)/(J123-D123),(IF(H123&lt;=K123,(F123-H123)/(F123-D123),(Table133[[#This Row],[PM Hi]]-Table133[[#This Row],[Lowest lo from open to squeeze]])/(Table133[[#This Row],[PM Hi]]-Table133[[#This Row],[Prior day close]]))))</f>
        <v>#DIV/0!</v>
      </c>
      <c r="AP123" s="17">
        <f>390+Table133[[#This Row],[Time until ideal entry point (mins) from open]]</f>
        <v>390</v>
      </c>
      <c r="AQ123" s="17">
        <f>Table133[[#This Row],[Time until ideal entry + 390 (6:30)]]+Table133[[#This Row],[Duration of frontside (mins)]]</f>
        <v>390</v>
      </c>
    </row>
    <row r="124" spans="1:43" x14ac:dyDescent="0.25">
      <c r="A124" s="24" t="s">
        <v>109</v>
      </c>
      <c r="B124" s="47">
        <v>43941</v>
      </c>
      <c r="C124" s="47" t="s">
        <v>364</v>
      </c>
      <c r="D124" s="12"/>
      <c r="E124" s="13"/>
      <c r="F124" s="12"/>
      <c r="G124" s="12"/>
      <c r="H124" s="12"/>
      <c r="I124" s="12"/>
      <c r="J124" s="12"/>
      <c r="K124" s="12"/>
      <c r="N124" s="13"/>
      <c r="P124" s="37"/>
      <c r="Q124" s="46"/>
      <c r="R124" s="37"/>
      <c r="S124" s="37"/>
      <c r="T124" s="37"/>
      <c r="U124" s="38"/>
      <c r="V124" s="46"/>
      <c r="W124" s="37"/>
      <c r="X124" s="46"/>
      <c r="Y124" s="41">
        <f>Table133[[#This Row],[Time until ideal entry + 390 (6:30)]]/(1440)</f>
        <v>0.27083333333333331</v>
      </c>
      <c r="Z124" s="18" t="e">
        <f>(F124-D124)/D124</f>
        <v>#DIV/0!</v>
      </c>
      <c r="AA124" s="18" t="e">
        <f>IF(Table133[[#This Row],[HOD AFTER PM HI]]&gt;=Table133[[#This Row],[PM Hi]],((Table133[[#This Row],[HOD AFTER PM HI]]-Table133[[#This Row],[Prior day close]])/Table133[[#This Row],[Prior day close]]),Table133[[#This Row],[Prior Close to PM Hi %]])</f>
        <v>#DIV/0!</v>
      </c>
      <c r="AB124" s="42" t="e">
        <f>(Table133[[#This Row],[Price at hi of squeeze]]-Table133[[#This Row],[MKT Open Price]])/Table133[[#This Row],[MKT Open Price]]</f>
        <v>#DIV/0!</v>
      </c>
      <c r="AC124" s="18" t="e">
        <f>(Table133[[#This Row],[Price at hi of squeeze]]-Table133[[#This Row],[PM Hi]])/Table133[[#This Row],[PM Hi]]</f>
        <v>#DIV/0!</v>
      </c>
      <c r="AD124" s="18"/>
      <c r="AE124" s="20" t="e">
        <f>Table133[[#This Row],[PM VOL]]/1000000/Table133[[#This Row],[FLOAT(M)]]</f>
        <v>#DIV/0!</v>
      </c>
      <c r="AF124" s="23" t="e">
        <f>(Table133[[#This Row],[Volume]]/1000000)/Table133[[#This Row],[FLOAT(M)]]</f>
        <v>#DIV/0!</v>
      </c>
      <c r="AH124" s="18" t="e">
        <f>(Table133[[#This Row],[PM Hi]]-Table133[[#This Row],[MKT Open Price]])/(Table133[[#This Row],[PM Hi]])</f>
        <v>#DIV/0!</v>
      </c>
      <c r="AI124" s="18" t="e">
        <f>IF(Table133[[#This Row],[PM LO]]&gt;Table133[[#This Row],[Prior day close]],(Table133[[#This Row],[PM Hi]]-Table133[[#This Row],[MKT Open Price]])/(Table133[[#This Row],[PM Hi]]-Table133[[#This Row],[Prior day close]]),(Table133[[#This Row],[PM Hi]]-Table133[[#This Row],[MKT Open Price]])/(Table133[[#This Row],[PM Hi]]-Table133[[#This Row],[PM LO]]))</f>
        <v>#DIV/0!</v>
      </c>
      <c r="AJ124" s="48" t="e">
        <f>IF(Table133[[#This Row],[Prior day close]]&lt;Table133[[#This Row],[PM LO]],(I124-K124)/(I124-Table133[[#This Row],[Prior day close]]),(I124-K124)/(I124-Table133[[#This Row],[PM LO]]))</f>
        <v>#DIV/0!</v>
      </c>
      <c r="AK124" s="48" t="e">
        <f>Table133[[#This Row],[Spike % on open before drop]]+AL124</f>
        <v>#DIV/0!</v>
      </c>
      <c r="AL124" s="16" t="e">
        <f>(I124-K124)/I124</f>
        <v>#DIV/0!</v>
      </c>
      <c r="AM124" s="18" t="e">
        <f>IF($J124&gt;=$F124,($J124-$K124)/($J124),(IF($H124&lt;=$K124,($F124-$H124)/($F124),(Table133[[#This Row],[PM Hi]]-Table133[[#This Row],[Lowest lo from open to squeeze]])/(Table133[[#This Row],[PM Hi]]))))</f>
        <v>#DIV/0!</v>
      </c>
      <c r="AN124" s="48" t="e">
        <f>IF(Table133[[#This Row],[Prior day close]]&lt;=Table133[[#This Row],[PM LO]],IF($J124&gt;=$F124,($J124-$K124)/($J124-Table133[[#This Row],[Prior day close]]),(IF($H124&lt;=$K124,($F124-$H124)/($F124-Table133[[#This Row],[Prior day close]]),(Table133[[#This Row],[PM Hi]]-Table133[[#This Row],[Lowest lo from open to squeeze]])/(Table133[[#This Row],[PM Hi]]-Table133[[#This Row],[Prior day close]])))),IF($J124&gt;=$F124,($J124-$K124)/($J124-Table133[[#This Row],[PM LO]]),(IF($H124&lt;=$K124,($F124-$H124)/($F124-Table133[[#This Row],[PM LO]]),(Table133[[#This Row],[PM Hi]]-Table133[[#This Row],[Lowest lo from open to squeeze]])/(Table133[[#This Row],[PM Hi]]-Table133[[#This Row],[PM LO]])))))</f>
        <v>#DIV/0!</v>
      </c>
      <c r="AO124" s="18" t="e">
        <f>IF(J124&gt;=F124,(J124-K124)/(J124-D124),(IF(H124&lt;=K124,(F124-H124)/(F124-D124),(Table133[[#This Row],[PM Hi]]-Table133[[#This Row],[Lowest lo from open to squeeze]])/(Table133[[#This Row],[PM Hi]]-Table133[[#This Row],[Prior day close]]))))</f>
        <v>#DIV/0!</v>
      </c>
      <c r="AP124" s="17">
        <f>390+Table133[[#This Row],[Time until ideal entry point (mins) from open]]</f>
        <v>390</v>
      </c>
      <c r="AQ124" s="17">
        <f>Table133[[#This Row],[Time until ideal entry + 390 (6:30)]]+Table133[[#This Row],[Duration of frontside (mins)]]</f>
        <v>390</v>
      </c>
    </row>
    <row r="125" spans="1:43" x14ac:dyDescent="0.25">
      <c r="A125" s="24" t="s">
        <v>227</v>
      </c>
      <c r="B125" s="47">
        <v>43944</v>
      </c>
      <c r="C125" s="47" t="s">
        <v>364</v>
      </c>
      <c r="D125" s="12"/>
      <c r="E125" s="13"/>
      <c r="F125" s="12"/>
      <c r="G125" s="12"/>
      <c r="H125" s="12"/>
      <c r="I125" s="12"/>
      <c r="J125" s="12"/>
      <c r="K125" s="12"/>
      <c r="N125" s="13"/>
      <c r="P125" s="37"/>
      <c r="Q125" s="46"/>
      <c r="R125" s="37"/>
      <c r="S125" s="37"/>
      <c r="T125" s="37"/>
      <c r="U125" s="38"/>
      <c r="V125" s="46"/>
      <c r="W125" s="37"/>
      <c r="X125" s="46"/>
      <c r="Y125" s="41">
        <f>Table133[[#This Row],[Time until ideal entry + 390 (6:30)]]/(1440)</f>
        <v>0.27083333333333331</v>
      </c>
      <c r="Z125" s="18" t="e">
        <f>(F125-D125)/D125</f>
        <v>#DIV/0!</v>
      </c>
      <c r="AA125" s="18" t="e">
        <f>IF(Table133[[#This Row],[HOD AFTER PM HI]]&gt;=Table133[[#This Row],[PM Hi]],((Table133[[#This Row],[HOD AFTER PM HI]]-Table133[[#This Row],[Prior day close]])/Table133[[#This Row],[Prior day close]]),Table133[[#This Row],[Prior Close to PM Hi %]])</f>
        <v>#DIV/0!</v>
      </c>
      <c r="AB125" s="42" t="e">
        <f>(Table133[[#This Row],[Price at hi of squeeze]]-Table133[[#This Row],[MKT Open Price]])/Table133[[#This Row],[MKT Open Price]]</f>
        <v>#DIV/0!</v>
      </c>
      <c r="AC125" s="18" t="e">
        <f>(Table133[[#This Row],[Price at hi of squeeze]]-Table133[[#This Row],[PM Hi]])/Table133[[#This Row],[PM Hi]]</f>
        <v>#DIV/0!</v>
      </c>
      <c r="AD125" s="18"/>
      <c r="AE125" s="20" t="e">
        <f>Table133[[#This Row],[PM VOL]]/1000000/Table133[[#This Row],[FLOAT(M)]]</f>
        <v>#DIV/0!</v>
      </c>
      <c r="AF125" s="23" t="e">
        <f>(Table133[[#This Row],[Volume]]/1000000)/Table133[[#This Row],[FLOAT(M)]]</f>
        <v>#DIV/0!</v>
      </c>
      <c r="AH125" s="18" t="e">
        <f>(Table133[[#This Row],[PM Hi]]-Table133[[#This Row],[MKT Open Price]])/(Table133[[#This Row],[PM Hi]])</f>
        <v>#DIV/0!</v>
      </c>
      <c r="AI125" s="18" t="e">
        <f>IF(Table133[[#This Row],[PM LO]]&gt;Table133[[#This Row],[Prior day close]],(Table133[[#This Row],[PM Hi]]-Table133[[#This Row],[MKT Open Price]])/(Table133[[#This Row],[PM Hi]]-Table133[[#This Row],[Prior day close]]),(Table133[[#This Row],[PM Hi]]-Table133[[#This Row],[MKT Open Price]])/(Table133[[#This Row],[PM Hi]]-Table133[[#This Row],[PM LO]]))</f>
        <v>#DIV/0!</v>
      </c>
      <c r="AJ125" s="48" t="e">
        <f>IF(Table133[[#This Row],[Prior day close]]&lt;Table133[[#This Row],[PM LO]],(I125-K125)/(I125-Table133[[#This Row],[Prior day close]]),(I125-K125)/(I125-Table133[[#This Row],[PM LO]]))</f>
        <v>#DIV/0!</v>
      </c>
      <c r="AK125" s="48" t="e">
        <f>Table133[[#This Row],[Spike % on open before drop]]+AL125</f>
        <v>#DIV/0!</v>
      </c>
      <c r="AL125" s="16" t="e">
        <f>(I125-K125)/I125</f>
        <v>#DIV/0!</v>
      </c>
      <c r="AM125" s="18" t="e">
        <f>IF($J125&gt;=$F125,($J125-$K125)/($J125),(IF($H125&lt;=$K125,($F125-$H125)/($F125),(Table133[[#This Row],[PM Hi]]-Table133[[#This Row],[Lowest lo from open to squeeze]])/(Table133[[#This Row],[PM Hi]]))))</f>
        <v>#DIV/0!</v>
      </c>
      <c r="AN125" s="48" t="e">
        <f>IF(Table133[[#This Row],[Prior day close]]&lt;=Table133[[#This Row],[PM LO]],IF($J125&gt;=$F125,($J125-$K125)/($J125-Table133[[#This Row],[Prior day close]]),(IF($H125&lt;=$K125,($F125-$H125)/($F125-Table133[[#This Row],[Prior day close]]),(Table133[[#This Row],[PM Hi]]-Table133[[#This Row],[Lowest lo from open to squeeze]])/(Table133[[#This Row],[PM Hi]]-Table133[[#This Row],[Prior day close]])))),IF($J125&gt;=$F125,($J125-$K125)/($J125-Table133[[#This Row],[PM LO]]),(IF($H125&lt;=$K125,($F125-$H125)/($F125-Table133[[#This Row],[PM LO]]),(Table133[[#This Row],[PM Hi]]-Table133[[#This Row],[Lowest lo from open to squeeze]])/(Table133[[#This Row],[PM Hi]]-Table133[[#This Row],[PM LO]])))))</f>
        <v>#DIV/0!</v>
      </c>
      <c r="AO125" s="18" t="e">
        <f>IF(J125&gt;=F125,(J125-K125)/(J125-D125),(IF(H125&lt;=K125,(F125-H125)/(F125-D125),(Table133[[#This Row],[PM Hi]]-Table133[[#This Row],[Lowest lo from open to squeeze]])/(Table133[[#This Row],[PM Hi]]-Table133[[#This Row],[Prior day close]]))))</f>
        <v>#DIV/0!</v>
      </c>
      <c r="AP125" s="17">
        <f>390+Table133[[#This Row],[Time until ideal entry point (mins) from open]]</f>
        <v>390</v>
      </c>
      <c r="AQ125" s="17">
        <f>Table133[[#This Row],[Time until ideal entry + 390 (6:30)]]+Table133[[#This Row],[Duration of frontside (mins)]]</f>
        <v>390</v>
      </c>
    </row>
    <row r="126" spans="1:43" x14ac:dyDescent="0.25">
      <c r="A126" s="24" t="s">
        <v>74</v>
      </c>
      <c r="B126" s="47">
        <v>43948</v>
      </c>
      <c r="C126" s="47" t="s">
        <v>364</v>
      </c>
      <c r="D126" s="12"/>
      <c r="E126" s="13"/>
      <c r="F126" s="12"/>
      <c r="G126" s="12"/>
      <c r="H126" s="12"/>
      <c r="I126" s="12"/>
      <c r="J126" s="12"/>
      <c r="K126" s="12"/>
      <c r="N126" s="13"/>
      <c r="P126" s="37"/>
      <c r="Q126" s="46"/>
      <c r="R126" s="37"/>
      <c r="S126" s="37"/>
      <c r="T126" s="37"/>
      <c r="U126" s="38"/>
      <c r="V126" s="46"/>
      <c r="W126" s="37"/>
      <c r="X126" s="46"/>
      <c r="Y126" s="41">
        <f>Table133[[#This Row],[Time until ideal entry + 390 (6:30)]]/(1440)</f>
        <v>0.27083333333333331</v>
      </c>
      <c r="Z126" s="18" t="e">
        <f>(F126-D126)/D126</f>
        <v>#DIV/0!</v>
      </c>
      <c r="AA126" s="18" t="e">
        <f>IF(Table133[[#This Row],[HOD AFTER PM HI]]&gt;=Table133[[#This Row],[PM Hi]],((Table133[[#This Row],[HOD AFTER PM HI]]-Table133[[#This Row],[Prior day close]])/Table133[[#This Row],[Prior day close]]),Table133[[#This Row],[Prior Close to PM Hi %]])</f>
        <v>#DIV/0!</v>
      </c>
      <c r="AB126" s="42" t="e">
        <f>(Table133[[#This Row],[Price at hi of squeeze]]-Table133[[#This Row],[MKT Open Price]])/Table133[[#This Row],[MKT Open Price]]</f>
        <v>#DIV/0!</v>
      </c>
      <c r="AC126" s="18" t="e">
        <f>(Table133[[#This Row],[Price at hi of squeeze]]-Table133[[#This Row],[PM Hi]])/Table133[[#This Row],[PM Hi]]</f>
        <v>#DIV/0!</v>
      </c>
      <c r="AD126" s="18"/>
      <c r="AE126" s="20" t="e">
        <f>Table133[[#This Row],[PM VOL]]/1000000/Table133[[#This Row],[FLOAT(M)]]</f>
        <v>#DIV/0!</v>
      </c>
      <c r="AF126" s="23" t="e">
        <f>(Table133[[#This Row],[Volume]]/1000000)/Table133[[#This Row],[FLOAT(M)]]</f>
        <v>#DIV/0!</v>
      </c>
      <c r="AH126" s="18" t="e">
        <f>(Table133[[#This Row],[PM Hi]]-Table133[[#This Row],[MKT Open Price]])/(Table133[[#This Row],[PM Hi]])</f>
        <v>#DIV/0!</v>
      </c>
      <c r="AI126" s="18" t="e">
        <f>IF(Table133[[#This Row],[PM LO]]&gt;Table133[[#This Row],[Prior day close]],(Table133[[#This Row],[PM Hi]]-Table133[[#This Row],[MKT Open Price]])/(Table133[[#This Row],[PM Hi]]-Table133[[#This Row],[Prior day close]]),(Table133[[#This Row],[PM Hi]]-Table133[[#This Row],[MKT Open Price]])/(Table133[[#This Row],[PM Hi]]-Table133[[#This Row],[PM LO]]))</f>
        <v>#DIV/0!</v>
      </c>
      <c r="AJ126" s="48" t="e">
        <f>IF(Table133[[#This Row],[Prior day close]]&lt;Table133[[#This Row],[PM LO]],(I126-K126)/(I126-Table133[[#This Row],[Prior day close]]),(I126-K126)/(I126-Table133[[#This Row],[PM LO]]))</f>
        <v>#DIV/0!</v>
      </c>
      <c r="AK126" s="48" t="e">
        <f>Table133[[#This Row],[Spike % on open before drop]]+AL126</f>
        <v>#DIV/0!</v>
      </c>
      <c r="AL126" s="16" t="e">
        <f>(I126-K126)/I126</f>
        <v>#DIV/0!</v>
      </c>
      <c r="AM126" s="18" t="e">
        <f>IF($J126&gt;=$F126,($J126-$K126)/($J126),(IF($H126&lt;=$K126,($F126-$H126)/($F126),(Table133[[#This Row],[PM Hi]]-Table133[[#This Row],[Lowest lo from open to squeeze]])/(Table133[[#This Row],[PM Hi]]))))</f>
        <v>#DIV/0!</v>
      </c>
      <c r="AN126" s="48" t="e">
        <f>IF(Table133[[#This Row],[Prior day close]]&lt;=Table133[[#This Row],[PM LO]],IF($J126&gt;=$F126,($J126-$K126)/($J126-Table133[[#This Row],[Prior day close]]),(IF($H126&lt;=$K126,($F126-$H126)/($F126-Table133[[#This Row],[Prior day close]]),(Table133[[#This Row],[PM Hi]]-Table133[[#This Row],[Lowest lo from open to squeeze]])/(Table133[[#This Row],[PM Hi]]-Table133[[#This Row],[Prior day close]])))),IF($J126&gt;=$F126,($J126-$K126)/($J126-Table133[[#This Row],[PM LO]]),(IF($H126&lt;=$K126,($F126-$H126)/($F126-Table133[[#This Row],[PM LO]]),(Table133[[#This Row],[PM Hi]]-Table133[[#This Row],[Lowest lo from open to squeeze]])/(Table133[[#This Row],[PM Hi]]-Table133[[#This Row],[PM LO]])))))</f>
        <v>#DIV/0!</v>
      </c>
      <c r="AO126" s="18" t="e">
        <f>IF(J126&gt;=F126,(J126-K126)/(J126-D126),(IF(H126&lt;=K126,(F126-H126)/(F126-D126),(Table133[[#This Row],[PM Hi]]-Table133[[#This Row],[Lowest lo from open to squeeze]])/(Table133[[#This Row],[PM Hi]]-Table133[[#This Row],[Prior day close]]))))</f>
        <v>#DIV/0!</v>
      </c>
      <c r="AP126" s="17">
        <f>390+Table133[[#This Row],[Time until ideal entry point (mins) from open]]</f>
        <v>390</v>
      </c>
      <c r="AQ126" s="17">
        <f>Table133[[#This Row],[Time until ideal entry + 390 (6:30)]]+Table133[[#This Row],[Duration of frontside (mins)]]</f>
        <v>390</v>
      </c>
    </row>
    <row r="127" spans="1:43" x14ac:dyDescent="0.25">
      <c r="A127" s="24" t="s">
        <v>271</v>
      </c>
      <c r="B127" s="47">
        <v>44102</v>
      </c>
      <c r="C127" s="47" t="s">
        <v>178</v>
      </c>
      <c r="D127" s="12"/>
      <c r="E127" s="13"/>
      <c r="F127" s="12"/>
      <c r="G127" s="12"/>
      <c r="H127" s="12"/>
      <c r="I127" s="12"/>
      <c r="J127" s="12"/>
      <c r="K127" s="12"/>
      <c r="N127" s="13"/>
      <c r="P127" s="37"/>
      <c r="Q127" s="46"/>
      <c r="R127" s="37"/>
      <c r="S127" s="37"/>
      <c r="T127" s="37"/>
      <c r="U127" s="38"/>
      <c r="V127" s="46"/>
      <c r="W127" s="37"/>
      <c r="X127" s="46"/>
      <c r="Y127" s="41">
        <f>Table133[[#This Row],[Time until ideal entry + 390 (6:30)]]/(1440)</f>
        <v>0.27083333333333331</v>
      </c>
      <c r="Z127" s="18" t="e">
        <f>(F127-D127)/D127</f>
        <v>#DIV/0!</v>
      </c>
      <c r="AA127" s="18" t="e">
        <f>IF(Table133[[#This Row],[HOD AFTER PM HI]]&gt;=Table133[[#This Row],[PM Hi]],((Table133[[#This Row],[HOD AFTER PM HI]]-Table133[[#This Row],[Prior day close]])/Table133[[#This Row],[Prior day close]]),Table133[[#This Row],[Prior Close to PM Hi %]])</f>
        <v>#DIV/0!</v>
      </c>
      <c r="AB127" s="42" t="e">
        <f>(Table133[[#This Row],[Price at hi of squeeze]]-Table133[[#This Row],[MKT Open Price]])/Table133[[#This Row],[MKT Open Price]]</f>
        <v>#DIV/0!</v>
      </c>
      <c r="AC127" s="18" t="e">
        <f>(Table133[[#This Row],[Price at hi of squeeze]]-Table133[[#This Row],[PM Hi]])/Table133[[#This Row],[PM Hi]]</f>
        <v>#DIV/0!</v>
      </c>
      <c r="AD127" s="18"/>
      <c r="AE127" s="20" t="e">
        <f>Table133[[#This Row],[PM VOL]]/1000000/Table133[[#This Row],[FLOAT(M)]]</f>
        <v>#DIV/0!</v>
      </c>
      <c r="AF127" s="23" t="e">
        <f>(Table133[[#This Row],[Volume]]/1000000)/Table133[[#This Row],[FLOAT(M)]]</f>
        <v>#DIV/0!</v>
      </c>
      <c r="AH127" s="18" t="e">
        <f>(Table133[[#This Row],[PM Hi]]-Table133[[#This Row],[MKT Open Price]])/(Table133[[#This Row],[PM Hi]])</f>
        <v>#DIV/0!</v>
      </c>
      <c r="AI127" s="18" t="e">
        <f>IF(Table133[[#This Row],[PM LO]]&gt;Table133[[#This Row],[Prior day close]],(Table133[[#This Row],[PM Hi]]-Table133[[#This Row],[MKT Open Price]])/(Table133[[#This Row],[PM Hi]]-Table133[[#This Row],[Prior day close]]),(Table133[[#This Row],[PM Hi]]-Table133[[#This Row],[MKT Open Price]])/(Table133[[#This Row],[PM Hi]]-Table133[[#This Row],[PM LO]]))</f>
        <v>#DIV/0!</v>
      </c>
      <c r="AJ127" s="48" t="e">
        <f>IF(Table133[[#This Row],[Prior day close]]&lt;Table133[[#This Row],[PM LO]],(I127-K127)/(I127-Table133[[#This Row],[Prior day close]]),(I127-K127)/(I127-Table133[[#This Row],[PM LO]]))</f>
        <v>#DIV/0!</v>
      </c>
      <c r="AK127" s="48" t="e">
        <f>Table133[[#This Row],[Spike % on open before drop]]+AL127</f>
        <v>#DIV/0!</v>
      </c>
      <c r="AL127" s="16" t="e">
        <f>(I127-K127)/I127</f>
        <v>#DIV/0!</v>
      </c>
      <c r="AM127" s="18" t="e">
        <f>IF($J127&gt;=$F127,($J127-$K127)/($J127),(IF($H127&lt;=$K127,($F127-$H127)/($F127),(Table133[[#This Row],[PM Hi]]-Table133[[#This Row],[Lowest lo from open to squeeze]])/(Table133[[#This Row],[PM Hi]]))))</f>
        <v>#DIV/0!</v>
      </c>
      <c r="AN127" s="48" t="e">
        <f>IF(Table133[[#This Row],[Prior day close]]&lt;=Table133[[#This Row],[PM LO]],IF($J127&gt;=$F127,($J127-$K127)/($J127-Table133[[#This Row],[Prior day close]]),(IF($H127&lt;=$K127,($F127-$H127)/($F127-Table133[[#This Row],[Prior day close]]),(Table133[[#This Row],[PM Hi]]-Table133[[#This Row],[Lowest lo from open to squeeze]])/(Table133[[#This Row],[PM Hi]]-Table133[[#This Row],[Prior day close]])))),IF($J127&gt;=$F127,($J127-$K127)/($J127-Table133[[#This Row],[PM LO]]),(IF($H127&lt;=$K127,($F127-$H127)/($F127-Table133[[#This Row],[PM LO]]),(Table133[[#This Row],[PM Hi]]-Table133[[#This Row],[Lowest lo from open to squeeze]])/(Table133[[#This Row],[PM Hi]]-Table133[[#This Row],[PM LO]])))))</f>
        <v>#DIV/0!</v>
      </c>
      <c r="AO127" s="18" t="e">
        <f>IF(J127&gt;=F127,(J127-K127)/(J127-D127),(IF(H127&lt;=K127,(F127-H127)/(F127-D127),(Table133[[#This Row],[PM Hi]]-Table133[[#This Row],[Lowest lo from open to squeeze]])/(Table133[[#This Row],[PM Hi]]-Table133[[#This Row],[Prior day close]]))))</f>
        <v>#DIV/0!</v>
      </c>
      <c r="AP127" s="17">
        <f>390+Table133[[#This Row],[Time until ideal entry point (mins) from open]]</f>
        <v>390</v>
      </c>
      <c r="AQ127" s="17">
        <f>Table133[[#This Row],[Time until ideal entry + 390 (6:30)]]+Table133[[#This Row],[Duration of frontside (mins)]]</f>
        <v>390</v>
      </c>
    </row>
    <row r="128" spans="1:43" x14ac:dyDescent="0.25">
      <c r="A128" s="24" t="s">
        <v>290</v>
      </c>
      <c r="B128" s="47">
        <v>44146</v>
      </c>
      <c r="C128" s="47" t="s">
        <v>178</v>
      </c>
      <c r="D128" s="12"/>
      <c r="E128" s="13"/>
      <c r="F128" s="12"/>
      <c r="G128" s="12"/>
      <c r="H128" s="12"/>
      <c r="I128" s="12"/>
      <c r="J128" s="12"/>
      <c r="K128" s="12"/>
      <c r="N128" s="13"/>
      <c r="P128" s="37"/>
      <c r="Q128" s="46"/>
      <c r="R128" s="37"/>
      <c r="S128" s="37"/>
      <c r="T128" s="37"/>
      <c r="U128" s="38"/>
      <c r="V128" s="46"/>
      <c r="W128" s="37"/>
      <c r="X128" s="46"/>
      <c r="Y128" s="41">
        <f>Table133[[#This Row],[Time until ideal entry + 390 (6:30)]]/(1440)</f>
        <v>0.27083333333333331</v>
      </c>
      <c r="Z128" s="18" t="e">
        <f>(F128-D128)/D128</f>
        <v>#DIV/0!</v>
      </c>
      <c r="AA128" s="18" t="e">
        <f>IF(Table133[[#This Row],[HOD AFTER PM HI]]&gt;=Table133[[#This Row],[PM Hi]],((Table133[[#This Row],[HOD AFTER PM HI]]-Table133[[#This Row],[Prior day close]])/Table133[[#This Row],[Prior day close]]),Table133[[#This Row],[Prior Close to PM Hi %]])</f>
        <v>#DIV/0!</v>
      </c>
      <c r="AB128" s="42" t="e">
        <f>(Table133[[#This Row],[Price at hi of squeeze]]-Table133[[#This Row],[MKT Open Price]])/Table133[[#This Row],[MKT Open Price]]</f>
        <v>#DIV/0!</v>
      </c>
      <c r="AC128" s="18" t="e">
        <f>(Table133[[#This Row],[Price at hi of squeeze]]-Table133[[#This Row],[PM Hi]])/Table133[[#This Row],[PM Hi]]</f>
        <v>#DIV/0!</v>
      </c>
      <c r="AD128" s="18"/>
      <c r="AE128" s="20" t="e">
        <f>Table133[[#This Row],[PM VOL]]/1000000/Table133[[#This Row],[FLOAT(M)]]</f>
        <v>#DIV/0!</v>
      </c>
      <c r="AF128" s="23" t="e">
        <f>(Table133[[#This Row],[Volume]]/1000000)/Table133[[#This Row],[FLOAT(M)]]</f>
        <v>#DIV/0!</v>
      </c>
      <c r="AH128" s="18" t="e">
        <f>(Table133[[#This Row],[PM Hi]]-Table133[[#This Row],[MKT Open Price]])/(Table133[[#This Row],[PM Hi]])</f>
        <v>#DIV/0!</v>
      </c>
      <c r="AI128" s="18" t="e">
        <f>IF(Table133[[#This Row],[PM LO]]&gt;Table133[[#This Row],[Prior day close]],(Table133[[#This Row],[PM Hi]]-Table133[[#This Row],[MKT Open Price]])/(Table133[[#This Row],[PM Hi]]-Table133[[#This Row],[Prior day close]]),(Table133[[#This Row],[PM Hi]]-Table133[[#This Row],[MKT Open Price]])/(Table133[[#This Row],[PM Hi]]-Table133[[#This Row],[PM LO]]))</f>
        <v>#DIV/0!</v>
      </c>
      <c r="AJ128" s="48" t="e">
        <f>IF(Table133[[#This Row],[Prior day close]]&lt;Table133[[#This Row],[PM LO]],(I128-K128)/(I128-Table133[[#This Row],[Prior day close]]),(I128-K128)/(I128-Table133[[#This Row],[PM LO]]))</f>
        <v>#DIV/0!</v>
      </c>
      <c r="AK128" s="48" t="e">
        <f>Table133[[#This Row],[Spike % on open before drop]]+AL128</f>
        <v>#DIV/0!</v>
      </c>
      <c r="AL128" s="16" t="e">
        <f>(I128-K128)/I128</f>
        <v>#DIV/0!</v>
      </c>
      <c r="AM128" s="18" t="e">
        <f>IF($J128&gt;=$F128,($J128-$K128)/($J128),(IF($H128&lt;=$K128,($F128-$H128)/($F128),(Table133[[#This Row],[PM Hi]]-Table133[[#This Row],[Lowest lo from open to squeeze]])/(Table133[[#This Row],[PM Hi]]))))</f>
        <v>#DIV/0!</v>
      </c>
      <c r="AN128" s="48" t="e">
        <f>IF(Table133[[#This Row],[Prior day close]]&lt;=Table133[[#This Row],[PM LO]],IF($J128&gt;=$F128,($J128-$K128)/($J128-Table133[[#This Row],[Prior day close]]),(IF($H128&lt;=$K128,($F128-$H128)/($F128-Table133[[#This Row],[Prior day close]]),(Table133[[#This Row],[PM Hi]]-Table133[[#This Row],[Lowest lo from open to squeeze]])/(Table133[[#This Row],[PM Hi]]-Table133[[#This Row],[Prior day close]])))),IF($J128&gt;=$F128,($J128-$K128)/($J128-Table133[[#This Row],[PM LO]]),(IF($H128&lt;=$K128,($F128-$H128)/($F128-Table133[[#This Row],[PM LO]]),(Table133[[#This Row],[PM Hi]]-Table133[[#This Row],[Lowest lo from open to squeeze]])/(Table133[[#This Row],[PM Hi]]-Table133[[#This Row],[PM LO]])))))</f>
        <v>#DIV/0!</v>
      </c>
      <c r="AO128" s="18" t="e">
        <f>IF(J128&gt;=F128,(J128-K128)/(J128-D128),(IF(H128&lt;=K128,(F128-H128)/(F128-D128),(Table133[[#This Row],[PM Hi]]-Table133[[#This Row],[Lowest lo from open to squeeze]])/(Table133[[#This Row],[PM Hi]]-Table133[[#This Row],[Prior day close]]))))</f>
        <v>#DIV/0!</v>
      </c>
      <c r="AP128" s="17">
        <f>390+Table133[[#This Row],[Time until ideal entry point (mins) from open]]</f>
        <v>390</v>
      </c>
      <c r="AQ128" s="17">
        <f>Table133[[#This Row],[Time until ideal entry + 390 (6:30)]]+Table133[[#This Row],[Duration of frontside (mins)]]</f>
        <v>390</v>
      </c>
    </row>
    <row r="129" spans="1:43" x14ac:dyDescent="0.25">
      <c r="A129" s="24" t="s">
        <v>252</v>
      </c>
      <c r="B129" s="47">
        <v>44039</v>
      </c>
      <c r="C129" s="47" t="s">
        <v>178</v>
      </c>
      <c r="D129" s="12"/>
      <c r="E129" s="13"/>
      <c r="F129" s="12"/>
      <c r="G129" s="12"/>
      <c r="H129" s="12"/>
      <c r="I129" s="12"/>
      <c r="J129" s="12"/>
      <c r="K129" s="12"/>
      <c r="N129" s="13"/>
      <c r="P129" s="37"/>
      <c r="Q129" s="46"/>
      <c r="R129" s="37"/>
      <c r="S129" s="37"/>
      <c r="T129" s="37"/>
      <c r="U129" s="38"/>
      <c r="V129" s="46"/>
      <c r="W129" s="37"/>
      <c r="X129" s="46"/>
      <c r="Y129" s="41">
        <f>Table133[[#This Row],[Time until ideal entry + 390 (6:30)]]/(1440)</f>
        <v>0.27083333333333331</v>
      </c>
      <c r="Z129" s="18" t="e">
        <f>(F129-D129)/D129</f>
        <v>#DIV/0!</v>
      </c>
      <c r="AA129" s="18" t="e">
        <f>IF(Table133[[#This Row],[HOD AFTER PM HI]]&gt;=Table133[[#This Row],[PM Hi]],((Table133[[#This Row],[HOD AFTER PM HI]]-Table133[[#This Row],[Prior day close]])/Table133[[#This Row],[Prior day close]]),Table133[[#This Row],[Prior Close to PM Hi %]])</f>
        <v>#DIV/0!</v>
      </c>
      <c r="AB129" s="42" t="e">
        <f>(Table133[[#This Row],[Price at hi of squeeze]]-Table133[[#This Row],[MKT Open Price]])/Table133[[#This Row],[MKT Open Price]]</f>
        <v>#DIV/0!</v>
      </c>
      <c r="AC129" s="18" t="e">
        <f>(Table133[[#This Row],[Price at hi of squeeze]]-Table133[[#This Row],[PM Hi]])/Table133[[#This Row],[PM Hi]]</f>
        <v>#DIV/0!</v>
      </c>
      <c r="AD129" s="18"/>
      <c r="AE129" s="20" t="e">
        <f>Table133[[#This Row],[PM VOL]]/1000000/Table133[[#This Row],[FLOAT(M)]]</f>
        <v>#DIV/0!</v>
      </c>
      <c r="AF129" s="23" t="e">
        <f>(Table133[[#This Row],[Volume]]/1000000)/Table133[[#This Row],[FLOAT(M)]]</f>
        <v>#DIV/0!</v>
      </c>
      <c r="AH129" s="18" t="e">
        <f>(Table133[[#This Row],[PM Hi]]-Table133[[#This Row],[MKT Open Price]])/(Table133[[#This Row],[PM Hi]])</f>
        <v>#DIV/0!</v>
      </c>
      <c r="AI129" s="18" t="e">
        <f>IF(Table133[[#This Row],[PM LO]]&gt;Table133[[#This Row],[Prior day close]],(Table133[[#This Row],[PM Hi]]-Table133[[#This Row],[MKT Open Price]])/(Table133[[#This Row],[PM Hi]]-Table133[[#This Row],[Prior day close]]),(Table133[[#This Row],[PM Hi]]-Table133[[#This Row],[MKT Open Price]])/(Table133[[#This Row],[PM Hi]]-Table133[[#This Row],[PM LO]]))</f>
        <v>#DIV/0!</v>
      </c>
      <c r="AJ129" s="48" t="e">
        <f>IF(Table133[[#This Row],[Prior day close]]&lt;Table133[[#This Row],[PM LO]],(I129-K129)/(I129-Table133[[#This Row],[Prior day close]]),(I129-K129)/(I129-Table133[[#This Row],[PM LO]]))</f>
        <v>#DIV/0!</v>
      </c>
      <c r="AK129" s="48" t="e">
        <f>Table133[[#This Row],[Spike % on open before drop]]+AL129</f>
        <v>#DIV/0!</v>
      </c>
      <c r="AL129" s="16" t="e">
        <f>(I129-K129)/I129</f>
        <v>#DIV/0!</v>
      </c>
      <c r="AM129" s="18" t="e">
        <f>IF($J129&gt;=$F129,($J129-$K129)/($J129),(IF($H129&lt;=$K129,($F129-$H129)/($F129),(Table133[[#This Row],[PM Hi]]-Table133[[#This Row],[Lowest lo from open to squeeze]])/(Table133[[#This Row],[PM Hi]]))))</f>
        <v>#DIV/0!</v>
      </c>
      <c r="AN129" s="48" t="e">
        <f>IF(Table133[[#This Row],[Prior day close]]&lt;=Table133[[#This Row],[PM LO]],IF($J129&gt;=$F129,($J129-$K129)/($J129-Table133[[#This Row],[Prior day close]]),(IF($H129&lt;=$K129,($F129-$H129)/($F129-Table133[[#This Row],[Prior day close]]),(Table133[[#This Row],[PM Hi]]-Table133[[#This Row],[Lowest lo from open to squeeze]])/(Table133[[#This Row],[PM Hi]]-Table133[[#This Row],[Prior day close]])))),IF($J129&gt;=$F129,($J129-$K129)/($J129-Table133[[#This Row],[PM LO]]),(IF($H129&lt;=$K129,($F129-$H129)/($F129-Table133[[#This Row],[PM LO]]),(Table133[[#This Row],[PM Hi]]-Table133[[#This Row],[Lowest lo from open to squeeze]])/(Table133[[#This Row],[PM Hi]]-Table133[[#This Row],[PM LO]])))))</f>
        <v>#DIV/0!</v>
      </c>
      <c r="AO129" s="18" t="e">
        <f>IF(J129&gt;=F129,(J129-K129)/(J129-D129),(IF(H129&lt;=K129,(F129-H129)/(F129-D129),(Table133[[#This Row],[PM Hi]]-Table133[[#This Row],[Lowest lo from open to squeeze]])/(Table133[[#This Row],[PM Hi]]-Table133[[#This Row],[Prior day close]]))))</f>
        <v>#DIV/0!</v>
      </c>
      <c r="AP129" s="17">
        <f>390+Table133[[#This Row],[Time until ideal entry point (mins) from open]]</f>
        <v>390</v>
      </c>
      <c r="AQ129" s="17">
        <f>Table133[[#This Row],[Time until ideal entry + 390 (6:30)]]+Table133[[#This Row],[Duration of frontside (mins)]]</f>
        <v>390</v>
      </c>
    </row>
    <row r="130" spans="1:43" x14ac:dyDescent="0.25">
      <c r="A130" s="24" t="s">
        <v>237</v>
      </c>
      <c r="B130" s="47">
        <v>43985</v>
      </c>
      <c r="C130" s="47" t="s">
        <v>178</v>
      </c>
      <c r="D130" s="12"/>
      <c r="E130" s="13"/>
      <c r="F130" s="12"/>
      <c r="G130" s="12"/>
      <c r="H130" s="12"/>
      <c r="I130" s="12"/>
      <c r="J130" s="12"/>
      <c r="K130" s="12"/>
      <c r="N130" s="13"/>
      <c r="P130" s="37"/>
      <c r="Q130" s="46"/>
      <c r="R130" s="37"/>
      <c r="S130" s="37"/>
      <c r="T130" s="37"/>
      <c r="U130" s="38"/>
      <c r="V130" s="46"/>
      <c r="W130" s="37"/>
      <c r="X130" s="46"/>
      <c r="Y130" s="41">
        <f>Table133[[#This Row],[Time until ideal entry + 390 (6:30)]]/(1440)</f>
        <v>0.27083333333333331</v>
      </c>
      <c r="Z130" s="18" t="e">
        <f>(F130-D130)/D130</f>
        <v>#DIV/0!</v>
      </c>
      <c r="AA130" s="18" t="e">
        <f>IF(Table133[[#This Row],[HOD AFTER PM HI]]&gt;=Table133[[#This Row],[PM Hi]],((Table133[[#This Row],[HOD AFTER PM HI]]-Table133[[#This Row],[Prior day close]])/Table133[[#This Row],[Prior day close]]),Table133[[#This Row],[Prior Close to PM Hi %]])</f>
        <v>#DIV/0!</v>
      </c>
      <c r="AB130" s="42" t="e">
        <f>(Table133[[#This Row],[Price at hi of squeeze]]-Table133[[#This Row],[MKT Open Price]])/Table133[[#This Row],[MKT Open Price]]</f>
        <v>#DIV/0!</v>
      </c>
      <c r="AC130" s="18" t="e">
        <f>(Table133[[#This Row],[Price at hi of squeeze]]-Table133[[#This Row],[PM Hi]])/Table133[[#This Row],[PM Hi]]</f>
        <v>#DIV/0!</v>
      </c>
      <c r="AD130" s="18"/>
      <c r="AE130" s="20" t="e">
        <f>Table133[[#This Row],[PM VOL]]/1000000/Table133[[#This Row],[FLOAT(M)]]</f>
        <v>#DIV/0!</v>
      </c>
      <c r="AF130" s="23" t="e">
        <f>(Table133[[#This Row],[Volume]]/1000000)/Table133[[#This Row],[FLOAT(M)]]</f>
        <v>#DIV/0!</v>
      </c>
      <c r="AH130" s="18" t="e">
        <f>(Table133[[#This Row],[PM Hi]]-Table133[[#This Row],[MKT Open Price]])/(Table133[[#This Row],[PM Hi]])</f>
        <v>#DIV/0!</v>
      </c>
      <c r="AI130" s="18" t="e">
        <f>IF(Table133[[#This Row],[PM LO]]&gt;Table133[[#This Row],[Prior day close]],(Table133[[#This Row],[PM Hi]]-Table133[[#This Row],[MKT Open Price]])/(Table133[[#This Row],[PM Hi]]-Table133[[#This Row],[Prior day close]]),(Table133[[#This Row],[PM Hi]]-Table133[[#This Row],[MKT Open Price]])/(Table133[[#This Row],[PM Hi]]-Table133[[#This Row],[PM LO]]))</f>
        <v>#DIV/0!</v>
      </c>
      <c r="AJ130" s="48" t="e">
        <f>IF(Table133[[#This Row],[Prior day close]]&lt;Table133[[#This Row],[PM LO]],(I130-K130)/(I130-Table133[[#This Row],[Prior day close]]),(I130-K130)/(I130-Table133[[#This Row],[PM LO]]))</f>
        <v>#DIV/0!</v>
      </c>
      <c r="AK130" s="48" t="e">
        <f>Table133[[#This Row],[Spike % on open before drop]]+AL130</f>
        <v>#DIV/0!</v>
      </c>
      <c r="AL130" s="16" t="e">
        <f>(I130-K130)/I130</f>
        <v>#DIV/0!</v>
      </c>
      <c r="AM130" s="18" t="e">
        <f>IF($J130&gt;=$F130,($J130-$K130)/($J130),(IF($H130&lt;=$K130,($F130-$H130)/($F130),(Table133[[#This Row],[PM Hi]]-Table133[[#This Row],[Lowest lo from open to squeeze]])/(Table133[[#This Row],[PM Hi]]))))</f>
        <v>#DIV/0!</v>
      </c>
      <c r="AN130" s="48" t="e">
        <f>IF(Table133[[#This Row],[Prior day close]]&lt;=Table133[[#This Row],[PM LO]],IF($J130&gt;=$F130,($J130-$K130)/($J130-Table133[[#This Row],[Prior day close]]),(IF($H130&lt;=$K130,($F130-$H130)/($F130-Table133[[#This Row],[Prior day close]]),(Table133[[#This Row],[PM Hi]]-Table133[[#This Row],[Lowest lo from open to squeeze]])/(Table133[[#This Row],[PM Hi]]-Table133[[#This Row],[Prior day close]])))),IF($J130&gt;=$F130,($J130-$K130)/($J130-Table133[[#This Row],[PM LO]]),(IF($H130&lt;=$K130,($F130-$H130)/($F130-Table133[[#This Row],[PM LO]]),(Table133[[#This Row],[PM Hi]]-Table133[[#This Row],[Lowest lo from open to squeeze]])/(Table133[[#This Row],[PM Hi]]-Table133[[#This Row],[PM LO]])))))</f>
        <v>#DIV/0!</v>
      </c>
      <c r="AO130" s="18" t="e">
        <f>IF(J130&gt;=F130,(J130-K130)/(J130-D130),(IF(H130&lt;=K130,(F130-H130)/(F130-D130),(Table133[[#This Row],[PM Hi]]-Table133[[#This Row],[Lowest lo from open to squeeze]])/(Table133[[#This Row],[PM Hi]]-Table133[[#This Row],[Prior day close]]))))</f>
        <v>#DIV/0!</v>
      </c>
      <c r="AP130" s="17">
        <f>390+Table133[[#This Row],[Time until ideal entry point (mins) from open]]</f>
        <v>390</v>
      </c>
      <c r="AQ130" s="17">
        <f>Table133[[#This Row],[Time until ideal entry + 390 (6:30)]]+Table133[[#This Row],[Duration of frontside (mins)]]</f>
        <v>390</v>
      </c>
    </row>
    <row r="131" spans="1:43" x14ac:dyDescent="0.25">
      <c r="A131" s="24" t="s">
        <v>240</v>
      </c>
      <c r="B131" s="47">
        <v>43992</v>
      </c>
      <c r="C131" s="47" t="s">
        <v>364</v>
      </c>
      <c r="D131" s="12"/>
      <c r="E131" s="13"/>
      <c r="F131" s="12"/>
      <c r="G131" s="12"/>
      <c r="H131" s="12"/>
      <c r="I131" s="12"/>
      <c r="J131" s="12"/>
      <c r="K131" s="12"/>
      <c r="N131" s="13"/>
      <c r="P131" s="37"/>
      <c r="Q131" s="46"/>
      <c r="R131" s="37"/>
      <c r="S131" s="37"/>
      <c r="T131" s="37"/>
      <c r="U131" s="38"/>
      <c r="V131" s="46"/>
      <c r="W131" s="37"/>
      <c r="X131" s="46"/>
      <c r="Y131" s="41">
        <f>Table133[[#This Row],[Time until ideal entry + 390 (6:30)]]/(1440)</f>
        <v>0.27083333333333331</v>
      </c>
      <c r="Z131" s="18" t="e">
        <f>(F131-D131)/D131</f>
        <v>#DIV/0!</v>
      </c>
      <c r="AA131" s="18" t="e">
        <f>IF(Table133[[#This Row],[HOD AFTER PM HI]]&gt;=Table133[[#This Row],[PM Hi]],((Table133[[#This Row],[HOD AFTER PM HI]]-Table133[[#This Row],[Prior day close]])/Table133[[#This Row],[Prior day close]]),Table133[[#This Row],[Prior Close to PM Hi %]])</f>
        <v>#DIV/0!</v>
      </c>
      <c r="AB131" s="42" t="e">
        <f>(Table133[[#This Row],[Price at hi of squeeze]]-Table133[[#This Row],[MKT Open Price]])/Table133[[#This Row],[MKT Open Price]]</f>
        <v>#DIV/0!</v>
      </c>
      <c r="AC131" s="18" t="e">
        <f>(Table133[[#This Row],[Price at hi of squeeze]]-Table133[[#This Row],[PM Hi]])/Table133[[#This Row],[PM Hi]]</f>
        <v>#DIV/0!</v>
      </c>
      <c r="AD131" s="18"/>
      <c r="AE131" s="20" t="e">
        <f>Table133[[#This Row],[PM VOL]]/1000000/Table133[[#This Row],[FLOAT(M)]]</f>
        <v>#DIV/0!</v>
      </c>
      <c r="AF131" s="23" t="e">
        <f>(Table133[[#This Row],[Volume]]/1000000)/Table133[[#This Row],[FLOAT(M)]]</f>
        <v>#DIV/0!</v>
      </c>
      <c r="AH131" s="18" t="e">
        <f>(Table133[[#This Row],[PM Hi]]-Table133[[#This Row],[MKT Open Price]])/(Table133[[#This Row],[PM Hi]])</f>
        <v>#DIV/0!</v>
      </c>
      <c r="AI131" s="18" t="e">
        <f>IF(Table133[[#This Row],[PM LO]]&gt;Table133[[#This Row],[Prior day close]],(Table133[[#This Row],[PM Hi]]-Table133[[#This Row],[MKT Open Price]])/(Table133[[#This Row],[PM Hi]]-Table133[[#This Row],[Prior day close]]),(Table133[[#This Row],[PM Hi]]-Table133[[#This Row],[MKT Open Price]])/(Table133[[#This Row],[PM Hi]]-Table133[[#This Row],[PM LO]]))</f>
        <v>#DIV/0!</v>
      </c>
      <c r="AJ131" s="48" t="e">
        <f>IF(Table133[[#This Row],[Prior day close]]&lt;Table133[[#This Row],[PM LO]],(I131-K131)/(I131-Table133[[#This Row],[Prior day close]]),(I131-K131)/(I131-Table133[[#This Row],[PM LO]]))</f>
        <v>#DIV/0!</v>
      </c>
      <c r="AK131" s="48" t="e">
        <f>Table133[[#This Row],[Spike % on open before drop]]+AL131</f>
        <v>#DIV/0!</v>
      </c>
      <c r="AL131" s="16" t="e">
        <f>(I131-K131)/I131</f>
        <v>#DIV/0!</v>
      </c>
      <c r="AM131" s="18" t="e">
        <f>IF($J131&gt;=$F131,($J131-$K131)/($J131),(IF($H131&lt;=$K131,($F131-$H131)/($F131),(Table133[[#This Row],[PM Hi]]-Table133[[#This Row],[Lowest lo from open to squeeze]])/(Table133[[#This Row],[PM Hi]]))))</f>
        <v>#DIV/0!</v>
      </c>
      <c r="AN131" s="48" t="e">
        <f>IF(Table133[[#This Row],[Prior day close]]&lt;=Table133[[#This Row],[PM LO]],IF($J131&gt;=$F131,($J131-$K131)/($J131-Table133[[#This Row],[Prior day close]]),(IF($H131&lt;=$K131,($F131-$H131)/($F131-Table133[[#This Row],[Prior day close]]),(Table133[[#This Row],[PM Hi]]-Table133[[#This Row],[Lowest lo from open to squeeze]])/(Table133[[#This Row],[PM Hi]]-Table133[[#This Row],[Prior day close]])))),IF($J131&gt;=$F131,($J131-$K131)/($J131-Table133[[#This Row],[PM LO]]),(IF($H131&lt;=$K131,($F131-$H131)/($F131-Table133[[#This Row],[PM LO]]),(Table133[[#This Row],[PM Hi]]-Table133[[#This Row],[Lowest lo from open to squeeze]])/(Table133[[#This Row],[PM Hi]]-Table133[[#This Row],[PM LO]])))))</f>
        <v>#DIV/0!</v>
      </c>
      <c r="AO131" s="18" t="e">
        <f>IF(J131&gt;=F131,(J131-K131)/(J131-D131),(IF(H131&lt;=K131,(F131-H131)/(F131-D131),(Table133[[#This Row],[PM Hi]]-Table133[[#This Row],[Lowest lo from open to squeeze]])/(Table133[[#This Row],[PM Hi]]-Table133[[#This Row],[Prior day close]]))))</f>
        <v>#DIV/0!</v>
      </c>
      <c r="AP131" s="17">
        <f>390+Table133[[#This Row],[Time until ideal entry point (mins) from open]]</f>
        <v>390</v>
      </c>
      <c r="AQ131" s="17">
        <f>Table133[[#This Row],[Time until ideal entry + 390 (6:30)]]+Table133[[#This Row],[Duration of frontside (mins)]]</f>
        <v>390</v>
      </c>
    </row>
    <row r="132" spans="1:43" x14ac:dyDescent="0.25">
      <c r="A132" s="24" t="s">
        <v>228</v>
      </c>
      <c r="B132" s="47">
        <v>43951</v>
      </c>
      <c r="C132" s="47" t="s">
        <v>178</v>
      </c>
      <c r="D132" s="12"/>
      <c r="E132" s="13"/>
      <c r="F132" s="12"/>
      <c r="G132" s="12"/>
      <c r="H132" s="12"/>
      <c r="I132" s="12"/>
      <c r="J132" s="12"/>
      <c r="K132" s="12"/>
      <c r="N132" s="13"/>
      <c r="P132" s="37"/>
      <c r="Q132" s="46"/>
      <c r="R132" s="37"/>
      <c r="S132" s="37"/>
      <c r="T132" s="37"/>
      <c r="U132" s="38"/>
      <c r="V132" s="46"/>
      <c r="W132" s="37"/>
      <c r="X132" s="46"/>
      <c r="Y132" s="41">
        <f>Table133[[#This Row],[Time until ideal entry + 390 (6:30)]]/(1440)</f>
        <v>0.27083333333333331</v>
      </c>
      <c r="Z132" s="18" t="e">
        <f>(F132-D132)/D132</f>
        <v>#DIV/0!</v>
      </c>
      <c r="AA132" s="18" t="e">
        <f>IF(Table133[[#This Row],[HOD AFTER PM HI]]&gt;=Table133[[#This Row],[PM Hi]],((Table133[[#This Row],[HOD AFTER PM HI]]-Table133[[#This Row],[Prior day close]])/Table133[[#This Row],[Prior day close]]),Table133[[#This Row],[Prior Close to PM Hi %]])</f>
        <v>#DIV/0!</v>
      </c>
      <c r="AB132" s="42" t="e">
        <f>(Table133[[#This Row],[Price at hi of squeeze]]-Table133[[#This Row],[MKT Open Price]])/Table133[[#This Row],[MKT Open Price]]</f>
        <v>#DIV/0!</v>
      </c>
      <c r="AC132" s="18" t="e">
        <f>(Table133[[#This Row],[Price at hi of squeeze]]-Table133[[#This Row],[PM Hi]])/Table133[[#This Row],[PM Hi]]</f>
        <v>#DIV/0!</v>
      </c>
      <c r="AD132" s="18"/>
      <c r="AE132" s="20" t="e">
        <f>Table133[[#This Row],[PM VOL]]/1000000/Table133[[#This Row],[FLOAT(M)]]</f>
        <v>#DIV/0!</v>
      </c>
      <c r="AF132" s="23" t="e">
        <f>(Table133[[#This Row],[Volume]]/1000000)/Table133[[#This Row],[FLOAT(M)]]</f>
        <v>#DIV/0!</v>
      </c>
      <c r="AH132" s="18" t="e">
        <f>(Table133[[#This Row],[PM Hi]]-Table133[[#This Row],[MKT Open Price]])/(Table133[[#This Row],[PM Hi]])</f>
        <v>#DIV/0!</v>
      </c>
      <c r="AI132" s="18" t="e">
        <f>IF(Table133[[#This Row],[PM LO]]&gt;Table133[[#This Row],[Prior day close]],(Table133[[#This Row],[PM Hi]]-Table133[[#This Row],[MKT Open Price]])/(Table133[[#This Row],[PM Hi]]-Table133[[#This Row],[Prior day close]]),(Table133[[#This Row],[PM Hi]]-Table133[[#This Row],[MKT Open Price]])/(Table133[[#This Row],[PM Hi]]-Table133[[#This Row],[PM LO]]))</f>
        <v>#DIV/0!</v>
      </c>
      <c r="AJ132" s="48" t="e">
        <f>IF(Table133[[#This Row],[Prior day close]]&lt;Table133[[#This Row],[PM LO]],(I132-K132)/(I132-Table133[[#This Row],[Prior day close]]),(I132-K132)/(I132-Table133[[#This Row],[PM LO]]))</f>
        <v>#DIV/0!</v>
      </c>
      <c r="AK132" s="48" t="e">
        <f>Table133[[#This Row],[Spike % on open before drop]]+AL132</f>
        <v>#DIV/0!</v>
      </c>
      <c r="AL132" s="16" t="e">
        <f>(I132-K132)/I132</f>
        <v>#DIV/0!</v>
      </c>
      <c r="AM132" s="18" t="e">
        <f>IF($J132&gt;=$F132,($J132-$K132)/($J132),(IF($H132&lt;=$K132,($F132-$H132)/($F132),(Table133[[#This Row],[PM Hi]]-Table133[[#This Row],[Lowest lo from open to squeeze]])/(Table133[[#This Row],[PM Hi]]))))</f>
        <v>#DIV/0!</v>
      </c>
      <c r="AN132" s="48" t="e">
        <f>IF(Table133[[#This Row],[Prior day close]]&lt;=Table133[[#This Row],[PM LO]],IF($J132&gt;=$F132,($J132-$K132)/($J132-Table133[[#This Row],[Prior day close]]),(IF($H132&lt;=$K132,($F132-$H132)/($F132-Table133[[#This Row],[Prior day close]]),(Table133[[#This Row],[PM Hi]]-Table133[[#This Row],[Lowest lo from open to squeeze]])/(Table133[[#This Row],[PM Hi]]-Table133[[#This Row],[Prior day close]])))),IF($J132&gt;=$F132,($J132-$K132)/($J132-Table133[[#This Row],[PM LO]]),(IF($H132&lt;=$K132,($F132-$H132)/($F132-Table133[[#This Row],[PM LO]]),(Table133[[#This Row],[PM Hi]]-Table133[[#This Row],[Lowest lo from open to squeeze]])/(Table133[[#This Row],[PM Hi]]-Table133[[#This Row],[PM LO]])))))</f>
        <v>#DIV/0!</v>
      </c>
      <c r="AO132" s="18" t="e">
        <f>IF(J132&gt;=F132,(J132-K132)/(J132-D132),(IF(H132&lt;=K132,(F132-H132)/(F132-D132),(Table133[[#This Row],[PM Hi]]-Table133[[#This Row],[Lowest lo from open to squeeze]])/(Table133[[#This Row],[PM Hi]]-Table133[[#This Row],[Prior day close]]))))</f>
        <v>#DIV/0!</v>
      </c>
      <c r="AP132" s="17">
        <f>390+Table133[[#This Row],[Time until ideal entry point (mins) from open]]</f>
        <v>390</v>
      </c>
      <c r="AQ132" s="17">
        <f>Table133[[#This Row],[Time until ideal entry + 390 (6:30)]]+Table133[[#This Row],[Duration of frontside (mins)]]</f>
        <v>390</v>
      </c>
    </row>
    <row r="133" spans="1:43" x14ac:dyDescent="0.25">
      <c r="A133" s="24" t="s">
        <v>247</v>
      </c>
      <c r="B133" s="47">
        <v>44006</v>
      </c>
      <c r="C133" s="47" t="s">
        <v>364</v>
      </c>
      <c r="D133" s="12"/>
      <c r="E133" s="13"/>
      <c r="F133" s="12"/>
      <c r="G133" s="12"/>
      <c r="H133" s="12"/>
      <c r="I133" s="12"/>
      <c r="J133" s="12"/>
      <c r="K133" s="12"/>
      <c r="N133" s="13"/>
      <c r="P133" s="37"/>
      <c r="Q133" s="46"/>
      <c r="R133" s="37"/>
      <c r="S133" s="37"/>
      <c r="T133" s="37"/>
      <c r="U133" s="38"/>
      <c r="V133" s="46"/>
      <c r="W133" s="37"/>
      <c r="X133" s="46"/>
      <c r="Y133" s="41">
        <f>Table133[[#This Row],[Time until ideal entry + 390 (6:30)]]/(1440)</f>
        <v>0.27083333333333331</v>
      </c>
      <c r="Z133" s="18" t="e">
        <f>(F133-D133)/D133</f>
        <v>#DIV/0!</v>
      </c>
      <c r="AA133" s="18" t="e">
        <f>IF(Table133[[#This Row],[HOD AFTER PM HI]]&gt;=Table133[[#This Row],[PM Hi]],((Table133[[#This Row],[HOD AFTER PM HI]]-Table133[[#This Row],[Prior day close]])/Table133[[#This Row],[Prior day close]]),Table133[[#This Row],[Prior Close to PM Hi %]])</f>
        <v>#DIV/0!</v>
      </c>
      <c r="AB133" s="42" t="e">
        <f>(Table133[[#This Row],[Price at hi of squeeze]]-Table133[[#This Row],[MKT Open Price]])/Table133[[#This Row],[MKT Open Price]]</f>
        <v>#DIV/0!</v>
      </c>
      <c r="AC133" s="18" t="e">
        <f>(Table133[[#This Row],[Price at hi of squeeze]]-Table133[[#This Row],[PM Hi]])/Table133[[#This Row],[PM Hi]]</f>
        <v>#DIV/0!</v>
      </c>
      <c r="AD133" s="18"/>
      <c r="AE133" s="20" t="e">
        <f>Table133[[#This Row],[PM VOL]]/1000000/Table133[[#This Row],[FLOAT(M)]]</f>
        <v>#DIV/0!</v>
      </c>
      <c r="AF133" s="23" t="e">
        <f>(Table133[[#This Row],[Volume]]/1000000)/Table133[[#This Row],[FLOAT(M)]]</f>
        <v>#DIV/0!</v>
      </c>
      <c r="AH133" s="18" t="e">
        <f>(Table133[[#This Row],[PM Hi]]-Table133[[#This Row],[MKT Open Price]])/(Table133[[#This Row],[PM Hi]])</f>
        <v>#DIV/0!</v>
      </c>
      <c r="AI133" s="18" t="e">
        <f>IF(Table133[[#This Row],[PM LO]]&gt;Table133[[#This Row],[Prior day close]],(Table133[[#This Row],[PM Hi]]-Table133[[#This Row],[MKT Open Price]])/(Table133[[#This Row],[PM Hi]]-Table133[[#This Row],[Prior day close]]),(Table133[[#This Row],[PM Hi]]-Table133[[#This Row],[MKT Open Price]])/(Table133[[#This Row],[PM Hi]]-Table133[[#This Row],[PM LO]]))</f>
        <v>#DIV/0!</v>
      </c>
      <c r="AJ133" s="48" t="e">
        <f>IF(Table133[[#This Row],[Prior day close]]&lt;Table133[[#This Row],[PM LO]],(I133-K133)/(I133-Table133[[#This Row],[Prior day close]]),(I133-K133)/(I133-Table133[[#This Row],[PM LO]]))</f>
        <v>#DIV/0!</v>
      </c>
      <c r="AK133" s="48" t="e">
        <f>Table133[[#This Row],[Spike % on open before drop]]+AL133</f>
        <v>#DIV/0!</v>
      </c>
      <c r="AL133" s="16" t="e">
        <f>(I133-K133)/I133</f>
        <v>#DIV/0!</v>
      </c>
      <c r="AM133" s="18" t="e">
        <f>IF($J133&gt;=$F133,($J133-$K133)/($J133),(IF($H133&lt;=$K133,($F133-$H133)/($F133),(Table133[[#This Row],[PM Hi]]-Table133[[#This Row],[Lowest lo from open to squeeze]])/(Table133[[#This Row],[PM Hi]]))))</f>
        <v>#DIV/0!</v>
      </c>
      <c r="AN133" s="48" t="e">
        <f>IF(Table133[[#This Row],[Prior day close]]&lt;=Table133[[#This Row],[PM LO]],IF($J133&gt;=$F133,($J133-$K133)/($J133-Table133[[#This Row],[Prior day close]]),(IF($H133&lt;=$K133,($F133-$H133)/($F133-Table133[[#This Row],[Prior day close]]),(Table133[[#This Row],[PM Hi]]-Table133[[#This Row],[Lowest lo from open to squeeze]])/(Table133[[#This Row],[PM Hi]]-Table133[[#This Row],[Prior day close]])))),IF($J133&gt;=$F133,($J133-$K133)/($J133-Table133[[#This Row],[PM LO]]),(IF($H133&lt;=$K133,($F133-$H133)/($F133-Table133[[#This Row],[PM LO]]),(Table133[[#This Row],[PM Hi]]-Table133[[#This Row],[Lowest lo from open to squeeze]])/(Table133[[#This Row],[PM Hi]]-Table133[[#This Row],[PM LO]])))))</f>
        <v>#DIV/0!</v>
      </c>
      <c r="AO133" s="18" t="e">
        <f>IF(J133&gt;=F133,(J133-K133)/(J133-D133),(IF(H133&lt;=K133,(F133-H133)/(F133-D133),(Table133[[#This Row],[PM Hi]]-Table133[[#This Row],[Lowest lo from open to squeeze]])/(Table133[[#This Row],[PM Hi]]-Table133[[#This Row],[Prior day close]]))))</f>
        <v>#DIV/0!</v>
      </c>
      <c r="AP133" s="17">
        <f>390+Table133[[#This Row],[Time until ideal entry point (mins) from open]]</f>
        <v>390</v>
      </c>
      <c r="AQ133" s="17">
        <f>Table133[[#This Row],[Time until ideal entry + 390 (6:30)]]+Table133[[#This Row],[Duration of frontside (mins)]]</f>
        <v>390</v>
      </c>
    </row>
    <row r="134" spans="1:43" x14ac:dyDescent="0.25">
      <c r="A134" s="24" t="s">
        <v>250</v>
      </c>
      <c r="B134" s="47">
        <v>44033</v>
      </c>
      <c r="C134" s="47" t="s">
        <v>364</v>
      </c>
      <c r="D134" s="12"/>
      <c r="E134" s="13"/>
      <c r="F134" s="12"/>
      <c r="G134" s="12"/>
      <c r="H134" s="12"/>
      <c r="I134" s="12"/>
      <c r="J134" s="12"/>
      <c r="K134" s="12"/>
      <c r="N134" s="13"/>
      <c r="P134" s="37"/>
      <c r="Q134" s="46"/>
      <c r="R134" s="37"/>
      <c r="S134" s="37"/>
      <c r="T134" s="37"/>
      <c r="U134" s="38"/>
      <c r="V134" s="46"/>
      <c r="W134" s="37"/>
      <c r="X134" s="46"/>
      <c r="Y134" s="41">
        <f>Table133[[#This Row],[Time until ideal entry + 390 (6:30)]]/(1440)</f>
        <v>0.27083333333333331</v>
      </c>
      <c r="Z134" s="18" t="e">
        <f>(F134-D134)/D134</f>
        <v>#DIV/0!</v>
      </c>
      <c r="AA134" s="18" t="e">
        <f>IF(Table133[[#This Row],[HOD AFTER PM HI]]&gt;=Table133[[#This Row],[PM Hi]],((Table133[[#This Row],[HOD AFTER PM HI]]-Table133[[#This Row],[Prior day close]])/Table133[[#This Row],[Prior day close]]),Table133[[#This Row],[Prior Close to PM Hi %]])</f>
        <v>#DIV/0!</v>
      </c>
      <c r="AB134" s="42" t="e">
        <f>(Table133[[#This Row],[Price at hi of squeeze]]-Table133[[#This Row],[MKT Open Price]])/Table133[[#This Row],[MKT Open Price]]</f>
        <v>#DIV/0!</v>
      </c>
      <c r="AC134" s="18" t="e">
        <f>(Table133[[#This Row],[Price at hi of squeeze]]-Table133[[#This Row],[PM Hi]])/Table133[[#This Row],[PM Hi]]</f>
        <v>#DIV/0!</v>
      </c>
      <c r="AD134" s="18"/>
      <c r="AE134" s="20" t="e">
        <f>Table133[[#This Row],[PM VOL]]/1000000/Table133[[#This Row],[FLOAT(M)]]</f>
        <v>#DIV/0!</v>
      </c>
      <c r="AF134" s="23" t="e">
        <f>(Table133[[#This Row],[Volume]]/1000000)/Table133[[#This Row],[FLOAT(M)]]</f>
        <v>#DIV/0!</v>
      </c>
      <c r="AH134" s="18" t="e">
        <f>(Table133[[#This Row],[PM Hi]]-Table133[[#This Row],[MKT Open Price]])/(Table133[[#This Row],[PM Hi]])</f>
        <v>#DIV/0!</v>
      </c>
      <c r="AI134" s="18" t="e">
        <f>IF(Table133[[#This Row],[PM LO]]&gt;Table133[[#This Row],[Prior day close]],(Table133[[#This Row],[PM Hi]]-Table133[[#This Row],[MKT Open Price]])/(Table133[[#This Row],[PM Hi]]-Table133[[#This Row],[Prior day close]]),(Table133[[#This Row],[PM Hi]]-Table133[[#This Row],[MKT Open Price]])/(Table133[[#This Row],[PM Hi]]-Table133[[#This Row],[PM LO]]))</f>
        <v>#DIV/0!</v>
      </c>
      <c r="AJ134" s="48" t="e">
        <f>IF(Table133[[#This Row],[Prior day close]]&lt;Table133[[#This Row],[PM LO]],(I134-K134)/(I134-Table133[[#This Row],[Prior day close]]),(I134-K134)/(I134-Table133[[#This Row],[PM LO]]))</f>
        <v>#DIV/0!</v>
      </c>
      <c r="AK134" s="48" t="e">
        <f>Table133[[#This Row],[Spike % on open before drop]]+AL134</f>
        <v>#DIV/0!</v>
      </c>
      <c r="AL134" s="16" t="e">
        <f>(I134-K134)/I134</f>
        <v>#DIV/0!</v>
      </c>
      <c r="AM134" s="18" t="e">
        <f>IF($J134&gt;=$F134,($J134-$K134)/($J134),(IF($H134&lt;=$K134,($F134-$H134)/($F134),(Table133[[#This Row],[PM Hi]]-Table133[[#This Row],[Lowest lo from open to squeeze]])/(Table133[[#This Row],[PM Hi]]))))</f>
        <v>#DIV/0!</v>
      </c>
      <c r="AN134" s="48" t="e">
        <f>IF(Table133[[#This Row],[Prior day close]]&lt;=Table133[[#This Row],[PM LO]],IF($J134&gt;=$F134,($J134-$K134)/($J134-Table133[[#This Row],[Prior day close]]),(IF($H134&lt;=$K134,($F134-$H134)/($F134-Table133[[#This Row],[Prior day close]]),(Table133[[#This Row],[PM Hi]]-Table133[[#This Row],[Lowest lo from open to squeeze]])/(Table133[[#This Row],[PM Hi]]-Table133[[#This Row],[Prior day close]])))),IF($J134&gt;=$F134,($J134-$K134)/($J134-Table133[[#This Row],[PM LO]]),(IF($H134&lt;=$K134,($F134-$H134)/($F134-Table133[[#This Row],[PM LO]]),(Table133[[#This Row],[PM Hi]]-Table133[[#This Row],[Lowest lo from open to squeeze]])/(Table133[[#This Row],[PM Hi]]-Table133[[#This Row],[PM LO]])))))</f>
        <v>#DIV/0!</v>
      </c>
      <c r="AO134" s="18" t="e">
        <f>IF(J134&gt;=F134,(J134-K134)/(J134-D134),(IF(H134&lt;=K134,(F134-H134)/(F134-D134),(Table133[[#This Row],[PM Hi]]-Table133[[#This Row],[Lowest lo from open to squeeze]])/(Table133[[#This Row],[PM Hi]]-Table133[[#This Row],[Prior day close]]))))</f>
        <v>#DIV/0!</v>
      </c>
      <c r="AP134" s="17">
        <f>390+Table133[[#This Row],[Time until ideal entry point (mins) from open]]</f>
        <v>390</v>
      </c>
      <c r="AQ134" s="17">
        <f>Table133[[#This Row],[Time until ideal entry + 390 (6:30)]]+Table133[[#This Row],[Duration of frontside (mins)]]</f>
        <v>390</v>
      </c>
    </row>
    <row r="135" spans="1:43" x14ac:dyDescent="0.25">
      <c r="A135" s="24" t="s">
        <v>251</v>
      </c>
      <c r="B135" s="47">
        <v>44033</v>
      </c>
      <c r="C135" s="47" t="s">
        <v>364</v>
      </c>
      <c r="D135" s="12"/>
      <c r="E135" s="13"/>
      <c r="F135" s="12"/>
      <c r="G135" s="12"/>
      <c r="H135" s="12"/>
      <c r="I135" s="12"/>
      <c r="J135" s="12"/>
      <c r="K135" s="12"/>
      <c r="N135" s="13"/>
      <c r="P135" s="37"/>
      <c r="Q135" s="46"/>
      <c r="R135" s="37"/>
      <c r="S135" s="37"/>
      <c r="T135" s="37"/>
      <c r="U135" s="38"/>
      <c r="V135" s="46"/>
      <c r="W135" s="37"/>
      <c r="X135" s="46"/>
      <c r="Y135" s="41">
        <f>Table133[[#This Row],[Time until ideal entry + 390 (6:30)]]/(1440)</f>
        <v>0.27083333333333331</v>
      </c>
      <c r="Z135" s="18" t="e">
        <f>(F135-D135)/D135</f>
        <v>#DIV/0!</v>
      </c>
      <c r="AA135" s="18" t="e">
        <f>IF(Table133[[#This Row],[HOD AFTER PM HI]]&gt;=Table133[[#This Row],[PM Hi]],((Table133[[#This Row],[HOD AFTER PM HI]]-Table133[[#This Row],[Prior day close]])/Table133[[#This Row],[Prior day close]]),Table133[[#This Row],[Prior Close to PM Hi %]])</f>
        <v>#DIV/0!</v>
      </c>
      <c r="AB135" s="42" t="e">
        <f>(Table133[[#This Row],[Price at hi of squeeze]]-Table133[[#This Row],[MKT Open Price]])/Table133[[#This Row],[MKT Open Price]]</f>
        <v>#DIV/0!</v>
      </c>
      <c r="AC135" s="18" t="e">
        <f>(Table133[[#This Row],[Price at hi of squeeze]]-Table133[[#This Row],[PM Hi]])/Table133[[#This Row],[PM Hi]]</f>
        <v>#DIV/0!</v>
      </c>
      <c r="AD135" s="18"/>
      <c r="AE135" s="20" t="e">
        <f>Table133[[#This Row],[PM VOL]]/1000000/Table133[[#This Row],[FLOAT(M)]]</f>
        <v>#DIV/0!</v>
      </c>
      <c r="AF135" s="23" t="e">
        <f>(Table133[[#This Row],[Volume]]/1000000)/Table133[[#This Row],[FLOAT(M)]]</f>
        <v>#DIV/0!</v>
      </c>
      <c r="AH135" s="18" t="e">
        <f>(Table133[[#This Row],[PM Hi]]-Table133[[#This Row],[MKT Open Price]])/(Table133[[#This Row],[PM Hi]])</f>
        <v>#DIV/0!</v>
      </c>
      <c r="AI135" s="18" t="e">
        <f>IF(Table133[[#This Row],[PM LO]]&gt;Table133[[#This Row],[Prior day close]],(Table133[[#This Row],[PM Hi]]-Table133[[#This Row],[MKT Open Price]])/(Table133[[#This Row],[PM Hi]]-Table133[[#This Row],[Prior day close]]),(Table133[[#This Row],[PM Hi]]-Table133[[#This Row],[MKT Open Price]])/(Table133[[#This Row],[PM Hi]]-Table133[[#This Row],[PM LO]]))</f>
        <v>#DIV/0!</v>
      </c>
      <c r="AJ135" s="48" t="e">
        <f>IF(Table133[[#This Row],[Prior day close]]&lt;Table133[[#This Row],[PM LO]],(I135-K135)/(I135-Table133[[#This Row],[Prior day close]]),(I135-K135)/(I135-Table133[[#This Row],[PM LO]]))</f>
        <v>#DIV/0!</v>
      </c>
      <c r="AK135" s="48" t="e">
        <f>Table133[[#This Row],[Spike % on open before drop]]+AL135</f>
        <v>#DIV/0!</v>
      </c>
      <c r="AL135" s="16" t="e">
        <f>(I135-K135)/I135</f>
        <v>#DIV/0!</v>
      </c>
      <c r="AM135" s="18" t="e">
        <f>IF($J135&gt;=$F135,($J135-$K135)/($J135),(IF($H135&lt;=$K135,($F135-$H135)/($F135),(Table133[[#This Row],[PM Hi]]-Table133[[#This Row],[Lowest lo from open to squeeze]])/(Table133[[#This Row],[PM Hi]]))))</f>
        <v>#DIV/0!</v>
      </c>
      <c r="AN135" s="48" t="e">
        <f>IF(Table133[[#This Row],[Prior day close]]&lt;=Table133[[#This Row],[PM LO]],IF($J135&gt;=$F135,($J135-$K135)/($J135-Table133[[#This Row],[Prior day close]]),(IF($H135&lt;=$K135,($F135-$H135)/($F135-Table133[[#This Row],[Prior day close]]),(Table133[[#This Row],[PM Hi]]-Table133[[#This Row],[Lowest lo from open to squeeze]])/(Table133[[#This Row],[PM Hi]]-Table133[[#This Row],[Prior day close]])))),IF($J135&gt;=$F135,($J135-$K135)/($J135-Table133[[#This Row],[PM LO]]),(IF($H135&lt;=$K135,($F135-$H135)/($F135-Table133[[#This Row],[PM LO]]),(Table133[[#This Row],[PM Hi]]-Table133[[#This Row],[Lowest lo from open to squeeze]])/(Table133[[#This Row],[PM Hi]]-Table133[[#This Row],[PM LO]])))))</f>
        <v>#DIV/0!</v>
      </c>
      <c r="AO135" s="18" t="e">
        <f>IF(J135&gt;=F135,(J135-K135)/(J135-D135),(IF(H135&lt;=K135,(F135-H135)/(F135-D135),(Table133[[#This Row],[PM Hi]]-Table133[[#This Row],[Lowest lo from open to squeeze]])/(Table133[[#This Row],[PM Hi]]-Table133[[#This Row],[Prior day close]]))))</f>
        <v>#DIV/0!</v>
      </c>
      <c r="AP135" s="17">
        <f>390+Table133[[#This Row],[Time until ideal entry point (mins) from open]]</f>
        <v>390</v>
      </c>
      <c r="AQ135" s="17">
        <f>Table133[[#This Row],[Time until ideal entry + 390 (6:30)]]+Table133[[#This Row],[Duration of frontside (mins)]]</f>
        <v>390</v>
      </c>
    </row>
    <row r="136" spans="1:43" x14ac:dyDescent="0.25">
      <c r="A136" s="24" t="s">
        <v>253</v>
      </c>
      <c r="B136" s="47">
        <v>44041</v>
      </c>
      <c r="C136" s="47" t="s">
        <v>364</v>
      </c>
      <c r="D136" s="12"/>
      <c r="E136" s="13"/>
      <c r="F136" s="12"/>
      <c r="G136" s="12"/>
      <c r="H136" s="12"/>
      <c r="I136" s="12"/>
      <c r="J136" s="12"/>
      <c r="K136" s="12"/>
      <c r="N136" s="13"/>
      <c r="P136" s="37"/>
      <c r="Q136" s="46"/>
      <c r="R136" s="37"/>
      <c r="S136" s="37"/>
      <c r="T136" s="37"/>
      <c r="U136" s="38"/>
      <c r="V136" s="46"/>
      <c r="W136" s="37"/>
      <c r="X136" s="46"/>
      <c r="Y136" s="41">
        <f>Table133[[#This Row],[Time until ideal entry + 390 (6:30)]]/(1440)</f>
        <v>0.27083333333333331</v>
      </c>
      <c r="Z136" s="18" t="e">
        <f>(F136-D136)/D136</f>
        <v>#DIV/0!</v>
      </c>
      <c r="AA136" s="18" t="e">
        <f>IF(Table133[[#This Row],[HOD AFTER PM HI]]&gt;=Table133[[#This Row],[PM Hi]],((Table133[[#This Row],[HOD AFTER PM HI]]-Table133[[#This Row],[Prior day close]])/Table133[[#This Row],[Prior day close]]),Table133[[#This Row],[Prior Close to PM Hi %]])</f>
        <v>#DIV/0!</v>
      </c>
      <c r="AB136" s="42" t="e">
        <f>(Table133[[#This Row],[Price at hi of squeeze]]-Table133[[#This Row],[MKT Open Price]])/Table133[[#This Row],[MKT Open Price]]</f>
        <v>#DIV/0!</v>
      </c>
      <c r="AC136" s="18" t="e">
        <f>(Table133[[#This Row],[Price at hi of squeeze]]-Table133[[#This Row],[PM Hi]])/Table133[[#This Row],[PM Hi]]</f>
        <v>#DIV/0!</v>
      </c>
      <c r="AD136" s="18"/>
      <c r="AE136" s="20" t="e">
        <f>Table133[[#This Row],[PM VOL]]/1000000/Table133[[#This Row],[FLOAT(M)]]</f>
        <v>#DIV/0!</v>
      </c>
      <c r="AF136" s="23" t="e">
        <f>(Table133[[#This Row],[Volume]]/1000000)/Table133[[#This Row],[FLOAT(M)]]</f>
        <v>#DIV/0!</v>
      </c>
      <c r="AH136" s="18" t="e">
        <f>(Table133[[#This Row],[PM Hi]]-Table133[[#This Row],[MKT Open Price]])/(Table133[[#This Row],[PM Hi]])</f>
        <v>#DIV/0!</v>
      </c>
      <c r="AI136" s="18" t="e">
        <f>IF(Table133[[#This Row],[PM LO]]&gt;Table133[[#This Row],[Prior day close]],(Table133[[#This Row],[PM Hi]]-Table133[[#This Row],[MKT Open Price]])/(Table133[[#This Row],[PM Hi]]-Table133[[#This Row],[Prior day close]]),(Table133[[#This Row],[PM Hi]]-Table133[[#This Row],[MKT Open Price]])/(Table133[[#This Row],[PM Hi]]-Table133[[#This Row],[PM LO]]))</f>
        <v>#DIV/0!</v>
      </c>
      <c r="AJ136" s="48" t="e">
        <f>IF(Table133[[#This Row],[Prior day close]]&lt;Table133[[#This Row],[PM LO]],(I136-K136)/(I136-Table133[[#This Row],[Prior day close]]),(I136-K136)/(I136-Table133[[#This Row],[PM LO]]))</f>
        <v>#DIV/0!</v>
      </c>
      <c r="AK136" s="48" t="e">
        <f>Table133[[#This Row],[Spike % on open before drop]]+AL136</f>
        <v>#DIV/0!</v>
      </c>
      <c r="AL136" s="16" t="e">
        <f>(I136-K136)/I136</f>
        <v>#DIV/0!</v>
      </c>
      <c r="AM136" s="18" t="e">
        <f>IF($J136&gt;=$F136,($J136-$K136)/($J136),(IF($H136&lt;=$K136,($F136-$H136)/($F136),(Table133[[#This Row],[PM Hi]]-Table133[[#This Row],[Lowest lo from open to squeeze]])/(Table133[[#This Row],[PM Hi]]))))</f>
        <v>#DIV/0!</v>
      </c>
      <c r="AN136" s="48" t="e">
        <f>IF(Table133[[#This Row],[Prior day close]]&lt;=Table133[[#This Row],[PM LO]],IF($J136&gt;=$F136,($J136-$K136)/($J136-Table133[[#This Row],[Prior day close]]),(IF($H136&lt;=$K136,($F136-$H136)/($F136-Table133[[#This Row],[Prior day close]]),(Table133[[#This Row],[PM Hi]]-Table133[[#This Row],[Lowest lo from open to squeeze]])/(Table133[[#This Row],[PM Hi]]-Table133[[#This Row],[Prior day close]])))),IF($J136&gt;=$F136,($J136-$K136)/($J136-Table133[[#This Row],[PM LO]]),(IF($H136&lt;=$K136,($F136-$H136)/($F136-Table133[[#This Row],[PM LO]]),(Table133[[#This Row],[PM Hi]]-Table133[[#This Row],[Lowest lo from open to squeeze]])/(Table133[[#This Row],[PM Hi]]-Table133[[#This Row],[PM LO]])))))</f>
        <v>#DIV/0!</v>
      </c>
      <c r="AO136" s="18" t="e">
        <f>IF(J136&gt;=F136,(J136-K136)/(J136-D136),(IF(H136&lt;=K136,(F136-H136)/(F136-D136),(Table133[[#This Row],[PM Hi]]-Table133[[#This Row],[Lowest lo from open to squeeze]])/(Table133[[#This Row],[PM Hi]]-Table133[[#This Row],[Prior day close]]))))</f>
        <v>#DIV/0!</v>
      </c>
      <c r="AP136" s="17">
        <f>390+Table133[[#This Row],[Time until ideal entry point (mins) from open]]</f>
        <v>390</v>
      </c>
      <c r="AQ136" s="17">
        <f>Table133[[#This Row],[Time until ideal entry + 390 (6:30)]]+Table133[[#This Row],[Duration of frontside (mins)]]</f>
        <v>390</v>
      </c>
    </row>
    <row r="137" spans="1:43" x14ac:dyDescent="0.25">
      <c r="A137" s="24" t="s">
        <v>222</v>
      </c>
      <c r="B137" s="47">
        <v>44043</v>
      </c>
      <c r="C137" s="47" t="s">
        <v>364</v>
      </c>
      <c r="D137" s="12"/>
      <c r="E137" s="13"/>
      <c r="F137" s="12"/>
      <c r="G137" s="12"/>
      <c r="H137" s="12"/>
      <c r="I137" s="12"/>
      <c r="J137" s="12"/>
      <c r="K137" s="12"/>
      <c r="N137" s="13"/>
      <c r="P137" s="37"/>
      <c r="Q137" s="46"/>
      <c r="R137" s="37"/>
      <c r="S137" s="37"/>
      <c r="T137" s="37"/>
      <c r="U137" s="38"/>
      <c r="V137" s="46"/>
      <c r="W137" s="37"/>
      <c r="X137" s="46"/>
      <c r="Y137" s="41">
        <f>Table133[[#This Row],[Time until ideal entry + 390 (6:30)]]/(1440)</f>
        <v>0.27083333333333331</v>
      </c>
      <c r="Z137" s="18" t="e">
        <f>(F137-D137)/D137</f>
        <v>#DIV/0!</v>
      </c>
      <c r="AA137" s="18" t="e">
        <f>IF(Table133[[#This Row],[HOD AFTER PM HI]]&gt;=Table133[[#This Row],[PM Hi]],((Table133[[#This Row],[HOD AFTER PM HI]]-Table133[[#This Row],[Prior day close]])/Table133[[#This Row],[Prior day close]]),Table133[[#This Row],[Prior Close to PM Hi %]])</f>
        <v>#DIV/0!</v>
      </c>
      <c r="AB137" s="42" t="e">
        <f>(Table133[[#This Row],[Price at hi of squeeze]]-Table133[[#This Row],[MKT Open Price]])/Table133[[#This Row],[MKT Open Price]]</f>
        <v>#DIV/0!</v>
      </c>
      <c r="AC137" s="18" t="e">
        <f>(Table133[[#This Row],[Price at hi of squeeze]]-Table133[[#This Row],[PM Hi]])/Table133[[#This Row],[PM Hi]]</f>
        <v>#DIV/0!</v>
      </c>
      <c r="AD137" s="18"/>
      <c r="AE137" s="20" t="e">
        <f>Table133[[#This Row],[PM VOL]]/1000000/Table133[[#This Row],[FLOAT(M)]]</f>
        <v>#DIV/0!</v>
      </c>
      <c r="AF137" s="23" t="e">
        <f>(Table133[[#This Row],[Volume]]/1000000)/Table133[[#This Row],[FLOAT(M)]]</f>
        <v>#DIV/0!</v>
      </c>
      <c r="AH137" s="18" t="e">
        <f>(Table133[[#This Row],[PM Hi]]-Table133[[#This Row],[MKT Open Price]])/(Table133[[#This Row],[PM Hi]])</f>
        <v>#DIV/0!</v>
      </c>
      <c r="AI137" s="18" t="e">
        <f>IF(Table133[[#This Row],[PM LO]]&gt;Table133[[#This Row],[Prior day close]],(Table133[[#This Row],[PM Hi]]-Table133[[#This Row],[MKT Open Price]])/(Table133[[#This Row],[PM Hi]]-Table133[[#This Row],[Prior day close]]),(Table133[[#This Row],[PM Hi]]-Table133[[#This Row],[MKT Open Price]])/(Table133[[#This Row],[PM Hi]]-Table133[[#This Row],[PM LO]]))</f>
        <v>#DIV/0!</v>
      </c>
      <c r="AJ137" s="48" t="e">
        <f>IF(Table133[[#This Row],[Prior day close]]&lt;Table133[[#This Row],[PM LO]],(I137-K137)/(I137-Table133[[#This Row],[Prior day close]]),(I137-K137)/(I137-Table133[[#This Row],[PM LO]]))</f>
        <v>#DIV/0!</v>
      </c>
      <c r="AK137" s="48" t="e">
        <f>Table133[[#This Row],[Spike % on open before drop]]+AL137</f>
        <v>#DIV/0!</v>
      </c>
      <c r="AL137" s="16" t="e">
        <f>(I137-K137)/I137</f>
        <v>#DIV/0!</v>
      </c>
      <c r="AM137" s="18" t="e">
        <f>IF($J137&gt;=$F137,($J137-$K137)/($J137),(IF($H137&lt;=$K137,($F137-$H137)/($F137),(Table133[[#This Row],[PM Hi]]-Table133[[#This Row],[Lowest lo from open to squeeze]])/(Table133[[#This Row],[PM Hi]]))))</f>
        <v>#DIV/0!</v>
      </c>
      <c r="AN137" s="48" t="e">
        <f>IF(Table133[[#This Row],[Prior day close]]&lt;=Table133[[#This Row],[PM LO]],IF($J137&gt;=$F137,($J137-$K137)/($J137-Table133[[#This Row],[Prior day close]]),(IF($H137&lt;=$K137,($F137-$H137)/($F137-Table133[[#This Row],[Prior day close]]),(Table133[[#This Row],[PM Hi]]-Table133[[#This Row],[Lowest lo from open to squeeze]])/(Table133[[#This Row],[PM Hi]]-Table133[[#This Row],[Prior day close]])))),IF($J137&gt;=$F137,($J137-$K137)/($J137-Table133[[#This Row],[PM LO]]),(IF($H137&lt;=$K137,($F137-$H137)/($F137-Table133[[#This Row],[PM LO]]),(Table133[[#This Row],[PM Hi]]-Table133[[#This Row],[Lowest lo from open to squeeze]])/(Table133[[#This Row],[PM Hi]]-Table133[[#This Row],[PM LO]])))))</f>
        <v>#DIV/0!</v>
      </c>
      <c r="AO137" s="18" t="e">
        <f>IF(J137&gt;=F137,(J137-K137)/(J137-D137),(IF(H137&lt;=K137,(F137-H137)/(F137-D137),(Table133[[#This Row],[PM Hi]]-Table133[[#This Row],[Lowest lo from open to squeeze]])/(Table133[[#This Row],[PM Hi]]-Table133[[#This Row],[Prior day close]]))))</f>
        <v>#DIV/0!</v>
      </c>
      <c r="AP137" s="17">
        <f>390+Table133[[#This Row],[Time until ideal entry point (mins) from open]]</f>
        <v>390</v>
      </c>
      <c r="AQ137" s="17">
        <f>Table133[[#This Row],[Time until ideal entry + 390 (6:30)]]+Table133[[#This Row],[Duration of frontside (mins)]]</f>
        <v>390</v>
      </c>
    </row>
    <row r="138" spans="1:43" x14ac:dyDescent="0.25">
      <c r="A138" s="24" t="s">
        <v>259</v>
      </c>
      <c r="B138" s="47">
        <v>44055</v>
      </c>
      <c r="C138" s="47" t="s">
        <v>364</v>
      </c>
      <c r="D138" s="12"/>
      <c r="E138" s="13"/>
      <c r="F138" s="12"/>
      <c r="G138" s="12"/>
      <c r="H138" s="12"/>
      <c r="I138" s="12"/>
      <c r="J138" s="12"/>
      <c r="K138" s="12"/>
      <c r="N138" s="13"/>
      <c r="P138" s="37"/>
      <c r="Q138" s="46"/>
      <c r="R138" s="37"/>
      <c r="S138" s="37"/>
      <c r="T138" s="37"/>
      <c r="U138" s="38"/>
      <c r="V138" s="46"/>
      <c r="W138" s="37"/>
      <c r="X138" s="46"/>
      <c r="Y138" s="41">
        <f>Table133[[#This Row],[Time until ideal entry + 390 (6:30)]]/(1440)</f>
        <v>0.27083333333333331</v>
      </c>
      <c r="Z138" s="18" t="e">
        <f>(F138-D138)/D138</f>
        <v>#DIV/0!</v>
      </c>
      <c r="AA138" s="18" t="e">
        <f>IF(Table133[[#This Row],[HOD AFTER PM HI]]&gt;=Table133[[#This Row],[PM Hi]],((Table133[[#This Row],[HOD AFTER PM HI]]-Table133[[#This Row],[Prior day close]])/Table133[[#This Row],[Prior day close]]),Table133[[#This Row],[Prior Close to PM Hi %]])</f>
        <v>#DIV/0!</v>
      </c>
      <c r="AB138" s="42" t="e">
        <f>(Table133[[#This Row],[Price at hi of squeeze]]-Table133[[#This Row],[MKT Open Price]])/Table133[[#This Row],[MKT Open Price]]</f>
        <v>#DIV/0!</v>
      </c>
      <c r="AC138" s="18" t="e">
        <f>(Table133[[#This Row],[Price at hi of squeeze]]-Table133[[#This Row],[PM Hi]])/Table133[[#This Row],[PM Hi]]</f>
        <v>#DIV/0!</v>
      </c>
      <c r="AD138" s="18"/>
      <c r="AE138" s="20" t="e">
        <f>Table133[[#This Row],[PM VOL]]/1000000/Table133[[#This Row],[FLOAT(M)]]</f>
        <v>#DIV/0!</v>
      </c>
      <c r="AF138" s="23" t="e">
        <f>(Table133[[#This Row],[Volume]]/1000000)/Table133[[#This Row],[FLOAT(M)]]</f>
        <v>#DIV/0!</v>
      </c>
      <c r="AH138" s="18" t="e">
        <f>(Table133[[#This Row],[PM Hi]]-Table133[[#This Row],[MKT Open Price]])/(Table133[[#This Row],[PM Hi]])</f>
        <v>#DIV/0!</v>
      </c>
      <c r="AI138" s="18" t="e">
        <f>IF(Table133[[#This Row],[PM LO]]&gt;Table133[[#This Row],[Prior day close]],(Table133[[#This Row],[PM Hi]]-Table133[[#This Row],[MKT Open Price]])/(Table133[[#This Row],[PM Hi]]-Table133[[#This Row],[Prior day close]]),(Table133[[#This Row],[PM Hi]]-Table133[[#This Row],[MKT Open Price]])/(Table133[[#This Row],[PM Hi]]-Table133[[#This Row],[PM LO]]))</f>
        <v>#DIV/0!</v>
      </c>
      <c r="AJ138" s="48" t="e">
        <f>IF(Table133[[#This Row],[Prior day close]]&lt;Table133[[#This Row],[PM LO]],(I138-K138)/(I138-Table133[[#This Row],[Prior day close]]),(I138-K138)/(I138-Table133[[#This Row],[PM LO]]))</f>
        <v>#DIV/0!</v>
      </c>
      <c r="AK138" s="48" t="e">
        <f>Table133[[#This Row],[Spike % on open before drop]]+AL138</f>
        <v>#DIV/0!</v>
      </c>
      <c r="AL138" s="16" t="e">
        <f>(I138-K138)/I138</f>
        <v>#DIV/0!</v>
      </c>
      <c r="AM138" s="18" t="e">
        <f>IF($J138&gt;=$F138,($J138-$K138)/($J138),(IF($H138&lt;=$K138,($F138-$H138)/($F138),(Table133[[#This Row],[PM Hi]]-Table133[[#This Row],[Lowest lo from open to squeeze]])/(Table133[[#This Row],[PM Hi]]))))</f>
        <v>#DIV/0!</v>
      </c>
      <c r="AN138" s="48" t="e">
        <f>IF(Table133[[#This Row],[Prior day close]]&lt;=Table133[[#This Row],[PM LO]],IF($J138&gt;=$F138,($J138-$K138)/($J138-Table133[[#This Row],[Prior day close]]),(IF($H138&lt;=$K138,($F138-$H138)/($F138-Table133[[#This Row],[Prior day close]]),(Table133[[#This Row],[PM Hi]]-Table133[[#This Row],[Lowest lo from open to squeeze]])/(Table133[[#This Row],[PM Hi]]-Table133[[#This Row],[Prior day close]])))),IF($J138&gt;=$F138,($J138-$K138)/($J138-Table133[[#This Row],[PM LO]]),(IF($H138&lt;=$K138,($F138-$H138)/($F138-Table133[[#This Row],[PM LO]]),(Table133[[#This Row],[PM Hi]]-Table133[[#This Row],[Lowest lo from open to squeeze]])/(Table133[[#This Row],[PM Hi]]-Table133[[#This Row],[PM LO]])))))</f>
        <v>#DIV/0!</v>
      </c>
      <c r="AO138" s="18" t="e">
        <f>IF(J138&gt;=F138,(J138-K138)/(J138-D138),(IF(H138&lt;=K138,(F138-H138)/(F138-D138),(Table133[[#This Row],[PM Hi]]-Table133[[#This Row],[Lowest lo from open to squeeze]])/(Table133[[#This Row],[PM Hi]]-Table133[[#This Row],[Prior day close]]))))</f>
        <v>#DIV/0!</v>
      </c>
      <c r="AP138" s="17">
        <f>390+Table133[[#This Row],[Time until ideal entry point (mins) from open]]</f>
        <v>390</v>
      </c>
      <c r="AQ138" s="17">
        <f>Table133[[#This Row],[Time until ideal entry + 390 (6:30)]]+Table133[[#This Row],[Duration of frontside (mins)]]</f>
        <v>390</v>
      </c>
    </row>
    <row r="139" spans="1:43" x14ac:dyDescent="0.25">
      <c r="A139" s="24" t="s">
        <v>260</v>
      </c>
      <c r="B139" s="47">
        <v>44060</v>
      </c>
      <c r="C139" s="47" t="s">
        <v>364</v>
      </c>
      <c r="D139" s="12"/>
      <c r="E139" s="13"/>
      <c r="F139" s="12"/>
      <c r="G139" s="12"/>
      <c r="H139" s="12"/>
      <c r="I139" s="12"/>
      <c r="J139" s="12"/>
      <c r="K139" s="12"/>
      <c r="N139" s="13"/>
      <c r="P139" s="37"/>
      <c r="Q139" s="46"/>
      <c r="R139" s="37"/>
      <c r="S139" s="37"/>
      <c r="T139" s="37"/>
      <c r="U139" s="38"/>
      <c r="V139" s="46"/>
      <c r="W139" s="37"/>
      <c r="X139" s="46"/>
      <c r="Y139" s="41">
        <f>Table133[[#This Row],[Time until ideal entry + 390 (6:30)]]/(1440)</f>
        <v>0.27083333333333331</v>
      </c>
      <c r="Z139" s="18" t="e">
        <f>(F139-D139)/D139</f>
        <v>#DIV/0!</v>
      </c>
      <c r="AA139" s="18" t="e">
        <f>IF(Table133[[#This Row],[HOD AFTER PM HI]]&gt;=Table133[[#This Row],[PM Hi]],((Table133[[#This Row],[HOD AFTER PM HI]]-Table133[[#This Row],[Prior day close]])/Table133[[#This Row],[Prior day close]]),Table133[[#This Row],[Prior Close to PM Hi %]])</f>
        <v>#DIV/0!</v>
      </c>
      <c r="AB139" s="42" t="e">
        <f>(Table133[[#This Row],[Price at hi of squeeze]]-Table133[[#This Row],[MKT Open Price]])/Table133[[#This Row],[MKT Open Price]]</f>
        <v>#DIV/0!</v>
      </c>
      <c r="AC139" s="18" t="e">
        <f>(Table133[[#This Row],[Price at hi of squeeze]]-Table133[[#This Row],[PM Hi]])/Table133[[#This Row],[PM Hi]]</f>
        <v>#DIV/0!</v>
      </c>
      <c r="AD139" s="18"/>
      <c r="AE139" s="20" t="e">
        <f>Table133[[#This Row],[PM VOL]]/1000000/Table133[[#This Row],[FLOAT(M)]]</f>
        <v>#DIV/0!</v>
      </c>
      <c r="AF139" s="23" t="e">
        <f>(Table133[[#This Row],[Volume]]/1000000)/Table133[[#This Row],[FLOAT(M)]]</f>
        <v>#DIV/0!</v>
      </c>
      <c r="AH139" s="18" t="e">
        <f>(Table133[[#This Row],[PM Hi]]-Table133[[#This Row],[MKT Open Price]])/(Table133[[#This Row],[PM Hi]])</f>
        <v>#DIV/0!</v>
      </c>
      <c r="AI139" s="18" t="e">
        <f>IF(Table133[[#This Row],[PM LO]]&gt;Table133[[#This Row],[Prior day close]],(Table133[[#This Row],[PM Hi]]-Table133[[#This Row],[MKT Open Price]])/(Table133[[#This Row],[PM Hi]]-Table133[[#This Row],[Prior day close]]),(Table133[[#This Row],[PM Hi]]-Table133[[#This Row],[MKT Open Price]])/(Table133[[#This Row],[PM Hi]]-Table133[[#This Row],[PM LO]]))</f>
        <v>#DIV/0!</v>
      </c>
      <c r="AJ139" s="48" t="e">
        <f>IF(Table133[[#This Row],[Prior day close]]&lt;Table133[[#This Row],[PM LO]],(I139-K139)/(I139-Table133[[#This Row],[Prior day close]]),(I139-K139)/(I139-Table133[[#This Row],[PM LO]]))</f>
        <v>#DIV/0!</v>
      </c>
      <c r="AK139" s="48" t="e">
        <f>Table133[[#This Row],[Spike % on open before drop]]+AL139</f>
        <v>#DIV/0!</v>
      </c>
      <c r="AL139" s="16" t="e">
        <f>(I139-K139)/I139</f>
        <v>#DIV/0!</v>
      </c>
      <c r="AM139" s="18" t="e">
        <f>IF($J139&gt;=$F139,($J139-$K139)/($J139),(IF($H139&lt;=$K139,($F139-$H139)/($F139),(Table133[[#This Row],[PM Hi]]-Table133[[#This Row],[Lowest lo from open to squeeze]])/(Table133[[#This Row],[PM Hi]]))))</f>
        <v>#DIV/0!</v>
      </c>
      <c r="AN139" s="48" t="e">
        <f>IF(Table133[[#This Row],[Prior day close]]&lt;=Table133[[#This Row],[PM LO]],IF($J139&gt;=$F139,($J139-$K139)/($J139-Table133[[#This Row],[Prior day close]]),(IF($H139&lt;=$K139,($F139-$H139)/($F139-Table133[[#This Row],[Prior day close]]),(Table133[[#This Row],[PM Hi]]-Table133[[#This Row],[Lowest lo from open to squeeze]])/(Table133[[#This Row],[PM Hi]]-Table133[[#This Row],[Prior day close]])))),IF($J139&gt;=$F139,($J139-$K139)/($J139-Table133[[#This Row],[PM LO]]),(IF($H139&lt;=$K139,($F139-$H139)/($F139-Table133[[#This Row],[PM LO]]),(Table133[[#This Row],[PM Hi]]-Table133[[#This Row],[Lowest lo from open to squeeze]])/(Table133[[#This Row],[PM Hi]]-Table133[[#This Row],[PM LO]])))))</f>
        <v>#DIV/0!</v>
      </c>
      <c r="AO139" s="18" t="e">
        <f>IF(J139&gt;=F139,(J139-K139)/(J139-D139),(IF(H139&lt;=K139,(F139-H139)/(F139-D139),(Table133[[#This Row],[PM Hi]]-Table133[[#This Row],[Lowest lo from open to squeeze]])/(Table133[[#This Row],[PM Hi]]-Table133[[#This Row],[Prior day close]]))))</f>
        <v>#DIV/0!</v>
      </c>
      <c r="AP139" s="17">
        <f>390+Table133[[#This Row],[Time until ideal entry point (mins) from open]]</f>
        <v>390</v>
      </c>
      <c r="AQ139" s="17">
        <f>Table133[[#This Row],[Time until ideal entry + 390 (6:30)]]+Table133[[#This Row],[Duration of frontside (mins)]]</f>
        <v>390</v>
      </c>
    </row>
    <row r="140" spans="1:43" x14ac:dyDescent="0.25">
      <c r="A140" s="24" t="s">
        <v>266</v>
      </c>
      <c r="B140" s="47">
        <v>44071</v>
      </c>
      <c r="C140" s="47" t="s">
        <v>364</v>
      </c>
      <c r="D140" s="12"/>
      <c r="E140" s="13"/>
      <c r="F140" s="12"/>
      <c r="G140" s="12"/>
      <c r="H140" s="12"/>
      <c r="I140" s="12"/>
      <c r="J140" s="12"/>
      <c r="K140" s="12"/>
      <c r="N140" s="13"/>
      <c r="P140" s="37"/>
      <c r="Q140" s="46"/>
      <c r="R140" s="37"/>
      <c r="S140" s="37"/>
      <c r="T140" s="37"/>
      <c r="U140" s="38"/>
      <c r="V140" s="46"/>
      <c r="W140" s="37"/>
      <c r="X140" s="46"/>
      <c r="Y140" s="41">
        <f>Table133[[#This Row],[Time until ideal entry + 390 (6:30)]]/(1440)</f>
        <v>0.27083333333333331</v>
      </c>
      <c r="Z140" s="18" t="e">
        <f>(F140-D140)/D140</f>
        <v>#DIV/0!</v>
      </c>
      <c r="AA140" s="18" t="e">
        <f>IF(Table133[[#This Row],[HOD AFTER PM HI]]&gt;=Table133[[#This Row],[PM Hi]],((Table133[[#This Row],[HOD AFTER PM HI]]-Table133[[#This Row],[Prior day close]])/Table133[[#This Row],[Prior day close]]),Table133[[#This Row],[Prior Close to PM Hi %]])</f>
        <v>#DIV/0!</v>
      </c>
      <c r="AB140" s="42" t="e">
        <f>(Table133[[#This Row],[Price at hi of squeeze]]-Table133[[#This Row],[MKT Open Price]])/Table133[[#This Row],[MKT Open Price]]</f>
        <v>#DIV/0!</v>
      </c>
      <c r="AC140" s="18" t="e">
        <f>(Table133[[#This Row],[Price at hi of squeeze]]-Table133[[#This Row],[PM Hi]])/Table133[[#This Row],[PM Hi]]</f>
        <v>#DIV/0!</v>
      </c>
      <c r="AD140" s="18"/>
      <c r="AE140" s="20" t="e">
        <f>Table133[[#This Row],[PM VOL]]/1000000/Table133[[#This Row],[FLOAT(M)]]</f>
        <v>#DIV/0!</v>
      </c>
      <c r="AF140" s="23" t="e">
        <f>(Table133[[#This Row],[Volume]]/1000000)/Table133[[#This Row],[FLOAT(M)]]</f>
        <v>#DIV/0!</v>
      </c>
      <c r="AH140" s="18" t="e">
        <f>(Table133[[#This Row],[PM Hi]]-Table133[[#This Row],[MKT Open Price]])/(Table133[[#This Row],[PM Hi]])</f>
        <v>#DIV/0!</v>
      </c>
      <c r="AI140" s="18" t="e">
        <f>IF(Table133[[#This Row],[PM LO]]&gt;Table133[[#This Row],[Prior day close]],(Table133[[#This Row],[PM Hi]]-Table133[[#This Row],[MKT Open Price]])/(Table133[[#This Row],[PM Hi]]-Table133[[#This Row],[Prior day close]]),(Table133[[#This Row],[PM Hi]]-Table133[[#This Row],[MKT Open Price]])/(Table133[[#This Row],[PM Hi]]-Table133[[#This Row],[PM LO]]))</f>
        <v>#DIV/0!</v>
      </c>
      <c r="AJ140" s="48" t="e">
        <f>IF(Table133[[#This Row],[Prior day close]]&lt;Table133[[#This Row],[PM LO]],(I140-K140)/(I140-Table133[[#This Row],[Prior day close]]),(I140-K140)/(I140-Table133[[#This Row],[PM LO]]))</f>
        <v>#DIV/0!</v>
      </c>
      <c r="AK140" s="48" t="e">
        <f>Table133[[#This Row],[Spike % on open before drop]]+AL140</f>
        <v>#DIV/0!</v>
      </c>
      <c r="AL140" s="16" t="e">
        <f>(I140-K140)/I140</f>
        <v>#DIV/0!</v>
      </c>
      <c r="AM140" s="18" t="e">
        <f>IF($J140&gt;=$F140,($J140-$K140)/($J140),(IF($H140&lt;=$K140,($F140-$H140)/($F140),(Table133[[#This Row],[PM Hi]]-Table133[[#This Row],[Lowest lo from open to squeeze]])/(Table133[[#This Row],[PM Hi]]))))</f>
        <v>#DIV/0!</v>
      </c>
      <c r="AN140" s="48" t="e">
        <f>IF(Table133[[#This Row],[Prior day close]]&lt;=Table133[[#This Row],[PM LO]],IF($J140&gt;=$F140,($J140-$K140)/($J140-Table133[[#This Row],[Prior day close]]),(IF($H140&lt;=$K140,($F140-$H140)/($F140-Table133[[#This Row],[Prior day close]]),(Table133[[#This Row],[PM Hi]]-Table133[[#This Row],[Lowest lo from open to squeeze]])/(Table133[[#This Row],[PM Hi]]-Table133[[#This Row],[Prior day close]])))),IF($J140&gt;=$F140,($J140-$K140)/($J140-Table133[[#This Row],[PM LO]]),(IF($H140&lt;=$K140,($F140-$H140)/($F140-Table133[[#This Row],[PM LO]]),(Table133[[#This Row],[PM Hi]]-Table133[[#This Row],[Lowest lo from open to squeeze]])/(Table133[[#This Row],[PM Hi]]-Table133[[#This Row],[PM LO]])))))</f>
        <v>#DIV/0!</v>
      </c>
      <c r="AO140" s="18" t="e">
        <f>IF(J140&gt;=F140,(J140-K140)/(J140-D140),(IF(H140&lt;=K140,(F140-H140)/(F140-D140),(Table133[[#This Row],[PM Hi]]-Table133[[#This Row],[Lowest lo from open to squeeze]])/(Table133[[#This Row],[PM Hi]]-Table133[[#This Row],[Prior day close]]))))</f>
        <v>#DIV/0!</v>
      </c>
      <c r="AP140" s="17">
        <f>390+Table133[[#This Row],[Time until ideal entry point (mins) from open]]</f>
        <v>390</v>
      </c>
      <c r="AQ140" s="17">
        <f>Table133[[#This Row],[Time until ideal entry + 390 (6:30)]]+Table133[[#This Row],[Duration of frontside (mins)]]</f>
        <v>390</v>
      </c>
    </row>
    <row r="141" spans="1:43" x14ac:dyDescent="0.25">
      <c r="A141" s="24" t="s">
        <v>267</v>
      </c>
      <c r="B141" s="47">
        <v>44077</v>
      </c>
      <c r="C141" s="47" t="s">
        <v>364</v>
      </c>
      <c r="D141" s="12"/>
      <c r="E141" s="13"/>
      <c r="F141" s="12"/>
      <c r="G141" s="12"/>
      <c r="H141" s="12"/>
      <c r="I141" s="12"/>
      <c r="J141" s="12"/>
      <c r="K141" s="12"/>
      <c r="N141" s="13"/>
      <c r="P141" s="37"/>
      <c r="Q141" s="46"/>
      <c r="R141" s="37"/>
      <c r="S141" s="37"/>
      <c r="T141" s="37"/>
      <c r="U141" s="38"/>
      <c r="V141" s="46"/>
      <c r="W141" s="37"/>
      <c r="X141" s="46"/>
      <c r="Y141" s="41">
        <f>Table133[[#This Row],[Time until ideal entry + 390 (6:30)]]/(1440)</f>
        <v>0.27083333333333331</v>
      </c>
      <c r="Z141" s="18" t="e">
        <f>(F141-D141)/D141</f>
        <v>#DIV/0!</v>
      </c>
      <c r="AA141" s="18" t="e">
        <f>IF(Table133[[#This Row],[HOD AFTER PM HI]]&gt;=Table133[[#This Row],[PM Hi]],((Table133[[#This Row],[HOD AFTER PM HI]]-Table133[[#This Row],[Prior day close]])/Table133[[#This Row],[Prior day close]]),Table133[[#This Row],[Prior Close to PM Hi %]])</f>
        <v>#DIV/0!</v>
      </c>
      <c r="AB141" s="42" t="e">
        <f>(Table133[[#This Row],[Price at hi of squeeze]]-Table133[[#This Row],[MKT Open Price]])/Table133[[#This Row],[MKT Open Price]]</f>
        <v>#DIV/0!</v>
      </c>
      <c r="AC141" s="18" t="e">
        <f>(Table133[[#This Row],[Price at hi of squeeze]]-Table133[[#This Row],[PM Hi]])/Table133[[#This Row],[PM Hi]]</f>
        <v>#DIV/0!</v>
      </c>
      <c r="AD141" s="18"/>
      <c r="AE141" s="20" t="e">
        <f>Table133[[#This Row],[PM VOL]]/1000000/Table133[[#This Row],[FLOAT(M)]]</f>
        <v>#DIV/0!</v>
      </c>
      <c r="AF141" s="23" t="e">
        <f>(Table133[[#This Row],[Volume]]/1000000)/Table133[[#This Row],[FLOAT(M)]]</f>
        <v>#DIV/0!</v>
      </c>
      <c r="AH141" s="18" t="e">
        <f>(Table133[[#This Row],[PM Hi]]-Table133[[#This Row],[MKT Open Price]])/(Table133[[#This Row],[PM Hi]])</f>
        <v>#DIV/0!</v>
      </c>
      <c r="AI141" s="18" t="e">
        <f>IF(Table133[[#This Row],[PM LO]]&gt;Table133[[#This Row],[Prior day close]],(Table133[[#This Row],[PM Hi]]-Table133[[#This Row],[MKT Open Price]])/(Table133[[#This Row],[PM Hi]]-Table133[[#This Row],[Prior day close]]),(Table133[[#This Row],[PM Hi]]-Table133[[#This Row],[MKT Open Price]])/(Table133[[#This Row],[PM Hi]]-Table133[[#This Row],[PM LO]]))</f>
        <v>#DIV/0!</v>
      </c>
      <c r="AJ141" s="48" t="e">
        <f>IF(Table133[[#This Row],[Prior day close]]&lt;Table133[[#This Row],[PM LO]],(I141-K141)/(I141-Table133[[#This Row],[Prior day close]]),(I141-K141)/(I141-Table133[[#This Row],[PM LO]]))</f>
        <v>#DIV/0!</v>
      </c>
      <c r="AK141" s="48" t="e">
        <f>Table133[[#This Row],[Spike % on open before drop]]+AL141</f>
        <v>#DIV/0!</v>
      </c>
      <c r="AL141" s="16" t="e">
        <f>(I141-K141)/I141</f>
        <v>#DIV/0!</v>
      </c>
      <c r="AM141" s="18" t="e">
        <f>IF($J141&gt;=$F141,($J141-$K141)/($J141),(IF($H141&lt;=$K141,($F141-$H141)/($F141),(Table133[[#This Row],[PM Hi]]-Table133[[#This Row],[Lowest lo from open to squeeze]])/(Table133[[#This Row],[PM Hi]]))))</f>
        <v>#DIV/0!</v>
      </c>
      <c r="AN141" s="48" t="e">
        <f>IF(Table133[[#This Row],[Prior day close]]&lt;=Table133[[#This Row],[PM LO]],IF($J141&gt;=$F141,($J141-$K141)/($J141-Table133[[#This Row],[Prior day close]]),(IF($H141&lt;=$K141,($F141-$H141)/($F141-Table133[[#This Row],[Prior day close]]),(Table133[[#This Row],[PM Hi]]-Table133[[#This Row],[Lowest lo from open to squeeze]])/(Table133[[#This Row],[PM Hi]]-Table133[[#This Row],[Prior day close]])))),IF($J141&gt;=$F141,($J141-$K141)/($J141-Table133[[#This Row],[PM LO]]),(IF($H141&lt;=$K141,($F141-$H141)/($F141-Table133[[#This Row],[PM LO]]),(Table133[[#This Row],[PM Hi]]-Table133[[#This Row],[Lowest lo from open to squeeze]])/(Table133[[#This Row],[PM Hi]]-Table133[[#This Row],[PM LO]])))))</f>
        <v>#DIV/0!</v>
      </c>
      <c r="AO141" s="18" t="e">
        <f>IF(J141&gt;=F141,(J141-K141)/(J141-D141),(IF(H141&lt;=K141,(F141-H141)/(F141-D141),(Table133[[#This Row],[PM Hi]]-Table133[[#This Row],[Lowest lo from open to squeeze]])/(Table133[[#This Row],[PM Hi]]-Table133[[#This Row],[Prior day close]]))))</f>
        <v>#DIV/0!</v>
      </c>
      <c r="AP141" s="17">
        <f>390+Table133[[#This Row],[Time until ideal entry point (mins) from open]]</f>
        <v>390</v>
      </c>
      <c r="AQ141" s="17">
        <f>Table133[[#This Row],[Time until ideal entry + 390 (6:30)]]+Table133[[#This Row],[Duration of frontside (mins)]]</f>
        <v>390</v>
      </c>
    </row>
    <row r="142" spans="1:43" x14ac:dyDescent="0.25">
      <c r="A142" s="24" t="s">
        <v>69</v>
      </c>
      <c r="B142" s="47">
        <v>44078</v>
      </c>
      <c r="C142" s="47" t="s">
        <v>364</v>
      </c>
      <c r="D142" s="12"/>
      <c r="E142" s="13"/>
      <c r="F142" s="12"/>
      <c r="G142" s="12"/>
      <c r="H142" s="12"/>
      <c r="I142" s="12"/>
      <c r="J142" s="12"/>
      <c r="K142" s="12"/>
      <c r="N142" s="13"/>
      <c r="P142" s="37"/>
      <c r="Q142" s="46"/>
      <c r="R142" s="37"/>
      <c r="S142" s="37"/>
      <c r="T142" s="37"/>
      <c r="U142" s="38"/>
      <c r="V142" s="46"/>
      <c r="W142" s="37"/>
      <c r="X142" s="46"/>
      <c r="Y142" s="41">
        <f>Table133[[#This Row],[Time until ideal entry + 390 (6:30)]]/(1440)</f>
        <v>0.27083333333333331</v>
      </c>
      <c r="Z142" s="18" t="e">
        <f>(F142-D142)/D142</f>
        <v>#DIV/0!</v>
      </c>
      <c r="AA142" s="18" t="e">
        <f>IF(Table133[[#This Row],[HOD AFTER PM HI]]&gt;=Table133[[#This Row],[PM Hi]],((Table133[[#This Row],[HOD AFTER PM HI]]-Table133[[#This Row],[Prior day close]])/Table133[[#This Row],[Prior day close]]),Table133[[#This Row],[Prior Close to PM Hi %]])</f>
        <v>#DIV/0!</v>
      </c>
      <c r="AB142" s="42" t="e">
        <f>(Table133[[#This Row],[Price at hi of squeeze]]-Table133[[#This Row],[MKT Open Price]])/Table133[[#This Row],[MKT Open Price]]</f>
        <v>#DIV/0!</v>
      </c>
      <c r="AC142" s="18" t="e">
        <f>(Table133[[#This Row],[Price at hi of squeeze]]-Table133[[#This Row],[PM Hi]])/Table133[[#This Row],[PM Hi]]</f>
        <v>#DIV/0!</v>
      </c>
      <c r="AD142" s="18"/>
      <c r="AE142" s="20" t="e">
        <f>Table133[[#This Row],[PM VOL]]/1000000/Table133[[#This Row],[FLOAT(M)]]</f>
        <v>#DIV/0!</v>
      </c>
      <c r="AF142" s="23" t="e">
        <f>(Table133[[#This Row],[Volume]]/1000000)/Table133[[#This Row],[FLOAT(M)]]</f>
        <v>#DIV/0!</v>
      </c>
      <c r="AH142" s="18" t="e">
        <f>(Table133[[#This Row],[PM Hi]]-Table133[[#This Row],[MKT Open Price]])/(Table133[[#This Row],[PM Hi]])</f>
        <v>#DIV/0!</v>
      </c>
      <c r="AI142" s="18" t="e">
        <f>IF(Table133[[#This Row],[PM LO]]&gt;Table133[[#This Row],[Prior day close]],(Table133[[#This Row],[PM Hi]]-Table133[[#This Row],[MKT Open Price]])/(Table133[[#This Row],[PM Hi]]-Table133[[#This Row],[Prior day close]]),(Table133[[#This Row],[PM Hi]]-Table133[[#This Row],[MKT Open Price]])/(Table133[[#This Row],[PM Hi]]-Table133[[#This Row],[PM LO]]))</f>
        <v>#DIV/0!</v>
      </c>
      <c r="AJ142" s="48" t="e">
        <f>IF(Table133[[#This Row],[Prior day close]]&lt;Table133[[#This Row],[PM LO]],(I142-K142)/(I142-Table133[[#This Row],[Prior day close]]),(I142-K142)/(I142-Table133[[#This Row],[PM LO]]))</f>
        <v>#DIV/0!</v>
      </c>
      <c r="AK142" s="48" t="e">
        <f>Table133[[#This Row],[Spike % on open before drop]]+AL142</f>
        <v>#DIV/0!</v>
      </c>
      <c r="AL142" s="16" t="e">
        <f>(I142-K142)/I142</f>
        <v>#DIV/0!</v>
      </c>
      <c r="AM142" s="18" t="e">
        <f>IF($J142&gt;=$F142,($J142-$K142)/($J142),(IF($H142&lt;=$K142,($F142-$H142)/($F142),(Table133[[#This Row],[PM Hi]]-Table133[[#This Row],[Lowest lo from open to squeeze]])/(Table133[[#This Row],[PM Hi]]))))</f>
        <v>#DIV/0!</v>
      </c>
      <c r="AN142" s="48" t="e">
        <f>IF(Table133[[#This Row],[Prior day close]]&lt;=Table133[[#This Row],[PM LO]],IF($J142&gt;=$F142,($J142-$K142)/($J142-Table133[[#This Row],[Prior day close]]),(IF($H142&lt;=$K142,($F142-$H142)/($F142-Table133[[#This Row],[Prior day close]]),(Table133[[#This Row],[PM Hi]]-Table133[[#This Row],[Lowest lo from open to squeeze]])/(Table133[[#This Row],[PM Hi]]-Table133[[#This Row],[Prior day close]])))),IF($J142&gt;=$F142,($J142-$K142)/($J142-Table133[[#This Row],[PM LO]]),(IF($H142&lt;=$K142,($F142-$H142)/($F142-Table133[[#This Row],[PM LO]]),(Table133[[#This Row],[PM Hi]]-Table133[[#This Row],[Lowest lo from open to squeeze]])/(Table133[[#This Row],[PM Hi]]-Table133[[#This Row],[PM LO]])))))</f>
        <v>#DIV/0!</v>
      </c>
      <c r="AO142" s="18" t="e">
        <f>IF(J142&gt;=F142,(J142-K142)/(J142-D142),(IF(H142&lt;=K142,(F142-H142)/(F142-D142),(Table133[[#This Row],[PM Hi]]-Table133[[#This Row],[Lowest lo from open to squeeze]])/(Table133[[#This Row],[PM Hi]]-Table133[[#This Row],[Prior day close]]))))</f>
        <v>#DIV/0!</v>
      </c>
      <c r="AP142" s="17">
        <f>390+Table133[[#This Row],[Time until ideal entry point (mins) from open]]</f>
        <v>390</v>
      </c>
      <c r="AQ142" s="17">
        <f>Table133[[#This Row],[Time until ideal entry + 390 (6:30)]]+Table133[[#This Row],[Duration of frontside (mins)]]</f>
        <v>390</v>
      </c>
    </row>
    <row r="143" spans="1:43" x14ac:dyDescent="0.25">
      <c r="A143" s="24" t="s">
        <v>268</v>
      </c>
      <c r="B143" s="47">
        <v>44085</v>
      </c>
      <c r="C143" s="47" t="s">
        <v>364</v>
      </c>
      <c r="D143" s="12"/>
      <c r="E143" s="13"/>
      <c r="F143" s="12"/>
      <c r="G143" s="12"/>
      <c r="H143" s="12"/>
      <c r="I143" s="12"/>
      <c r="J143" s="12"/>
      <c r="K143" s="12"/>
      <c r="N143" s="13"/>
      <c r="P143" s="37"/>
      <c r="Q143" s="46"/>
      <c r="R143" s="37"/>
      <c r="S143" s="37"/>
      <c r="T143" s="37"/>
      <c r="U143" s="38"/>
      <c r="V143" s="46"/>
      <c r="W143" s="37"/>
      <c r="X143" s="46"/>
      <c r="Y143" s="41">
        <f>Table133[[#This Row],[Time until ideal entry + 390 (6:30)]]/(1440)</f>
        <v>0.27083333333333331</v>
      </c>
      <c r="Z143" s="18" t="e">
        <f>(F143-D143)/D143</f>
        <v>#DIV/0!</v>
      </c>
      <c r="AA143" s="18" t="e">
        <f>IF(Table133[[#This Row],[HOD AFTER PM HI]]&gt;=Table133[[#This Row],[PM Hi]],((Table133[[#This Row],[HOD AFTER PM HI]]-Table133[[#This Row],[Prior day close]])/Table133[[#This Row],[Prior day close]]),Table133[[#This Row],[Prior Close to PM Hi %]])</f>
        <v>#DIV/0!</v>
      </c>
      <c r="AB143" s="42" t="e">
        <f>(Table133[[#This Row],[Price at hi of squeeze]]-Table133[[#This Row],[MKT Open Price]])/Table133[[#This Row],[MKT Open Price]]</f>
        <v>#DIV/0!</v>
      </c>
      <c r="AC143" s="18" t="e">
        <f>(Table133[[#This Row],[Price at hi of squeeze]]-Table133[[#This Row],[PM Hi]])/Table133[[#This Row],[PM Hi]]</f>
        <v>#DIV/0!</v>
      </c>
      <c r="AD143" s="18"/>
      <c r="AE143" s="20" t="e">
        <f>Table133[[#This Row],[PM VOL]]/1000000/Table133[[#This Row],[FLOAT(M)]]</f>
        <v>#DIV/0!</v>
      </c>
      <c r="AF143" s="23" t="e">
        <f>(Table133[[#This Row],[Volume]]/1000000)/Table133[[#This Row],[FLOAT(M)]]</f>
        <v>#DIV/0!</v>
      </c>
      <c r="AH143" s="18" t="e">
        <f>(Table133[[#This Row],[PM Hi]]-Table133[[#This Row],[MKT Open Price]])/(Table133[[#This Row],[PM Hi]])</f>
        <v>#DIV/0!</v>
      </c>
      <c r="AI143" s="18" t="e">
        <f>IF(Table133[[#This Row],[PM LO]]&gt;Table133[[#This Row],[Prior day close]],(Table133[[#This Row],[PM Hi]]-Table133[[#This Row],[MKT Open Price]])/(Table133[[#This Row],[PM Hi]]-Table133[[#This Row],[Prior day close]]),(Table133[[#This Row],[PM Hi]]-Table133[[#This Row],[MKT Open Price]])/(Table133[[#This Row],[PM Hi]]-Table133[[#This Row],[PM LO]]))</f>
        <v>#DIV/0!</v>
      </c>
      <c r="AJ143" s="48" t="e">
        <f>IF(Table133[[#This Row],[Prior day close]]&lt;Table133[[#This Row],[PM LO]],(I143-K143)/(I143-Table133[[#This Row],[Prior day close]]),(I143-K143)/(I143-Table133[[#This Row],[PM LO]]))</f>
        <v>#DIV/0!</v>
      </c>
      <c r="AK143" s="48" t="e">
        <f>Table133[[#This Row],[Spike % on open before drop]]+AL143</f>
        <v>#DIV/0!</v>
      </c>
      <c r="AL143" s="16" t="e">
        <f>(I143-K143)/I143</f>
        <v>#DIV/0!</v>
      </c>
      <c r="AM143" s="18" t="e">
        <f>IF($J143&gt;=$F143,($J143-$K143)/($J143),(IF($H143&lt;=$K143,($F143-$H143)/($F143),(Table133[[#This Row],[PM Hi]]-Table133[[#This Row],[Lowest lo from open to squeeze]])/(Table133[[#This Row],[PM Hi]]))))</f>
        <v>#DIV/0!</v>
      </c>
      <c r="AN143" s="48" t="e">
        <f>IF(Table133[[#This Row],[Prior day close]]&lt;=Table133[[#This Row],[PM LO]],IF($J143&gt;=$F143,($J143-$K143)/($J143-Table133[[#This Row],[Prior day close]]),(IF($H143&lt;=$K143,($F143-$H143)/($F143-Table133[[#This Row],[Prior day close]]),(Table133[[#This Row],[PM Hi]]-Table133[[#This Row],[Lowest lo from open to squeeze]])/(Table133[[#This Row],[PM Hi]]-Table133[[#This Row],[Prior day close]])))),IF($J143&gt;=$F143,($J143-$K143)/($J143-Table133[[#This Row],[PM LO]]),(IF($H143&lt;=$K143,($F143-$H143)/($F143-Table133[[#This Row],[PM LO]]),(Table133[[#This Row],[PM Hi]]-Table133[[#This Row],[Lowest lo from open to squeeze]])/(Table133[[#This Row],[PM Hi]]-Table133[[#This Row],[PM LO]])))))</f>
        <v>#DIV/0!</v>
      </c>
      <c r="AO143" s="18" t="e">
        <f>IF(J143&gt;=F143,(J143-K143)/(J143-D143),(IF(H143&lt;=K143,(F143-H143)/(F143-D143),(Table133[[#This Row],[PM Hi]]-Table133[[#This Row],[Lowest lo from open to squeeze]])/(Table133[[#This Row],[PM Hi]]-Table133[[#This Row],[Prior day close]]))))</f>
        <v>#DIV/0!</v>
      </c>
      <c r="AP143" s="17">
        <f>390+Table133[[#This Row],[Time until ideal entry point (mins) from open]]</f>
        <v>390</v>
      </c>
      <c r="AQ143" s="17">
        <f>Table133[[#This Row],[Time until ideal entry + 390 (6:30)]]+Table133[[#This Row],[Duration of frontside (mins)]]</f>
        <v>390</v>
      </c>
    </row>
    <row r="144" spans="1:43" x14ac:dyDescent="0.25">
      <c r="A144" s="24" t="s">
        <v>256</v>
      </c>
      <c r="B144" s="47">
        <v>44047</v>
      </c>
      <c r="C144" s="47" t="s">
        <v>178</v>
      </c>
      <c r="D144" s="12"/>
      <c r="E144" s="13"/>
      <c r="F144" s="12"/>
      <c r="G144" s="12"/>
      <c r="H144" s="12"/>
      <c r="I144" s="12"/>
      <c r="J144" s="12"/>
      <c r="K144" s="12"/>
      <c r="N144" s="13"/>
      <c r="P144" s="37"/>
      <c r="Q144" s="46"/>
      <c r="R144" s="37"/>
      <c r="S144" s="37"/>
      <c r="T144" s="37"/>
      <c r="U144" s="38"/>
      <c r="V144" s="46"/>
      <c r="W144" s="37"/>
      <c r="X144" s="46"/>
      <c r="Y144" s="41">
        <f>Table133[[#This Row],[Time until ideal entry + 390 (6:30)]]/(1440)</f>
        <v>0.27083333333333331</v>
      </c>
      <c r="Z144" s="18" t="e">
        <f>(F144-D144)/D144</f>
        <v>#DIV/0!</v>
      </c>
      <c r="AA144" s="18" t="e">
        <f>IF(Table133[[#This Row],[HOD AFTER PM HI]]&gt;=Table133[[#This Row],[PM Hi]],((Table133[[#This Row],[HOD AFTER PM HI]]-Table133[[#This Row],[Prior day close]])/Table133[[#This Row],[Prior day close]]),Table133[[#This Row],[Prior Close to PM Hi %]])</f>
        <v>#DIV/0!</v>
      </c>
      <c r="AB144" s="42" t="e">
        <f>(Table133[[#This Row],[Price at hi of squeeze]]-Table133[[#This Row],[MKT Open Price]])/Table133[[#This Row],[MKT Open Price]]</f>
        <v>#DIV/0!</v>
      </c>
      <c r="AC144" s="18" t="e">
        <f>(Table133[[#This Row],[Price at hi of squeeze]]-Table133[[#This Row],[PM Hi]])/Table133[[#This Row],[PM Hi]]</f>
        <v>#DIV/0!</v>
      </c>
      <c r="AD144" s="18"/>
      <c r="AE144" s="20" t="e">
        <f>Table133[[#This Row],[PM VOL]]/1000000/Table133[[#This Row],[FLOAT(M)]]</f>
        <v>#DIV/0!</v>
      </c>
      <c r="AF144" s="23" t="e">
        <f>(Table133[[#This Row],[Volume]]/1000000)/Table133[[#This Row],[FLOAT(M)]]</f>
        <v>#DIV/0!</v>
      </c>
      <c r="AH144" s="18" t="e">
        <f>(Table133[[#This Row],[PM Hi]]-Table133[[#This Row],[MKT Open Price]])/(Table133[[#This Row],[PM Hi]])</f>
        <v>#DIV/0!</v>
      </c>
      <c r="AI144" s="18" t="e">
        <f>IF(Table133[[#This Row],[PM LO]]&gt;Table133[[#This Row],[Prior day close]],(Table133[[#This Row],[PM Hi]]-Table133[[#This Row],[MKT Open Price]])/(Table133[[#This Row],[PM Hi]]-Table133[[#This Row],[Prior day close]]),(Table133[[#This Row],[PM Hi]]-Table133[[#This Row],[MKT Open Price]])/(Table133[[#This Row],[PM Hi]]-Table133[[#This Row],[PM LO]]))</f>
        <v>#DIV/0!</v>
      </c>
      <c r="AJ144" s="48" t="e">
        <f>IF(Table133[[#This Row],[Prior day close]]&lt;Table133[[#This Row],[PM LO]],(I144-K144)/(I144-Table133[[#This Row],[Prior day close]]),(I144-K144)/(I144-Table133[[#This Row],[PM LO]]))</f>
        <v>#DIV/0!</v>
      </c>
      <c r="AK144" s="48" t="e">
        <f>Table133[[#This Row],[Spike % on open before drop]]+AL144</f>
        <v>#DIV/0!</v>
      </c>
      <c r="AL144" s="16" t="e">
        <f>(I144-K144)/I144</f>
        <v>#DIV/0!</v>
      </c>
      <c r="AM144" s="18" t="e">
        <f>IF($J144&gt;=$F144,($J144-$K144)/($J144),(IF($H144&lt;=$K144,($F144-$H144)/($F144),(Table133[[#This Row],[PM Hi]]-Table133[[#This Row],[Lowest lo from open to squeeze]])/(Table133[[#This Row],[PM Hi]]))))</f>
        <v>#DIV/0!</v>
      </c>
      <c r="AN144" s="48" t="e">
        <f>IF(Table133[[#This Row],[Prior day close]]&lt;=Table133[[#This Row],[PM LO]],IF($J144&gt;=$F144,($J144-$K144)/($J144-Table133[[#This Row],[Prior day close]]),(IF($H144&lt;=$K144,($F144-$H144)/($F144-Table133[[#This Row],[Prior day close]]),(Table133[[#This Row],[PM Hi]]-Table133[[#This Row],[Lowest lo from open to squeeze]])/(Table133[[#This Row],[PM Hi]]-Table133[[#This Row],[Prior day close]])))),IF($J144&gt;=$F144,($J144-$K144)/($J144-Table133[[#This Row],[PM LO]]),(IF($H144&lt;=$K144,($F144-$H144)/($F144-Table133[[#This Row],[PM LO]]),(Table133[[#This Row],[PM Hi]]-Table133[[#This Row],[Lowest lo from open to squeeze]])/(Table133[[#This Row],[PM Hi]]-Table133[[#This Row],[PM LO]])))))</f>
        <v>#DIV/0!</v>
      </c>
      <c r="AO144" s="18" t="e">
        <f>IF(J144&gt;=F144,(J144-K144)/(J144-D144),(IF(H144&lt;=K144,(F144-H144)/(F144-D144),(Table133[[#This Row],[PM Hi]]-Table133[[#This Row],[Lowest lo from open to squeeze]])/(Table133[[#This Row],[PM Hi]]-Table133[[#This Row],[Prior day close]]))))</f>
        <v>#DIV/0!</v>
      </c>
      <c r="AP144" s="17">
        <f>390+Table133[[#This Row],[Time until ideal entry point (mins) from open]]</f>
        <v>390</v>
      </c>
      <c r="AQ144" s="17">
        <f>Table133[[#This Row],[Time until ideal entry + 390 (6:30)]]+Table133[[#This Row],[Duration of frontside (mins)]]</f>
        <v>390</v>
      </c>
    </row>
    <row r="145" spans="1:43" x14ac:dyDescent="0.25">
      <c r="A145" s="24" t="s">
        <v>77</v>
      </c>
      <c r="B145" s="47">
        <v>44098</v>
      </c>
      <c r="C145" s="47" t="s">
        <v>364</v>
      </c>
      <c r="D145" s="12"/>
      <c r="E145" s="13"/>
      <c r="F145" s="12"/>
      <c r="G145" s="12"/>
      <c r="H145" s="12"/>
      <c r="I145" s="12"/>
      <c r="J145" s="12"/>
      <c r="K145" s="12"/>
      <c r="N145" s="13"/>
      <c r="P145" s="37"/>
      <c r="Q145" s="46"/>
      <c r="R145" s="37"/>
      <c r="S145" s="37"/>
      <c r="T145" s="37"/>
      <c r="U145" s="38"/>
      <c r="V145" s="46"/>
      <c r="W145" s="37"/>
      <c r="X145" s="46"/>
      <c r="Y145" s="41">
        <f>Table133[[#This Row],[Time until ideal entry + 390 (6:30)]]/(1440)</f>
        <v>0.27083333333333331</v>
      </c>
      <c r="Z145" s="18" t="e">
        <f>(F145-D145)/D145</f>
        <v>#DIV/0!</v>
      </c>
      <c r="AA145" s="18" t="e">
        <f>IF(Table133[[#This Row],[HOD AFTER PM HI]]&gt;=Table133[[#This Row],[PM Hi]],((Table133[[#This Row],[HOD AFTER PM HI]]-Table133[[#This Row],[Prior day close]])/Table133[[#This Row],[Prior day close]]),Table133[[#This Row],[Prior Close to PM Hi %]])</f>
        <v>#DIV/0!</v>
      </c>
      <c r="AB145" s="42" t="e">
        <f>(Table133[[#This Row],[Price at hi of squeeze]]-Table133[[#This Row],[MKT Open Price]])/Table133[[#This Row],[MKT Open Price]]</f>
        <v>#DIV/0!</v>
      </c>
      <c r="AC145" s="18" t="e">
        <f>(Table133[[#This Row],[Price at hi of squeeze]]-Table133[[#This Row],[PM Hi]])/Table133[[#This Row],[PM Hi]]</f>
        <v>#DIV/0!</v>
      </c>
      <c r="AD145" s="18"/>
      <c r="AE145" s="20" t="e">
        <f>Table133[[#This Row],[PM VOL]]/1000000/Table133[[#This Row],[FLOAT(M)]]</f>
        <v>#DIV/0!</v>
      </c>
      <c r="AF145" s="23" t="e">
        <f>(Table133[[#This Row],[Volume]]/1000000)/Table133[[#This Row],[FLOAT(M)]]</f>
        <v>#DIV/0!</v>
      </c>
      <c r="AH145" s="18" t="e">
        <f>(Table133[[#This Row],[PM Hi]]-Table133[[#This Row],[MKT Open Price]])/(Table133[[#This Row],[PM Hi]])</f>
        <v>#DIV/0!</v>
      </c>
      <c r="AI145" s="18" t="e">
        <f>IF(Table133[[#This Row],[PM LO]]&gt;Table133[[#This Row],[Prior day close]],(Table133[[#This Row],[PM Hi]]-Table133[[#This Row],[MKT Open Price]])/(Table133[[#This Row],[PM Hi]]-Table133[[#This Row],[Prior day close]]),(Table133[[#This Row],[PM Hi]]-Table133[[#This Row],[MKT Open Price]])/(Table133[[#This Row],[PM Hi]]-Table133[[#This Row],[PM LO]]))</f>
        <v>#DIV/0!</v>
      </c>
      <c r="AJ145" s="48" t="e">
        <f>IF(Table133[[#This Row],[Prior day close]]&lt;Table133[[#This Row],[PM LO]],(I145-K145)/(I145-Table133[[#This Row],[Prior day close]]),(I145-K145)/(I145-Table133[[#This Row],[PM LO]]))</f>
        <v>#DIV/0!</v>
      </c>
      <c r="AK145" s="48" t="e">
        <f>Table133[[#This Row],[Spike % on open before drop]]+AL145</f>
        <v>#DIV/0!</v>
      </c>
      <c r="AL145" s="16" t="e">
        <f>(I145-K145)/I145</f>
        <v>#DIV/0!</v>
      </c>
      <c r="AM145" s="18" t="e">
        <f>IF($J145&gt;=$F145,($J145-$K145)/($J145),(IF($H145&lt;=$K145,($F145-$H145)/($F145),(Table133[[#This Row],[PM Hi]]-Table133[[#This Row],[Lowest lo from open to squeeze]])/(Table133[[#This Row],[PM Hi]]))))</f>
        <v>#DIV/0!</v>
      </c>
      <c r="AN145" s="48" t="e">
        <f>IF(Table133[[#This Row],[Prior day close]]&lt;=Table133[[#This Row],[PM LO]],IF($J145&gt;=$F145,($J145-$K145)/($J145-Table133[[#This Row],[Prior day close]]),(IF($H145&lt;=$K145,($F145-$H145)/($F145-Table133[[#This Row],[Prior day close]]),(Table133[[#This Row],[PM Hi]]-Table133[[#This Row],[Lowest lo from open to squeeze]])/(Table133[[#This Row],[PM Hi]]-Table133[[#This Row],[Prior day close]])))),IF($J145&gt;=$F145,($J145-$K145)/($J145-Table133[[#This Row],[PM LO]]),(IF($H145&lt;=$K145,($F145-$H145)/($F145-Table133[[#This Row],[PM LO]]),(Table133[[#This Row],[PM Hi]]-Table133[[#This Row],[Lowest lo from open to squeeze]])/(Table133[[#This Row],[PM Hi]]-Table133[[#This Row],[PM LO]])))))</f>
        <v>#DIV/0!</v>
      </c>
      <c r="AO145" s="18" t="e">
        <f>IF(J145&gt;=F145,(J145-K145)/(J145-D145),(IF(H145&lt;=K145,(F145-H145)/(F145-D145),(Table133[[#This Row],[PM Hi]]-Table133[[#This Row],[Lowest lo from open to squeeze]])/(Table133[[#This Row],[PM Hi]]-Table133[[#This Row],[Prior day close]]))))</f>
        <v>#DIV/0!</v>
      </c>
      <c r="AP145" s="17">
        <f>390+Table133[[#This Row],[Time until ideal entry point (mins) from open]]</f>
        <v>390</v>
      </c>
      <c r="AQ145" s="17">
        <f>Table133[[#This Row],[Time until ideal entry + 390 (6:30)]]+Table133[[#This Row],[Duration of frontside (mins)]]</f>
        <v>390</v>
      </c>
    </row>
    <row r="146" spans="1:43" x14ac:dyDescent="0.25">
      <c r="A146" s="24" t="s">
        <v>275</v>
      </c>
      <c r="B146" s="47">
        <v>44109</v>
      </c>
      <c r="C146" s="47" t="s">
        <v>364</v>
      </c>
      <c r="D146" s="12"/>
      <c r="E146" s="13"/>
      <c r="F146" s="12"/>
      <c r="G146" s="12"/>
      <c r="H146" s="12"/>
      <c r="I146" s="12"/>
      <c r="J146" s="12"/>
      <c r="K146" s="12"/>
      <c r="N146" s="13"/>
      <c r="P146" s="37"/>
      <c r="Q146" s="46"/>
      <c r="R146" s="37"/>
      <c r="S146" s="37"/>
      <c r="T146" s="37"/>
      <c r="U146" s="38"/>
      <c r="V146" s="46"/>
      <c r="W146" s="37"/>
      <c r="X146" s="46"/>
      <c r="Y146" s="41">
        <f>Table133[[#This Row],[Time until ideal entry + 390 (6:30)]]/(1440)</f>
        <v>0.27083333333333331</v>
      </c>
      <c r="Z146" s="18" t="e">
        <f>(F146-D146)/D146</f>
        <v>#DIV/0!</v>
      </c>
      <c r="AA146" s="18" t="e">
        <f>IF(Table133[[#This Row],[HOD AFTER PM HI]]&gt;=Table133[[#This Row],[PM Hi]],((Table133[[#This Row],[HOD AFTER PM HI]]-Table133[[#This Row],[Prior day close]])/Table133[[#This Row],[Prior day close]]),Table133[[#This Row],[Prior Close to PM Hi %]])</f>
        <v>#DIV/0!</v>
      </c>
      <c r="AB146" s="42" t="e">
        <f>(Table133[[#This Row],[Price at hi of squeeze]]-Table133[[#This Row],[MKT Open Price]])/Table133[[#This Row],[MKT Open Price]]</f>
        <v>#DIV/0!</v>
      </c>
      <c r="AC146" s="18" t="e">
        <f>(Table133[[#This Row],[Price at hi of squeeze]]-Table133[[#This Row],[PM Hi]])/Table133[[#This Row],[PM Hi]]</f>
        <v>#DIV/0!</v>
      </c>
      <c r="AD146" s="18"/>
      <c r="AE146" s="20" t="e">
        <f>Table133[[#This Row],[PM VOL]]/1000000/Table133[[#This Row],[FLOAT(M)]]</f>
        <v>#DIV/0!</v>
      </c>
      <c r="AF146" s="23" t="e">
        <f>(Table133[[#This Row],[Volume]]/1000000)/Table133[[#This Row],[FLOAT(M)]]</f>
        <v>#DIV/0!</v>
      </c>
      <c r="AH146" s="18" t="e">
        <f>(Table133[[#This Row],[PM Hi]]-Table133[[#This Row],[MKT Open Price]])/(Table133[[#This Row],[PM Hi]])</f>
        <v>#DIV/0!</v>
      </c>
      <c r="AI146" s="18" t="e">
        <f>IF(Table133[[#This Row],[PM LO]]&gt;Table133[[#This Row],[Prior day close]],(Table133[[#This Row],[PM Hi]]-Table133[[#This Row],[MKT Open Price]])/(Table133[[#This Row],[PM Hi]]-Table133[[#This Row],[Prior day close]]),(Table133[[#This Row],[PM Hi]]-Table133[[#This Row],[MKT Open Price]])/(Table133[[#This Row],[PM Hi]]-Table133[[#This Row],[PM LO]]))</f>
        <v>#DIV/0!</v>
      </c>
      <c r="AJ146" s="48" t="e">
        <f>IF(Table133[[#This Row],[Prior day close]]&lt;Table133[[#This Row],[PM LO]],(I146-K146)/(I146-Table133[[#This Row],[Prior day close]]),(I146-K146)/(I146-Table133[[#This Row],[PM LO]]))</f>
        <v>#DIV/0!</v>
      </c>
      <c r="AK146" s="48" t="e">
        <f>Table133[[#This Row],[Spike % on open before drop]]+AL146</f>
        <v>#DIV/0!</v>
      </c>
      <c r="AL146" s="16" t="e">
        <f>(I146-K146)/I146</f>
        <v>#DIV/0!</v>
      </c>
      <c r="AM146" s="18" t="e">
        <f>IF($J146&gt;=$F146,($J146-$K146)/($J146),(IF($H146&lt;=$K146,($F146-$H146)/($F146),(Table133[[#This Row],[PM Hi]]-Table133[[#This Row],[Lowest lo from open to squeeze]])/(Table133[[#This Row],[PM Hi]]))))</f>
        <v>#DIV/0!</v>
      </c>
      <c r="AN146" s="48" t="e">
        <f>IF(Table133[[#This Row],[Prior day close]]&lt;=Table133[[#This Row],[PM LO]],IF($J146&gt;=$F146,($J146-$K146)/($J146-Table133[[#This Row],[Prior day close]]),(IF($H146&lt;=$K146,($F146-$H146)/($F146-Table133[[#This Row],[Prior day close]]),(Table133[[#This Row],[PM Hi]]-Table133[[#This Row],[Lowest lo from open to squeeze]])/(Table133[[#This Row],[PM Hi]]-Table133[[#This Row],[Prior day close]])))),IF($J146&gt;=$F146,($J146-$K146)/($J146-Table133[[#This Row],[PM LO]]),(IF($H146&lt;=$K146,($F146-$H146)/($F146-Table133[[#This Row],[PM LO]]),(Table133[[#This Row],[PM Hi]]-Table133[[#This Row],[Lowest lo from open to squeeze]])/(Table133[[#This Row],[PM Hi]]-Table133[[#This Row],[PM LO]])))))</f>
        <v>#DIV/0!</v>
      </c>
      <c r="AO146" s="18" t="e">
        <f>IF(J146&gt;=F146,(J146-K146)/(J146-D146),(IF(H146&lt;=K146,(F146-H146)/(F146-D146),(Table133[[#This Row],[PM Hi]]-Table133[[#This Row],[Lowest lo from open to squeeze]])/(Table133[[#This Row],[PM Hi]]-Table133[[#This Row],[Prior day close]]))))</f>
        <v>#DIV/0!</v>
      </c>
      <c r="AP146" s="17">
        <f>390+Table133[[#This Row],[Time until ideal entry point (mins) from open]]</f>
        <v>390</v>
      </c>
      <c r="AQ146" s="17">
        <f>Table133[[#This Row],[Time until ideal entry + 390 (6:30)]]+Table133[[#This Row],[Duration of frontside (mins)]]</f>
        <v>390</v>
      </c>
    </row>
    <row r="147" spans="1:43" x14ac:dyDescent="0.25">
      <c r="A147" s="24" t="s">
        <v>74</v>
      </c>
      <c r="B147" s="47">
        <v>44113</v>
      </c>
      <c r="C147" s="47" t="s">
        <v>364</v>
      </c>
      <c r="D147" s="12"/>
      <c r="E147" s="13"/>
      <c r="F147" s="12"/>
      <c r="G147" s="12"/>
      <c r="H147" s="12"/>
      <c r="I147" s="12"/>
      <c r="J147" s="12"/>
      <c r="K147" s="12"/>
      <c r="N147" s="13"/>
      <c r="P147" s="37"/>
      <c r="Q147" s="46"/>
      <c r="R147" s="37"/>
      <c r="S147" s="37"/>
      <c r="T147" s="37"/>
      <c r="U147" s="38"/>
      <c r="V147" s="46"/>
      <c r="W147" s="37"/>
      <c r="X147" s="46"/>
      <c r="Y147" s="41">
        <f>Table133[[#This Row],[Time until ideal entry + 390 (6:30)]]/(1440)</f>
        <v>0.27083333333333331</v>
      </c>
      <c r="Z147" s="18" t="e">
        <f>(F147-D147)/D147</f>
        <v>#DIV/0!</v>
      </c>
      <c r="AA147" s="18" t="e">
        <f>IF(Table133[[#This Row],[HOD AFTER PM HI]]&gt;=Table133[[#This Row],[PM Hi]],((Table133[[#This Row],[HOD AFTER PM HI]]-Table133[[#This Row],[Prior day close]])/Table133[[#This Row],[Prior day close]]),Table133[[#This Row],[Prior Close to PM Hi %]])</f>
        <v>#DIV/0!</v>
      </c>
      <c r="AB147" s="42" t="e">
        <f>(Table133[[#This Row],[Price at hi of squeeze]]-Table133[[#This Row],[MKT Open Price]])/Table133[[#This Row],[MKT Open Price]]</f>
        <v>#DIV/0!</v>
      </c>
      <c r="AC147" s="18" t="e">
        <f>(Table133[[#This Row],[Price at hi of squeeze]]-Table133[[#This Row],[PM Hi]])/Table133[[#This Row],[PM Hi]]</f>
        <v>#DIV/0!</v>
      </c>
      <c r="AD147" s="18"/>
      <c r="AE147" s="20" t="e">
        <f>Table133[[#This Row],[PM VOL]]/1000000/Table133[[#This Row],[FLOAT(M)]]</f>
        <v>#DIV/0!</v>
      </c>
      <c r="AF147" s="23" t="e">
        <f>(Table133[[#This Row],[Volume]]/1000000)/Table133[[#This Row],[FLOAT(M)]]</f>
        <v>#DIV/0!</v>
      </c>
      <c r="AH147" s="18" t="e">
        <f>(Table133[[#This Row],[PM Hi]]-Table133[[#This Row],[MKT Open Price]])/(Table133[[#This Row],[PM Hi]])</f>
        <v>#DIV/0!</v>
      </c>
      <c r="AI147" s="18" t="e">
        <f>IF(Table133[[#This Row],[PM LO]]&gt;Table133[[#This Row],[Prior day close]],(Table133[[#This Row],[PM Hi]]-Table133[[#This Row],[MKT Open Price]])/(Table133[[#This Row],[PM Hi]]-Table133[[#This Row],[Prior day close]]),(Table133[[#This Row],[PM Hi]]-Table133[[#This Row],[MKT Open Price]])/(Table133[[#This Row],[PM Hi]]-Table133[[#This Row],[PM LO]]))</f>
        <v>#DIV/0!</v>
      </c>
      <c r="AJ147" s="48" t="e">
        <f>IF(Table133[[#This Row],[Prior day close]]&lt;Table133[[#This Row],[PM LO]],(I147-K147)/(I147-Table133[[#This Row],[Prior day close]]),(I147-K147)/(I147-Table133[[#This Row],[PM LO]]))</f>
        <v>#DIV/0!</v>
      </c>
      <c r="AK147" s="48" t="e">
        <f>Table133[[#This Row],[Spike % on open before drop]]+AL147</f>
        <v>#DIV/0!</v>
      </c>
      <c r="AL147" s="16" t="e">
        <f>(I147-K147)/I147</f>
        <v>#DIV/0!</v>
      </c>
      <c r="AM147" s="18" t="e">
        <f>IF($J147&gt;=$F147,($J147-$K147)/($J147),(IF($H147&lt;=$K147,($F147-$H147)/($F147),(Table133[[#This Row],[PM Hi]]-Table133[[#This Row],[Lowest lo from open to squeeze]])/(Table133[[#This Row],[PM Hi]]))))</f>
        <v>#DIV/0!</v>
      </c>
      <c r="AN147" s="48" t="e">
        <f>IF(Table133[[#This Row],[Prior day close]]&lt;=Table133[[#This Row],[PM LO]],IF($J147&gt;=$F147,($J147-$K147)/($J147-Table133[[#This Row],[Prior day close]]),(IF($H147&lt;=$K147,($F147-$H147)/($F147-Table133[[#This Row],[Prior day close]]),(Table133[[#This Row],[PM Hi]]-Table133[[#This Row],[Lowest lo from open to squeeze]])/(Table133[[#This Row],[PM Hi]]-Table133[[#This Row],[Prior day close]])))),IF($J147&gt;=$F147,($J147-$K147)/($J147-Table133[[#This Row],[PM LO]]),(IF($H147&lt;=$K147,($F147-$H147)/($F147-Table133[[#This Row],[PM LO]]),(Table133[[#This Row],[PM Hi]]-Table133[[#This Row],[Lowest lo from open to squeeze]])/(Table133[[#This Row],[PM Hi]]-Table133[[#This Row],[PM LO]])))))</f>
        <v>#DIV/0!</v>
      </c>
      <c r="AO147" s="18" t="e">
        <f>IF(J147&gt;=F147,(J147-K147)/(J147-D147),(IF(H147&lt;=K147,(F147-H147)/(F147-D147),(Table133[[#This Row],[PM Hi]]-Table133[[#This Row],[Lowest lo from open to squeeze]])/(Table133[[#This Row],[PM Hi]]-Table133[[#This Row],[Prior day close]]))))</f>
        <v>#DIV/0!</v>
      </c>
      <c r="AP147" s="17">
        <f>390+Table133[[#This Row],[Time until ideal entry point (mins) from open]]</f>
        <v>390</v>
      </c>
      <c r="AQ147" s="17">
        <f>Table133[[#This Row],[Time until ideal entry + 390 (6:30)]]+Table133[[#This Row],[Duration of frontside (mins)]]</f>
        <v>390</v>
      </c>
    </row>
    <row r="148" spans="1:43" x14ac:dyDescent="0.25">
      <c r="A148" s="24" t="s">
        <v>279</v>
      </c>
      <c r="B148" s="47">
        <v>44119</v>
      </c>
      <c r="C148" s="47" t="s">
        <v>364</v>
      </c>
      <c r="D148" s="12"/>
      <c r="E148" s="13"/>
      <c r="F148" s="12"/>
      <c r="G148" s="12"/>
      <c r="H148" s="12"/>
      <c r="I148" s="12"/>
      <c r="J148" s="12"/>
      <c r="K148" s="12"/>
      <c r="N148" s="13"/>
      <c r="P148" s="37"/>
      <c r="Q148" s="46"/>
      <c r="R148" s="37"/>
      <c r="S148" s="37"/>
      <c r="T148" s="37"/>
      <c r="U148" s="38"/>
      <c r="V148" s="46"/>
      <c r="W148" s="37"/>
      <c r="X148" s="46"/>
      <c r="Y148" s="41">
        <f>Table133[[#This Row],[Time until ideal entry + 390 (6:30)]]/(1440)</f>
        <v>0.27083333333333331</v>
      </c>
      <c r="Z148" s="18" t="e">
        <f>(F148-D148)/D148</f>
        <v>#DIV/0!</v>
      </c>
      <c r="AA148" s="18" t="e">
        <f>IF(Table133[[#This Row],[HOD AFTER PM HI]]&gt;=Table133[[#This Row],[PM Hi]],((Table133[[#This Row],[HOD AFTER PM HI]]-Table133[[#This Row],[Prior day close]])/Table133[[#This Row],[Prior day close]]),Table133[[#This Row],[Prior Close to PM Hi %]])</f>
        <v>#DIV/0!</v>
      </c>
      <c r="AB148" s="42" t="e">
        <f>(Table133[[#This Row],[Price at hi of squeeze]]-Table133[[#This Row],[MKT Open Price]])/Table133[[#This Row],[MKT Open Price]]</f>
        <v>#DIV/0!</v>
      </c>
      <c r="AC148" s="18" t="e">
        <f>(Table133[[#This Row],[Price at hi of squeeze]]-Table133[[#This Row],[PM Hi]])/Table133[[#This Row],[PM Hi]]</f>
        <v>#DIV/0!</v>
      </c>
      <c r="AD148" s="18"/>
      <c r="AE148" s="20" t="e">
        <f>Table133[[#This Row],[PM VOL]]/1000000/Table133[[#This Row],[FLOAT(M)]]</f>
        <v>#DIV/0!</v>
      </c>
      <c r="AF148" s="23" t="e">
        <f>(Table133[[#This Row],[Volume]]/1000000)/Table133[[#This Row],[FLOAT(M)]]</f>
        <v>#DIV/0!</v>
      </c>
      <c r="AH148" s="18" t="e">
        <f>(Table133[[#This Row],[PM Hi]]-Table133[[#This Row],[MKT Open Price]])/(Table133[[#This Row],[PM Hi]])</f>
        <v>#DIV/0!</v>
      </c>
      <c r="AI148" s="18" t="e">
        <f>IF(Table133[[#This Row],[PM LO]]&gt;Table133[[#This Row],[Prior day close]],(Table133[[#This Row],[PM Hi]]-Table133[[#This Row],[MKT Open Price]])/(Table133[[#This Row],[PM Hi]]-Table133[[#This Row],[Prior day close]]),(Table133[[#This Row],[PM Hi]]-Table133[[#This Row],[MKT Open Price]])/(Table133[[#This Row],[PM Hi]]-Table133[[#This Row],[PM LO]]))</f>
        <v>#DIV/0!</v>
      </c>
      <c r="AJ148" s="48" t="e">
        <f>IF(Table133[[#This Row],[Prior day close]]&lt;Table133[[#This Row],[PM LO]],(I148-K148)/(I148-Table133[[#This Row],[Prior day close]]),(I148-K148)/(I148-Table133[[#This Row],[PM LO]]))</f>
        <v>#DIV/0!</v>
      </c>
      <c r="AK148" s="48" t="e">
        <f>Table133[[#This Row],[Spike % on open before drop]]+AL148</f>
        <v>#DIV/0!</v>
      </c>
      <c r="AL148" s="16" t="e">
        <f>(I148-K148)/I148</f>
        <v>#DIV/0!</v>
      </c>
      <c r="AM148" s="18" t="e">
        <f>IF($J148&gt;=$F148,($J148-$K148)/($J148),(IF($H148&lt;=$K148,($F148-$H148)/($F148),(Table133[[#This Row],[PM Hi]]-Table133[[#This Row],[Lowest lo from open to squeeze]])/(Table133[[#This Row],[PM Hi]]))))</f>
        <v>#DIV/0!</v>
      </c>
      <c r="AN148" s="48" t="e">
        <f>IF(Table133[[#This Row],[Prior day close]]&lt;=Table133[[#This Row],[PM LO]],IF($J148&gt;=$F148,($J148-$K148)/($J148-Table133[[#This Row],[Prior day close]]),(IF($H148&lt;=$K148,($F148-$H148)/($F148-Table133[[#This Row],[Prior day close]]),(Table133[[#This Row],[PM Hi]]-Table133[[#This Row],[Lowest lo from open to squeeze]])/(Table133[[#This Row],[PM Hi]]-Table133[[#This Row],[Prior day close]])))),IF($J148&gt;=$F148,($J148-$K148)/($J148-Table133[[#This Row],[PM LO]]),(IF($H148&lt;=$K148,($F148-$H148)/($F148-Table133[[#This Row],[PM LO]]),(Table133[[#This Row],[PM Hi]]-Table133[[#This Row],[Lowest lo from open to squeeze]])/(Table133[[#This Row],[PM Hi]]-Table133[[#This Row],[PM LO]])))))</f>
        <v>#DIV/0!</v>
      </c>
      <c r="AO148" s="18" t="e">
        <f>IF(J148&gt;=F148,(J148-K148)/(J148-D148),(IF(H148&lt;=K148,(F148-H148)/(F148-D148),(Table133[[#This Row],[PM Hi]]-Table133[[#This Row],[Lowest lo from open to squeeze]])/(Table133[[#This Row],[PM Hi]]-Table133[[#This Row],[Prior day close]]))))</f>
        <v>#DIV/0!</v>
      </c>
      <c r="AP148" s="17">
        <f>390+Table133[[#This Row],[Time until ideal entry point (mins) from open]]</f>
        <v>390</v>
      </c>
      <c r="AQ148" s="17">
        <f>Table133[[#This Row],[Time until ideal entry + 390 (6:30)]]+Table133[[#This Row],[Duration of frontside (mins)]]</f>
        <v>390</v>
      </c>
    </row>
    <row r="149" spans="1:43" x14ac:dyDescent="0.25">
      <c r="A149" s="24" t="s">
        <v>245</v>
      </c>
      <c r="B149" s="47">
        <v>43999</v>
      </c>
      <c r="C149" s="47" t="s">
        <v>178</v>
      </c>
      <c r="D149" s="12"/>
      <c r="E149" s="13"/>
      <c r="F149" s="12"/>
      <c r="G149" s="12"/>
      <c r="H149" s="12"/>
      <c r="I149" s="12"/>
      <c r="J149" s="12"/>
      <c r="K149" s="12"/>
      <c r="N149" s="13"/>
      <c r="P149" s="37"/>
      <c r="Q149" s="46"/>
      <c r="R149" s="37"/>
      <c r="S149" s="37"/>
      <c r="T149" s="37"/>
      <c r="U149" s="38"/>
      <c r="V149" s="46"/>
      <c r="W149" s="37"/>
      <c r="X149" s="46"/>
      <c r="Y149" s="41">
        <f>Table133[[#This Row],[Time until ideal entry + 390 (6:30)]]/(1440)</f>
        <v>0.27083333333333331</v>
      </c>
      <c r="Z149" s="18" t="e">
        <f>(F149-D149)/D149</f>
        <v>#DIV/0!</v>
      </c>
      <c r="AA149" s="18" t="e">
        <f>IF(Table133[[#This Row],[HOD AFTER PM HI]]&gt;=Table133[[#This Row],[PM Hi]],((Table133[[#This Row],[HOD AFTER PM HI]]-Table133[[#This Row],[Prior day close]])/Table133[[#This Row],[Prior day close]]),Table133[[#This Row],[Prior Close to PM Hi %]])</f>
        <v>#DIV/0!</v>
      </c>
      <c r="AB149" s="42" t="e">
        <f>(Table133[[#This Row],[Price at hi of squeeze]]-Table133[[#This Row],[MKT Open Price]])/Table133[[#This Row],[MKT Open Price]]</f>
        <v>#DIV/0!</v>
      </c>
      <c r="AC149" s="18" t="e">
        <f>(Table133[[#This Row],[Price at hi of squeeze]]-Table133[[#This Row],[PM Hi]])/Table133[[#This Row],[PM Hi]]</f>
        <v>#DIV/0!</v>
      </c>
      <c r="AD149" s="18"/>
      <c r="AE149" s="20" t="e">
        <f>Table133[[#This Row],[PM VOL]]/1000000/Table133[[#This Row],[FLOAT(M)]]</f>
        <v>#DIV/0!</v>
      </c>
      <c r="AF149" s="23" t="e">
        <f>(Table133[[#This Row],[Volume]]/1000000)/Table133[[#This Row],[FLOAT(M)]]</f>
        <v>#DIV/0!</v>
      </c>
      <c r="AH149" s="18" t="e">
        <f>(Table133[[#This Row],[PM Hi]]-Table133[[#This Row],[MKT Open Price]])/(Table133[[#This Row],[PM Hi]])</f>
        <v>#DIV/0!</v>
      </c>
      <c r="AI149" s="18" t="e">
        <f>IF(Table133[[#This Row],[PM LO]]&gt;Table133[[#This Row],[Prior day close]],(Table133[[#This Row],[PM Hi]]-Table133[[#This Row],[MKT Open Price]])/(Table133[[#This Row],[PM Hi]]-Table133[[#This Row],[Prior day close]]),(Table133[[#This Row],[PM Hi]]-Table133[[#This Row],[MKT Open Price]])/(Table133[[#This Row],[PM Hi]]-Table133[[#This Row],[PM LO]]))</f>
        <v>#DIV/0!</v>
      </c>
      <c r="AJ149" s="48" t="e">
        <f>IF(Table133[[#This Row],[Prior day close]]&lt;Table133[[#This Row],[PM LO]],(I149-K149)/(I149-Table133[[#This Row],[Prior day close]]),(I149-K149)/(I149-Table133[[#This Row],[PM LO]]))</f>
        <v>#DIV/0!</v>
      </c>
      <c r="AK149" s="48" t="e">
        <f>Table133[[#This Row],[Spike % on open before drop]]+AL149</f>
        <v>#DIV/0!</v>
      </c>
      <c r="AL149" s="16" t="e">
        <f>(I149-K149)/I149</f>
        <v>#DIV/0!</v>
      </c>
      <c r="AM149" s="18" t="e">
        <f>IF($J149&gt;=$F149,($J149-$K149)/($J149),(IF($H149&lt;=$K149,($F149-$H149)/($F149),(Table133[[#This Row],[PM Hi]]-Table133[[#This Row],[Lowest lo from open to squeeze]])/(Table133[[#This Row],[PM Hi]]))))</f>
        <v>#DIV/0!</v>
      </c>
      <c r="AN149" s="48" t="e">
        <f>IF(Table133[[#This Row],[Prior day close]]&lt;=Table133[[#This Row],[PM LO]],IF($J149&gt;=$F149,($J149-$K149)/($J149-Table133[[#This Row],[Prior day close]]),(IF($H149&lt;=$K149,($F149-$H149)/($F149-Table133[[#This Row],[Prior day close]]),(Table133[[#This Row],[PM Hi]]-Table133[[#This Row],[Lowest lo from open to squeeze]])/(Table133[[#This Row],[PM Hi]]-Table133[[#This Row],[Prior day close]])))),IF($J149&gt;=$F149,($J149-$K149)/($J149-Table133[[#This Row],[PM LO]]),(IF($H149&lt;=$K149,($F149-$H149)/($F149-Table133[[#This Row],[PM LO]]),(Table133[[#This Row],[PM Hi]]-Table133[[#This Row],[Lowest lo from open to squeeze]])/(Table133[[#This Row],[PM Hi]]-Table133[[#This Row],[PM LO]])))))</f>
        <v>#DIV/0!</v>
      </c>
      <c r="AO149" s="18" t="e">
        <f>IF(J149&gt;=F149,(J149-K149)/(J149-D149),(IF(H149&lt;=K149,(F149-H149)/(F149-D149),(Table133[[#This Row],[PM Hi]]-Table133[[#This Row],[Lowest lo from open to squeeze]])/(Table133[[#This Row],[PM Hi]]-Table133[[#This Row],[Prior day close]]))))</f>
        <v>#DIV/0!</v>
      </c>
      <c r="AP149" s="17">
        <f>390+Table133[[#This Row],[Time until ideal entry point (mins) from open]]</f>
        <v>390</v>
      </c>
      <c r="AQ149" s="17">
        <f>Table133[[#This Row],[Time until ideal entry + 390 (6:30)]]+Table133[[#This Row],[Duration of frontside (mins)]]</f>
        <v>390</v>
      </c>
    </row>
    <row r="150" spans="1:43" x14ac:dyDescent="0.25">
      <c r="A150" s="24" t="s">
        <v>282</v>
      </c>
      <c r="B150" s="47">
        <v>44126</v>
      </c>
      <c r="C150" s="47" t="s">
        <v>364</v>
      </c>
      <c r="D150" s="12"/>
      <c r="E150" s="13"/>
      <c r="F150" s="12"/>
      <c r="G150" s="12"/>
      <c r="H150" s="12"/>
      <c r="I150" s="12"/>
      <c r="J150" s="12"/>
      <c r="K150" s="12"/>
      <c r="N150" s="13"/>
      <c r="P150" s="37"/>
      <c r="Q150" s="46"/>
      <c r="R150" s="37"/>
      <c r="S150" s="37"/>
      <c r="T150" s="37"/>
      <c r="U150" s="38"/>
      <c r="V150" s="46"/>
      <c r="W150" s="37"/>
      <c r="X150" s="46"/>
      <c r="Y150" s="41">
        <f>Table133[[#This Row],[Time until ideal entry + 390 (6:30)]]/(1440)</f>
        <v>0.27083333333333331</v>
      </c>
      <c r="Z150" s="18" t="e">
        <f>(F150-D150)/D150</f>
        <v>#DIV/0!</v>
      </c>
      <c r="AA150" s="18" t="e">
        <f>IF(Table133[[#This Row],[HOD AFTER PM HI]]&gt;=Table133[[#This Row],[PM Hi]],((Table133[[#This Row],[HOD AFTER PM HI]]-Table133[[#This Row],[Prior day close]])/Table133[[#This Row],[Prior day close]]),Table133[[#This Row],[Prior Close to PM Hi %]])</f>
        <v>#DIV/0!</v>
      </c>
      <c r="AB150" s="42" t="e">
        <f>(Table133[[#This Row],[Price at hi of squeeze]]-Table133[[#This Row],[MKT Open Price]])/Table133[[#This Row],[MKT Open Price]]</f>
        <v>#DIV/0!</v>
      </c>
      <c r="AC150" s="18" t="e">
        <f>(Table133[[#This Row],[Price at hi of squeeze]]-Table133[[#This Row],[PM Hi]])/Table133[[#This Row],[PM Hi]]</f>
        <v>#DIV/0!</v>
      </c>
      <c r="AD150" s="18"/>
      <c r="AE150" s="20" t="e">
        <f>Table133[[#This Row],[PM VOL]]/1000000/Table133[[#This Row],[FLOAT(M)]]</f>
        <v>#DIV/0!</v>
      </c>
      <c r="AF150" s="23" t="e">
        <f>(Table133[[#This Row],[Volume]]/1000000)/Table133[[#This Row],[FLOAT(M)]]</f>
        <v>#DIV/0!</v>
      </c>
      <c r="AH150" s="18" t="e">
        <f>(Table133[[#This Row],[PM Hi]]-Table133[[#This Row],[MKT Open Price]])/(Table133[[#This Row],[PM Hi]])</f>
        <v>#DIV/0!</v>
      </c>
      <c r="AI150" s="18" t="e">
        <f>IF(Table133[[#This Row],[PM LO]]&gt;Table133[[#This Row],[Prior day close]],(Table133[[#This Row],[PM Hi]]-Table133[[#This Row],[MKT Open Price]])/(Table133[[#This Row],[PM Hi]]-Table133[[#This Row],[Prior day close]]),(Table133[[#This Row],[PM Hi]]-Table133[[#This Row],[MKT Open Price]])/(Table133[[#This Row],[PM Hi]]-Table133[[#This Row],[PM LO]]))</f>
        <v>#DIV/0!</v>
      </c>
      <c r="AJ150" s="48" t="e">
        <f>IF(Table133[[#This Row],[Prior day close]]&lt;Table133[[#This Row],[PM LO]],(I150-K150)/(I150-Table133[[#This Row],[Prior day close]]),(I150-K150)/(I150-Table133[[#This Row],[PM LO]]))</f>
        <v>#DIV/0!</v>
      </c>
      <c r="AK150" s="48" t="e">
        <f>Table133[[#This Row],[Spike % on open before drop]]+AL150</f>
        <v>#DIV/0!</v>
      </c>
      <c r="AL150" s="16" t="e">
        <f>(I150-K150)/I150</f>
        <v>#DIV/0!</v>
      </c>
      <c r="AM150" s="18" t="e">
        <f>IF($J150&gt;=$F150,($J150-$K150)/($J150),(IF($H150&lt;=$K150,($F150-$H150)/($F150),(Table133[[#This Row],[PM Hi]]-Table133[[#This Row],[Lowest lo from open to squeeze]])/(Table133[[#This Row],[PM Hi]]))))</f>
        <v>#DIV/0!</v>
      </c>
      <c r="AN150" s="48" t="e">
        <f>IF(Table133[[#This Row],[Prior day close]]&lt;=Table133[[#This Row],[PM LO]],IF($J150&gt;=$F150,($J150-$K150)/($J150-Table133[[#This Row],[Prior day close]]),(IF($H150&lt;=$K150,($F150-$H150)/($F150-Table133[[#This Row],[Prior day close]]),(Table133[[#This Row],[PM Hi]]-Table133[[#This Row],[Lowest lo from open to squeeze]])/(Table133[[#This Row],[PM Hi]]-Table133[[#This Row],[Prior day close]])))),IF($J150&gt;=$F150,($J150-$K150)/($J150-Table133[[#This Row],[PM LO]]),(IF($H150&lt;=$K150,($F150-$H150)/($F150-Table133[[#This Row],[PM LO]]),(Table133[[#This Row],[PM Hi]]-Table133[[#This Row],[Lowest lo from open to squeeze]])/(Table133[[#This Row],[PM Hi]]-Table133[[#This Row],[PM LO]])))))</f>
        <v>#DIV/0!</v>
      </c>
      <c r="AO150" s="18" t="e">
        <f>IF(J150&gt;=F150,(J150-K150)/(J150-D150),(IF(H150&lt;=K150,(F150-H150)/(F150-D150),(Table133[[#This Row],[PM Hi]]-Table133[[#This Row],[Lowest lo from open to squeeze]])/(Table133[[#This Row],[PM Hi]]-Table133[[#This Row],[Prior day close]]))))</f>
        <v>#DIV/0!</v>
      </c>
      <c r="AP150" s="17">
        <f>390+Table133[[#This Row],[Time until ideal entry point (mins) from open]]</f>
        <v>390</v>
      </c>
      <c r="AQ150" s="17">
        <f>Table133[[#This Row],[Time until ideal entry + 390 (6:30)]]+Table133[[#This Row],[Duration of frontside (mins)]]</f>
        <v>390</v>
      </c>
    </row>
    <row r="151" spans="1:43" x14ac:dyDescent="0.25">
      <c r="A151" s="24" t="s">
        <v>284</v>
      </c>
      <c r="B151" s="47">
        <v>44130</v>
      </c>
      <c r="C151" s="47" t="s">
        <v>364</v>
      </c>
      <c r="D151" s="12"/>
      <c r="E151" s="13"/>
      <c r="F151" s="12"/>
      <c r="G151" s="12"/>
      <c r="H151" s="12"/>
      <c r="I151" s="12"/>
      <c r="J151" s="12"/>
      <c r="K151" s="12"/>
      <c r="N151" s="13"/>
      <c r="P151" s="37"/>
      <c r="Q151" s="46"/>
      <c r="R151" s="37"/>
      <c r="S151" s="37"/>
      <c r="T151" s="37"/>
      <c r="U151" s="38"/>
      <c r="V151" s="46"/>
      <c r="W151" s="37"/>
      <c r="X151" s="46"/>
      <c r="Y151" s="41">
        <f>Table133[[#This Row],[Time until ideal entry + 390 (6:30)]]/(1440)</f>
        <v>0.27083333333333331</v>
      </c>
      <c r="Z151" s="18" t="e">
        <f>(F151-D151)/D151</f>
        <v>#DIV/0!</v>
      </c>
      <c r="AA151" s="18" t="e">
        <f>IF(Table133[[#This Row],[HOD AFTER PM HI]]&gt;=Table133[[#This Row],[PM Hi]],((Table133[[#This Row],[HOD AFTER PM HI]]-Table133[[#This Row],[Prior day close]])/Table133[[#This Row],[Prior day close]]),Table133[[#This Row],[Prior Close to PM Hi %]])</f>
        <v>#DIV/0!</v>
      </c>
      <c r="AB151" s="42" t="e">
        <f>(Table133[[#This Row],[Price at hi of squeeze]]-Table133[[#This Row],[MKT Open Price]])/Table133[[#This Row],[MKT Open Price]]</f>
        <v>#DIV/0!</v>
      </c>
      <c r="AC151" s="18" t="e">
        <f>(Table133[[#This Row],[Price at hi of squeeze]]-Table133[[#This Row],[PM Hi]])/Table133[[#This Row],[PM Hi]]</f>
        <v>#DIV/0!</v>
      </c>
      <c r="AD151" s="18"/>
      <c r="AE151" s="20" t="e">
        <f>Table133[[#This Row],[PM VOL]]/1000000/Table133[[#This Row],[FLOAT(M)]]</f>
        <v>#DIV/0!</v>
      </c>
      <c r="AF151" s="23" t="e">
        <f>(Table133[[#This Row],[Volume]]/1000000)/Table133[[#This Row],[FLOAT(M)]]</f>
        <v>#DIV/0!</v>
      </c>
      <c r="AH151" s="18" t="e">
        <f>(Table133[[#This Row],[PM Hi]]-Table133[[#This Row],[MKT Open Price]])/(Table133[[#This Row],[PM Hi]])</f>
        <v>#DIV/0!</v>
      </c>
      <c r="AI151" s="18" t="e">
        <f>IF(Table133[[#This Row],[PM LO]]&gt;Table133[[#This Row],[Prior day close]],(Table133[[#This Row],[PM Hi]]-Table133[[#This Row],[MKT Open Price]])/(Table133[[#This Row],[PM Hi]]-Table133[[#This Row],[Prior day close]]),(Table133[[#This Row],[PM Hi]]-Table133[[#This Row],[MKT Open Price]])/(Table133[[#This Row],[PM Hi]]-Table133[[#This Row],[PM LO]]))</f>
        <v>#DIV/0!</v>
      </c>
      <c r="AJ151" s="48" t="e">
        <f>IF(Table133[[#This Row],[Prior day close]]&lt;Table133[[#This Row],[PM LO]],(I151-K151)/(I151-Table133[[#This Row],[Prior day close]]),(I151-K151)/(I151-Table133[[#This Row],[PM LO]]))</f>
        <v>#DIV/0!</v>
      </c>
      <c r="AK151" s="48" t="e">
        <f>Table133[[#This Row],[Spike % on open before drop]]+AL151</f>
        <v>#DIV/0!</v>
      </c>
      <c r="AL151" s="16" t="e">
        <f>(I151-K151)/I151</f>
        <v>#DIV/0!</v>
      </c>
      <c r="AM151" s="18" t="e">
        <f>IF($J151&gt;=$F151,($J151-$K151)/($J151),(IF($H151&lt;=$K151,($F151-$H151)/($F151),(Table133[[#This Row],[PM Hi]]-Table133[[#This Row],[Lowest lo from open to squeeze]])/(Table133[[#This Row],[PM Hi]]))))</f>
        <v>#DIV/0!</v>
      </c>
      <c r="AN151" s="48" t="e">
        <f>IF(Table133[[#This Row],[Prior day close]]&lt;=Table133[[#This Row],[PM LO]],IF($J151&gt;=$F151,($J151-$K151)/($J151-Table133[[#This Row],[Prior day close]]),(IF($H151&lt;=$K151,($F151-$H151)/($F151-Table133[[#This Row],[Prior day close]]),(Table133[[#This Row],[PM Hi]]-Table133[[#This Row],[Lowest lo from open to squeeze]])/(Table133[[#This Row],[PM Hi]]-Table133[[#This Row],[Prior day close]])))),IF($J151&gt;=$F151,($J151-$K151)/($J151-Table133[[#This Row],[PM LO]]),(IF($H151&lt;=$K151,($F151-$H151)/($F151-Table133[[#This Row],[PM LO]]),(Table133[[#This Row],[PM Hi]]-Table133[[#This Row],[Lowest lo from open to squeeze]])/(Table133[[#This Row],[PM Hi]]-Table133[[#This Row],[PM LO]])))))</f>
        <v>#DIV/0!</v>
      </c>
      <c r="AO151" s="18" t="e">
        <f>IF(J151&gt;=F151,(J151-K151)/(J151-D151),(IF(H151&lt;=K151,(F151-H151)/(F151-D151),(Table133[[#This Row],[PM Hi]]-Table133[[#This Row],[Lowest lo from open to squeeze]])/(Table133[[#This Row],[PM Hi]]-Table133[[#This Row],[Prior day close]]))))</f>
        <v>#DIV/0!</v>
      </c>
      <c r="AP151" s="17">
        <f>390+Table133[[#This Row],[Time until ideal entry point (mins) from open]]</f>
        <v>390</v>
      </c>
      <c r="AQ151" s="17">
        <f>Table133[[#This Row],[Time until ideal entry + 390 (6:30)]]+Table133[[#This Row],[Duration of frontside (mins)]]</f>
        <v>390</v>
      </c>
    </row>
    <row r="152" spans="1:43" x14ac:dyDescent="0.25">
      <c r="A152" s="24" t="s">
        <v>149</v>
      </c>
      <c r="B152" s="47">
        <v>44140</v>
      </c>
      <c r="C152" s="47" t="s">
        <v>364</v>
      </c>
      <c r="D152" s="12"/>
      <c r="E152" s="13"/>
      <c r="F152" s="12"/>
      <c r="G152" s="12"/>
      <c r="H152" s="12"/>
      <c r="I152" s="12"/>
      <c r="J152" s="12"/>
      <c r="K152" s="12"/>
      <c r="N152" s="13"/>
      <c r="P152" s="37"/>
      <c r="Q152" s="46"/>
      <c r="R152" s="37"/>
      <c r="S152" s="37"/>
      <c r="T152" s="37"/>
      <c r="U152" s="38"/>
      <c r="V152" s="46"/>
      <c r="W152" s="37"/>
      <c r="X152" s="46"/>
      <c r="Y152" s="41">
        <f>Table133[[#This Row],[Time until ideal entry + 390 (6:30)]]/(1440)</f>
        <v>0.27083333333333331</v>
      </c>
      <c r="Z152" s="18" t="e">
        <f>(F152-D152)/D152</f>
        <v>#DIV/0!</v>
      </c>
      <c r="AA152" s="18" t="e">
        <f>IF(Table133[[#This Row],[HOD AFTER PM HI]]&gt;=Table133[[#This Row],[PM Hi]],((Table133[[#This Row],[HOD AFTER PM HI]]-Table133[[#This Row],[Prior day close]])/Table133[[#This Row],[Prior day close]]),Table133[[#This Row],[Prior Close to PM Hi %]])</f>
        <v>#DIV/0!</v>
      </c>
      <c r="AB152" s="42" t="e">
        <f>(Table133[[#This Row],[Price at hi of squeeze]]-Table133[[#This Row],[MKT Open Price]])/Table133[[#This Row],[MKT Open Price]]</f>
        <v>#DIV/0!</v>
      </c>
      <c r="AC152" s="18" t="e">
        <f>(Table133[[#This Row],[Price at hi of squeeze]]-Table133[[#This Row],[PM Hi]])/Table133[[#This Row],[PM Hi]]</f>
        <v>#DIV/0!</v>
      </c>
      <c r="AD152" s="18"/>
      <c r="AE152" s="20" t="e">
        <f>Table133[[#This Row],[PM VOL]]/1000000/Table133[[#This Row],[FLOAT(M)]]</f>
        <v>#DIV/0!</v>
      </c>
      <c r="AF152" s="23" t="e">
        <f>(Table133[[#This Row],[Volume]]/1000000)/Table133[[#This Row],[FLOAT(M)]]</f>
        <v>#DIV/0!</v>
      </c>
      <c r="AH152" s="18" t="e">
        <f>(Table133[[#This Row],[PM Hi]]-Table133[[#This Row],[MKT Open Price]])/(Table133[[#This Row],[PM Hi]])</f>
        <v>#DIV/0!</v>
      </c>
      <c r="AI152" s="18" t="e">
        <f>IF(Table133[[#This Row],[PM LO]]&gt;Table133[[#This Row],[Prior day close]],(Table133[[#This Row],[PM Hi]]-Table133[[#This Row],[MKT Open Price]])/(Table133[[#This Row],[PM Hi]]-Table133[[#This Row],[Prior day close]]),(Table133[[#This Row],[PM Hi]]-Table133[[#This Row],[MKT Open Price]])/(Table133[[#This Row],[PM Hi]]-Table133[[#This Row],[PM LO]]))</f>
        <v>#DIV/0!</v>
      </c>
      <c r="AJ152" s="48" t="e">
        <f>IF(Table133[[#This Row],[Prior day close]]&lt;Table133[[#This Row],[PM LO]],(I152-K152)/(I152-Table133[[#This Row],[Prior day close]]),(I152-K152)/(I152-Table133[[#This Row],[PM LO]]))</f>
        <v>#DIV/0!</v>
      </c>
      <c r="AK152" s="48" t="e">
        <f>Table133[[#This Row],[Spike % on open before drop]]+AL152</f>
        <v>#DIV/0!</v>
      </c>
      <c r="AL152" s="16" t="e">
        <f>(I152-K152)/I152</f>
        <v>#DIV/0!</v>
      </c>
      <c r="AM152" s="18" t="e">
        <f>IF($J152&gt;=$F152,($J152-$K152)/($J152),(IF($H152&lt;=$K152,($F152-$H152)/($F152),(Table133[[#This Row],[PM Hi]]-Table133[[#This Row],[Lowest lo from open to squeeze]])/(Table133[[#This Row],[PM Hi]]))))</f>
        <v>#DIV/0!</v>
      </c>
      <c r="AN152" s="48" t="e">
        <f>IF(Table133[[#This Row],[Prior day close]]&lt;=Table133[[#This Row],[PM LO]],IF($J152&gt;=$F152,($J152-$K152)/($J152-Table133[[#This Row],[Prior day close]]),(IF($H152&lt;=$K152,($F152-$H152)/($F152-Table133[[#This Row],[Prior day close]]),(Table133[[#This Row],[PM Hi]]-Table133[[#This Row],[Lowest lo from open to squeeze]])/(Table133[[#This Row],[PM Hi]]-Table133[[#This Row],[Prior day close]])))),IF($J152&gt;=$F152,($J152-$K152)/($J152-Table133[[#This Row],[PM LO]]),(IF($H152&lt;=$K152,($F152-$H152)/($F152-Table133[[#This Row],[PM LO]]),(Table133[[#This Row],[PM Hi]]-Table133[[#This Row],[Lowest lo from open to squeeze]])/(Table133[[#This Row],[PM Hi]]-Table133[[#This Row],[PM LO]])))))</f>
        <v>#DIV/0!</v>
      </c>
      <c r="AO152" s="18" t="e">
        <f>IF(J152&gt;=F152,(J152-K152)/(J152-D152),(IF(H152&lt;=K152,(F152-H152)/(F152-D152),(Table133[[#This Row],[PM Hi]]-Table133[[#This Row],[Lowest lo from open to squeeze]])/(Table133[[#This Row],[PM Hi]]-Table133[[#This Row],[Prior day close]]))))</f>
        <v>#DIV/0!</v>
      </c>
      <c r="AP152" s="17">
        <f>390+Table133[[#This Row],[Time until ideal entry point (mins) from open]]</f>
        <v>390</v>
      </c>
      <c r="AQ152" s="17">
        <f>Table133[[#This Row],[Time until ideal entry + 390 (6:30)]]+Table133[[#This Row],[Duration of frontside (mins)]]</f>
        <v>390</v>
      </c>
    </row>
    <row r="153" spans="1:43" x14ac:dyDescent="0.25">
      <c r="A153" s="24" t="s">
        <v>286</v>
      </c>
      <c r="B153" s="47">
        <v>44144</v>
      </c>
      <c r="C153" s="47" t="s">
        <v>364</v>
      </c>
      <c r="D153" s="12"/>
      <c r="E153" s="13"/>
      <c r="F153" s="12"/>
      <c r="G153" s="12"/>
      <c r="H153" s="12"/>
      <c r="I153" s="12"/>
      <c r="J153" s="12"/>
      <c r="K153" s="12"/>
      <c r="N153" s="13"/>
      <c r="P153" s="37"/>
      <c r="Q153" s="46"/>
      <c r="R153" s="37"/>
      <c r="S153" s="37"/>
      <c r="T153" s="37"/>
      <c r="U153" s="38"/>
      <c r="V153" s="46"/>
      <c r="W153" s="37"/>
      <c r="X153" s="46"/>
      <c r="Y153" s="41">
        <f>Table133[[#This Row],[Time until ideal entry + 390 (6:30)]]/(1440)</f>
        <v>0.27083333333333331</v>
      </c>
      <c r="Z153" s="18" t="e">
        <f>(F153-D153)/D153</f>
        <v>#DIV/0!</v>
      </c>
      <c r="AA153" s="18" t="e">
        <f>IF(Table133[[#This Row],[HOD AFTER PM HI]]&gt;=Table133[[#This Row],[PM Hi]],((Table133[[#This Row],[HOD AFTER PM HI]]-Table133[[#This Row],[Prior day close]])/Table133[[#This Row],[Prior day close]]),Table133[[#This Row],[Prior Close to PM Hi %]])</f>
        <v>#DIV/0!</v>
      </c>
      <c r="AB153" s="42" t="e">
        <f>(Table133[[#This Row],[Price at hi of squeeze]]-Table133[[#This Row],[MKT Open Price]])/Table133[[#This Row],[MKT Open Price]]</f>
        <v>#DIV/0!</v>
      </c>
      <c r="AC153" s="18" t="e">
        <f>(Table133[[#This Row],[Price at hi of squeeze]]-Table133[[#This Row],[PM Hi]])/Table133[[#This Row],[PM Hi]]</f>
        <v>#DIV/0!</v>
      </c>
      <c r="AD153" s="18"/>
      <c r="AE153" s="20" t="e">
        <f>Table133[[#This Row],[PM VOL]]/1000000/Table133[[#This Row],[FLOAT(M)]]</f>
        <v>#DIV/0!</v>
      </c>
      <c r="AF153" s="23" t="e">
        <f>(Table133[[#This Row],[Volume]]/1000000)/Table133[[#This Row],[FLOAT(M)]]</f>
        <v>#DIV/0!</v>
      </c>
      <c r="AH153" s="18" t="e">
        <f>(Table133[[#This Row],[PM Hi]]-Table133[[#This Row],[MKT Open Price]])/(Table133[[#This Row],[PM Hi]])</f>
        <v>#DIV/0!</v>
      </c>
      <c r="AI153" s="18" t="e">
        <f>IF(Table133[[#This Row],[PM LO]]&gt;Table133[[#This Row],[Prior day close]],(Table133[[#This Row],[PM Hi]]-Table133[[#This Row],[MKT Open Price]])/(Table133[[#This Row],[PM Hi]]-Table133[[#This Row],[Prior day close]]),(Table133[[#This Row],[PM Hi]]-Table133[[#This Row],[MKT Open Price]])/(Table133[[#This Row],[PM Hi]]-Table133[[#This Row],[PM LO]]))</f>
        <v>#DIV/0!</v>
      </c>
      <c r="AJ153" s="48" t="e">
        <f>IF(Table133[[#This Row],[Prior day close]]&lt;Table133[[#This Row],[PM LO]],(I153-K153)/(I153-Table133[[#This Row],[Prior day close]]),(I153-K153)/(I153-Table133[[#This Row],[PM LO]]))</f>
        <v>#DIV/0!</v>
      </c>
      <c r="AK153" s="48" t="e">
        <f>Table133[[#This Row],[Spike % on open before drop]]+AL153</f>
        <v>#DIV/0!</v>
      </c>
      <c r="AL153" s="16" t="e">
        <f>(I153-K153)/I153</f>
        <v>#DIV/0!</v>
      </c>
      <c r="AM153" s="18" t="e">
        <f>IF($J153&gt;=$F153,($J153-$K153)/($J153),(IF($H153&lt;=$K153,($F153-$H153)/($F153),(Table133[[#This Row],[PM Hi]]-Table133[[#This Row],[Lowest lo from open to squeeze]])/(Table133[[#This Row],[PM Hi]]))))</f>
        <v>#DIV/0!</v>
      </c>
      <c r="AN153" s="48" t="e">
        <f>IF(Table133[[#This Row],[Prior day close]]&lt;=Table133[[#This Row],[PM LO]],IF($J153&gt;=$F153,($J153-$K153)/($J153-Table133[[#This Row],[Prior day close]]),(IF($H153&lt;=$K153,($F153-$H153)/($F153-Table133[[#This Row],[Prior day close]]),(Table133[[#This Row],[PM Hi]]-Table133[[#This Row],[Lowest lo from open to squeeze]])/(Table133[[#This Row],[PM Hi]]-Table133[[#This Row],[Prior day close]])))),IF($J153&gt;=$F153,($J153-$K153)/($J153-Table133[[#This Row],[PM LO]]),(IF($H153&lt;=$K153,($F153-$H153)/($F153-Table133[[#This Row],[PM LO]]),(Table133[[#This Row],[PM Hi]]-Table133[[#This Row],[Lowest lo from open to squeeze]])/(Table133[[#This Row],[PM Hi]]-Table133[[#This Row],[PM LO]])))))</f>
        <v>#DIV/0!</v>
      </c>
      <c r="AO153" s="18" t="e">
        <f>IF(J153&gt;=F153,(J153-K153)/(J153-D153),(IF(H153&lt;=K153,(F153-H153)/(F153-D153),(Table133[[#This Row],[PM Hi]]-Table133[[#This Row],[Lowest lo from open to squeeze]])/(Table133[[#This Row],[PM Hi]]-Table133[[#This Row],[Prior day close]]))))</f>
        <v>#DIV/0!</v>
      </c>
      <c r="AP153" s="17">
        <f>390+Table133[[#This Row],[Time until ideal entry point (mins) from open]]</f>
        <v>390</v>
      </c>
      <c r="AQ153" s="17">
        <f>Table133[[#This Row],[Time until ideal entry + 390 (6:30)]]+Table133[[#This Row],[Duration of frontside (mins)]]</f>
        <v>390</v>
      </c>
    </row>
    <row r="154" spans="1:43" x14ac:dyDescent="0.25">
      <c r="A154" s="24" t="s">
        <v>170</v>
      </c>
      <c r="B154" s="47">
        <v>44152</v>
      </c>
      <c r="C154" s="47" t="s">
        <v>364</v>
      </c>
      <c r="D154" s="12"/>
      <c r="E154" s="13"/>
      <c r="F154" s="12"/>
      <c r="G154" s="12"/>
      <c r="H154" s="12"/>
      <c r="I154" s="12"/>
      <c r="J154" s="12"/>
      <c r="K154" s="12"/>
      <c r="N154" s="13"/>
      <c r="P154" s="37"/>
      <c r="Q154" s="46"/>
      <c r="R154" s="37"/>
      <c r="S154" s="37"/>
      <c r="T154" s="37"/>
      <c r="U154" s="38"/>
      <c r="V154" s="46"/>
      <c r="W154" s="37"/>
      <c r="X154" s="46"/>
      <c r="Y154" s="41">
        <f>Table133[[#This Row],[Time until ideal entry + 390 (6:30)]]/(1440)</f>
        <v>0.27083333333333331</v>
      </c>
      <c r="Z154" s="18" t="e">
        <f>(F154-D154)/D154</f>
        <v>#DIV/0!</v>
      </c>
      <c r="AA154" s="18" t="e">
        <f>IF(Table133[[#This Row],[HOD AFTER PM HI]]&gt;=Table133[[#This Row],[PM Hi]],((Table133[[#This Row],[HOD AFTER PM HI]]-Table133[[#This Row],[Prior day close]])/Table133[[#This Row],[Prior day close]]),Table133[[#This Row],[Prior Close to PM Hi %]])</f>
        <v>#DIV/0!</v>
      </c>
      <c r="AB154" s="42" t="e">
        <f>(Table133[[#This Row],[Price at hi of squeeze]]-Table133[[#This Row],[MKT Open Price]])/Table133[[#This Row],[MKT Open Price]]</f>
        <v>#DIV/0!</v>
      </c>
      <c r="AC154" s="18" t="e">
        <f>(Table133[[#This Row],[Price at hi of squeeze]]-Table133[[#This Row],[PM Hi]])/Table133[[#This Row],[PM Hi]]</f>
        <v>#DIV/0!</v>
      </c>
      <c r="AD154" s="18"/>
      <c r="AE154" s="20" t="e">
        <f>Table133[[#This Row],[PM VOL]]/1000000/Table133[[#This Row],[FLOAT(M)]]</f>
        <v>#DIV/0!</v>
      </c>
      <c r="AF154" s="23" t="e">
        <f>(Table133[[#This Row],[Volume]]/1000000)/Table133[[#This Row],[FLOAT(M)]]</f>
        <v>#DIV/0!</v>
      </c>
      <c r="AH154" s="18" t="e">
        <f>(Table133[[#This Row],[PM Hi]]-Table133[[#This Row],[MKT Open Price]])/(Table133[[#This Row],[PM Hi]])</f>
        <v>#DIV/0!</v>
      </c>
      <c r="AI154" s="18" t="e">
        <f>IF(Table133[[#This Row],[PM LO]]&gt;Table133[[#This Row],[Prior day close]],(Table133[[#This Row],[PM Hi]]-Table133[[#This Row],[MKT Open Price]])/(Table133[[#This Row],[PM Hi]]-Table133[[#This Row],[Prior day close]]),(Table133[[#This Row],[PM Hi]]-Table133[[#This Row],[MKT Open Price]])/(Table133[[#This Row],[PM Hi]]-Table133[[#This Row],[PM LO]]))</f>
        <v>#DIV/0!</v>
      </c>
      <c r="AJ154" s="48" t="e">
        <f>IF(Table133[[#This Row],[Prior day close]]&lt;Table133[[#This Row],[PM LO]],(I154-K154)/(I154-Table133[[#This Row],[Prior day close]]),(I154-K154)/(I154-Table133[[#This Row],[PM LO]]))</f>
        <v>#DIV/0!</v>
      </c>
      <c r="AK154" s="48" t="e">
        <f>Table133[[#This Row],[Spike % on open before drop]]+AL154</f>
        <v>#DIV/0!</v>
      </c>
      <c r="AL154" s="16" t="e">
        <f>(I154-K154)/I154</f>
        <v>#DIV/0!</v>
      </c>
      <c r="AM154" s="18" t="e">
        <f>IF($J154&gt;=$F154,($J154-$K154)/($J154),(IF($H154&lt;=$K154,($F154-$H154)/($F154),(Table133[[#This Row],[PM Hi]]-Table133[[#This Row],[Lowest lo from open to squeeze]])/(Table133[[#This Row],[PM Hi]]))))</f>
        <v>#DIV/0!</v>
      </c>
      <c r="AN154" s="48" t="e">
        <f>IF(Table133[[#This Row],[Prior day close]]&lt;=Table133[[#This Row],[PM LO]],IF($J154&gt;=$F154,($J154-$K154)/($J154-Table133[[#This Row],[Prior day close]]),(IF($H154&lt;=$K154,($F154-$H154)/($F154-Table133[[#This Row],[Prior day close]]),(Table133[[#This Row],[PM Hi]]-Table133[[#This Row],[Lowest lo from open to squeeze]])/(Table133[[#This Row],[PM Hi]]-Table133[[#This Row],[Prior day close]])))),IF($J154&gt;=$F154,($J154-$K154)/($J154-Table133[[#This Row],[PM LO]]),(IF($H154&lt;=$K154,($F154-$H154)/($F154-Table133[[#This Row],[PM LO]]),(Table133[[#This Row],[PM Hi]]-Table133[[#This Row],[Lowest lo from open to squeeze]])/(Table133[[#This Row],[PM Hi]]-Table133[[#This Row],[PM LO]])))))</f>
        <v>#DIV/0!</v>
      </c>
      <c r="AO154" s="18" t="e">
        <f>IF(J154&gt;=F154,(J154-K154)/(J154-D154),(IF(H154&lt;=K154,(F154-H154)/(F154-D154),(Table133[[#This Row],[PM Hi]]-Table133[[#This Row],[Lowest lo from open to squeeze]])/(Table133[[#This Row],[PM Hi]]-Table133[[#This Row],[Prior day close]]))))</f>
        <v>#DIV/0!</v>
      </c>
      <c r="AP154" s="17">
        <f>390+Table133[[#This Row],[Time until ideal entry point (mins) from open]]</f>
        <v>390</v>
      </c>
      <c r="AQ154" s="17">
        <f>Table133[[#This Row],[Time until ideal entry + 390 (6:30)]]+Table133[[#This Row],[Duration of frontside (mins)]]</f>
        <v>390</v>
      </c>
    </row>
    <row r="155" spans="1:43" x14ac:dyDescent="0.25">
      <c r="A155" s="24" t="s">
        <v>252</v>
      </c>
      <c r="B155" s="47">
        <v>44153</v>
      </c>
      <c r="C155" s="47" t="s">
        <v>364</v>
      </c>
      <c r="D155" s="12"/>
      <c r="E155" s="13"/>
      <c r="F155" s="12"/>
      <c r="G155" s="12"/>
      <c r="H155" s="12"/>
      <c r="I155" s="12"/>
      <c r="J155" s="12"/>
      <c r="K155" s="12"/>
      <c r="N155" s="13"/>
      <c r="P155" s="37"/>
      <c r="Q155" s="46"/>
      <c r="R155" s="37"/>
      <c r="S155" s="37"/>
      <c r="T155" s="37"/>
      <c r="U155" s="38"/>
      <c r="V155" s="46"/>
      <c r="W155" s="37"/>
      <c r="X155" s="46"/>
      <c r="Y155" s="41">
        <f>Table133[[#This Row],[Time until ideal entry + 390 (6:30)]]/(1440)</f>
        <v>0.27083333333333331</v>
      </c>
      <c r="Z155" s="18" t="e">
        <f>(F155-D155)/D155</f>
        <v>#DIV/0!</v>
      </c>
      <c r="AA155" s="18" t="e">
        <f>IF(Table133[[#This Row],[HOD AFTER PM HI]]&gt;=Table133[[#This Row],[PM Hi]],((Table133[[#This Row],[HOD AFTER PM HI]]-Table133[[#This Row],[Prior day close]])/Table133[[#This Row],[Prior day close]]),Table133[[#This Row],[Prior Close to PM Hi %]])</f>
        <v>#DIV/0!</v>
      </c>
      <c r="AB155" s="42" t="e">
        <f>(Table133[[#This Row],[Price at hi of squeeze]]-Table133[[#This Row],[MKT Open Price]])/Table133[[#This Row],[MKT Open Price]]</f>
        <v>#DIV/0!</v>
      </c>
      <c r="AC155" s="18" t="e">
        <f>(Table133[[#This Row],[Price at hi of squeeze]]-Table133[[#This Row],[PM Hi]])/Table133[[#This Row],[PM Hi]]</f>
        <v>#DIV/0!</v>
      </c>
      <c r="AD155" s="18"/>
      <c r="AE155" s="20" t="e">
        <f>Table133[[#This Row],[PM VOL]]/1000000/Table133[[#This Row],[FLOAT(M)]]</f>
        <v>#DIV/0!</v>
      </c>
      <c r="AF155" s="23" t="e">
        <f>(Table133[[#This Row],[Volume]]/1000000)/Table133[[#This Row],[FLOAT(M)]]</f>
        <v>#DIV/0!</v>
      </c>
      <c r="AH155" s="18" t="e">
        <f>(Table133[[#This Row],[PM Hi]]-Table133[[#This Row],[MKT Open Price]])/(Table133[[#This Row],[PM Hi]])</f>
        <v>#DIV/0!</v>
      </c>
      <c r="AI155" s="18" t="e">
        <f>IF(Table133[[#This Row],[PM LO]]&gt;Table133[[#This Row],[Prior day close]],(Table133[[#This Row],[PM Hi]]-Table133[[#This Row],[MKT Open Price]])/(Table133[[#This Row],[PM Hi]]-Table133[[#This Row],[Prior day close]]),(Table133[[#This Row],[PM Hi]]-Table133[[#This Row],[MKT Open Price]])/(Table133[[#This Row],[PM Hi]]-Table133[[#This Row],[PM LO]]))</f>
        <v>#DIV/0!</v>
      </c>
      <c r="AJ155" s="48" t="e">
        <f>IF(Table133[[#This Row],[Prior day close]]&lt;Table133[[#This Row],[PM LO]],(I155-K155)/(I155-Table133[[#This Row],[Prior day close]]),(I155-K155)/(I155-Table133[[#This Row],[PM LO]]))</f>
        <v>#DIV/0!</v>
      </c>
      <c r="AK155" s="48" t="e">
        <f>Table133[[#This Row],[Spike % on open before drop]]+AL155</f>
        <v>#DIV/0!</v>
      </c>
      <c r="AL155" s="16" t="e">
        <f>(I155-K155)/I155</f>
        <v>#DIV/0!</v>
      </c>
      <c r="AM155" s="18" t="e">
        <f>IF($J155&gt;=$F155,($J155-$K155)/($J155),(IF($H155&lt;=$K155,($F155-$H155)/($F155),(Table133[[#This Row],[PM Hi]]-Table133[[#This Row],[Lowest lo from open to squeeze]])/(Table133[[#This Row],[PM Hi]]))))</f>
        <v>#DIV/0!</v>
      </c>
      <c r="AN155" s="48" t="e">
        <f>IF(Table133[[#This Row],[Prior day close]]&lt;=Table133[[#This Row],[PM LO]],IF($J155&gt;=$F155,($J155-$K155)/($J155-Table133[[#This Row],[Prior day close]]),(IF($H155&lt;=$K155,($F155-$H155)/($F155-Table133[[#This Row],[Prior day close]]),(Table133[[#This Row],[PM Hi]]-Table133[[#This Row],[Lowest lo from open to squeeze]])/(Table133[[#This Row],[PM Hi]]-Table133[[#This Row],[Prior day close]])))),IF($J155&gt;=$F155,($J155-$K155)/($J155-Table133[[#This Row],[PM LO]]),(IF($H155&lt;=$K155,($F155-$H155)/($F155-Table133[[#This Row],[PM LO]]),(Table133[[#This Row],[PM Hi]]-Table133[[#This Row],[Lowest lo from open to squeeze]])/(Table133[[#This Row],[PM Hi]]-Table133[[#This Row],[PM LO]])))))</f>
        <v>#DIV/0!</v>
      </c>
      <c r="AO155" s="18" t="e">
        <f>IF(J155&gt;=F155,(J155-K155)/(J155-D155),(IF(H155&lt;=K155,(F155-H155)/(F155-D155),(Table133[[#This Row],[PM Hi]]-Table133[[#This Row],[Lowest lo from open to squeeze]])/(Table133[[#This Row],[PM Hi]]-Table133[[#This Row],[Prior day close]]))))</f>
        <v>#DIV/0!</v>
      </c>
      <c r="AP155" s="17">
        <f>390+Table133[[#This Row],[Time until ideal entry point (mins) from open]]</f>
        <v>390</v>
      </c>
      <c r="AQ155" s="17">
        <f>Table133[[#This Row],[Time until ideal entry + 390 (6:30)]]+Table133[[#This Row],[Duration of frontside (mins)]]</f>
        <v>390</v>
      </c>
    </row>
    <row r="156" spans="1:43" x14ac:dyDescent="0.25">
      <c r="A156" s="24" t="s">
        <v>295</v>
      </c>
      <c r="B156" s="47">
        <v>44168</v>
      </c>
      <c r="C156" s="47" t="s">
        <v>364</v>
      </c>
      <c r="D156" s="12"/>
      <c r="E156" s="13"/>
      <c r="F156" s="12"/>
      <c r="G156" s="12"/>
      <c r="H156" s="12"/>
      <c r="I156" s="12"/>
      <c r="J156" s="12"/>
      <c r="K156" s="12"/>
      <c r="N156" s="13"/>
      <c r="P156" s="37"/>
      <c r="Q156" s="46"/>
      <c r="R156" s="37"/>
      <c r="S156" s="37"/>
      <c r="T156" s="37"/>
      <c r="U156" s="38"/>
      <c r="V156" s="46"/>
      <c r="W156" s="37"/>
      <c r="X156" s="46"/>
      <c r="Y156" s="41">
        <f>Table133[[#This Row],[Time until ideal entry + 390 (6:30)]]/(1440)</f>
        <v>0.27083333333333331</v>
      </c>
      <c r="Z156" s="18" t="e">
        <f>(F156-D156)/D156</f>
        <v>#DIV/0!</v>
      </c>
      <c r="AA156" s="18" t="e">
        <f>IF(Table133[[#This Row],[HOD AFTER PM HI]]&gt;=Table133[[#This Row],[PM Hi]],((Table133[[#This Row],[HOD AFTER PM HI]]-Table133[[#This Row],[Prior day close]])/Table133[[#This Row],[Prior day close]]),Table133[[#This Row],[Prior Close to PM Hi %]])</f>
        <v>#DIV/0!</v>
      </c>
      <c r="AB156" s="42" t="e">
        <f>(Table133[[#This Row],[Price at hi of squeeze]]-Table133[[#This Row],[MKT Open Price]])/Table133[[#This Row],[MKT Open Price]]</f>
        <v>#DIV/0!</v>
      </c>
      <c r="AC156" s="18" t="e">
        <f>(Table133[[#This Row],[Price at hi of squeeze]]-Table133[[#This Row],[PM Hi]])/Table133[[#This Row],[PM Hi]]</f>
        <v>#DIV/0!</v>
      </c>
      <c r="AD156" s="18"/>
      <c r="AE156" s="20" t="e">
        <f>Table133[[#This Row],[PM VOL]]/1000000/Table133[[#This Row],[FLOAT(M)]]</f>
        <v>#DIV/0!</v>
      </c>
      <c r="AF156" s="23" t="e">
        <f>(Table133[[#This Row],[Volume]]/1000000)/Table133[[#This Row],[FLOAT(M)]]</f>
        <v>#DIV/0!</v>
      </c>
      <c r="AH156" s="18" t="e">
        <f>(Table133[[#This Row],[PM Hi]]-Table133[[#This Row],[MKT Open Price]])/(Table133[[#This Row],[PM Hi]])</f>
        <v>#DIV/0!</v>
      </c>
      <c r="AI156" s="18" t="e">
        <f>IF(Table133[[#This Row],[PM LO]]&gt;Table133[[#This Row],[Prior day close]],(Table133[[#This Row],[PM Hi]]-Table133[[#This Row],[MKT Open Price]])/(Table133[[#This Row],[PM Hi]]-Table133[[#This Row],[Prior day close]]),(Table133[[#This Row],[PM Hi]]-Table133[[#This Row],[MKT Open Price]])/(Table133[[#This Row],[PM Hi]]-Table133[[#This Row],[PM LO]]))</f>
        <v>#DIV/0!</v>
      </c>
      <c r="AJ156" s="48" t="e">
        <f>IF(Table133[[#This Row],[Prior day close]]&lt;Table133[[#This Row],[PM LO]],(I156-K156)/(I156-Table133[[#This Row],[Prior day close]]),(I156-K156)/(I156-Table133[[#This Row],[PM LO]]))</f>
        <v>#DIV/0!</v>
      </c>
      <c r="AK156" s="48" t="e">
        <f>Table133[[#This Row],[Spike % on open before drop]]+AL156</f>
        <v>#DIV/0!</v>
      </c>
      <c r="AL156" s="16" t="e">
        <f>(I156-K156)/I156</f>
        <v>#DIV/0!</v>
      </c>
      <c r="AM156" s="18" t="e">
        <f>IF($J156&gt;=$F156,($J156-$K156)/($J156),(IF($H156&lt;=$K156,($F156-$H156)/($F156),(Table133[[#This Row],[PM Hi]]-Table133[[#This Row],[Lowest lo from open to squeeze]])/(Table133[[#This Row],[PM Hi]]))))</f>
        <v>#DIV/0!</v>
      </c>
      <c r="AN156" s="48" t="e">
        <f>IF(Table133[[#This Row],[Prior day close]]&lt;=Table133[[#This Row],[PM LO]],IF($J156&gt;=$F156,($J156-$K156)/($J156-Table133[[#This Row],[Prior day close]]),(IF($H156&lt;=$K156,($F156-$H156)/($F156-Table133[[#This Row],[Prior day close]]),(Table133[[#This Row],[PM Hi]]-Table133[[#This Row],[Lowest lo from open to squeeze]])/(Table133[[#This Row],[PM Hi]]-Table133[[#This Row],[Prior day close]])))),IF($J156&gt;=$F156,($J156-$K156)/($J156-Table133[[#This Row],[PM LO]]),(IF($H156&lt;=$K156,($F156-$H156)/($F156-Table133[[#This Row],[PM LO]]),(Table133[[#This Row],[PM Hi]]-Table133[[#This Row],[Lowest lo from open to squeeze]])/(Table133[[#This Row],[PM Hi]]-Table133[[#This Row],[PM LO]])))))</f>
        <v>#DIV/0!</v>
      </c>
      <c r="AO156" s="18" t="e">
        <f>IF(J156&gt;=F156,(J156-K156)/(J156-D156),(IF(H156&lt;=K156,(F156-H156)/(F156-D156),(Table133[[#This Row],[PM Hi]]-Table133[[#This Row],[Lowest lo from open to squeeze]])/(Table133[[#This Row],[PM Hi]]-Table133[[#This Row],[Prior day close]]))))</f>
        <v>#DIV/0!</v>
      </c>
      <c r="AP156" s="17">
        <f>390+Table133[[#This Row],[Time until ideal entry point (mins) from open]]</f>
        <v>390</v>
      </c>
      <c r="AQ156" s="17">
        <f>Table133[[#This Row],[Time until ideal entry + 390 (6:30)]]+Table133[[#This Row],[Duration of frontside (mins)]]</f>
        <v>390</v>
      </c>
    </row>
    <row r="157" spans="1:43" x14ac:dyDescent="0.25">
      <c r="A157" s="24" t="s">
        <v>212</v>
      </c>
      <c r="B157" s="47">
        <v>44172</v>
      </c>
      <c r="C157" s="47" t="s">
        <v>364</v>
      </c>
      <c r="D157" s="12"/>
      <c r="E157" s="13"/>
      <c r="F157" s="12"/>
      <c r="G157" s="12"/>
      <c r="H157" s="12"/>
      <c r="I157" s="12"/>
      <c r="J157" s="12"/>
      <c r="K157" s="12"/>
      <c r="N157" s="13"/>
      <c r="P157" s="37"/>
      <c r="Q157" s="46"/>
      <c r="R157" s="37"/>
      <c r="S157" s="37"/>
      <c r="T157" s="37"/>
      <c r="U157" s="38"/>
      <c r="V157" s="46"/>
      <c r="W157" s="37"/>
      <c r="X157" s="46"/>
      <c r="Y157" s="41">
        <f>Table133[[#This Row],[Time until ideal entry + 390 (6:30)]]/(1440)</f>
        <v>0.27083333333333331</v>
      </c>
      <c r="Z157" s="18" t="e">
        <f>(F157-D157)/D157</f>
        <v>#DIV/0!</v>
      </c>
      <c r="AA157" s="18" t="e">
        <f>IF(Table133[[#This Row],[HOD AFTER PM HI]]&gt;=Table133[[#This Row],[PM Hi]],((Table133[[#This Row],[HOD AFTER PM HI]]-Table133[[#This Row],[Prior day close]])/Table133[[#This Row],[Prior day close]]),Table133[[#This Row],[Prior Close to PM Hi %]])</f>
        <v>#DIV/0!</v>
      </c>
      <c r="AB157" s="42" t="e">
        <f>(Table133[[#This Row],[Price at hi of squeeze]]-Table133[[#This Row],[MKT Open Price]])/Table133[[#This Row],[MKT Open Price]]</f>
        <v>#DIV/0!</v>
      </c>
      <c r="AC157" s="18" t="e">
        <f>(Table133[[#This Row],[Price at hi of squeeze]]-Table133[[#This Row],[PM Hi]])/Table133[[#This Row],[PM Hi]]</f>
        <v>#DIV/0!</v>
      </c>
      <c r="AD157" s="18"/>
      <c r="AE157" s="20" t="e">
        <f>Table133[[#This Row],[PM VOL]]/1000000/Table133[[#This Row],[FLOAT(M)]]</f>
        <v>#DIV/0!</v>
      </c>
      <c r="AF157" s="23" t="e">
        <f>(Table133[[#This Row],[Volume]]/1000000)/Table133[[#This Row],[FLOAT(M)]]</f>
        <v>#DIV/0!</v>
      </c>
      <c r="AH157" s="18" t="e">
        <f>(Table133[[#This Row],[PM Hi]]-Table133[[#This Row],[MKT Open Price]])/(Table133[[#This Row],[PM Hi]])</f>
        <v>#DIV/0!</v>
      </c>
      <c r="AI157" s="18" t="e">
        <f>IF(Table133[[#This Row],[PM LO]]&gt;Table133[[#This Row],[Prior day close]],(Table133[[#This Row],[PM Hi]]-Table133[[#This Row],[MKT Open Price]])/(Table133[[#This Row],[PM Hi]]-Table133[[#This Row],[Prior day close]]),(Table133[[#This Row],[PM Hi]]-Table133[[#This Row],[MKT Open Price]])/(Table133[[#This Row],[PM Hi]]-Table133[[#This Row],[PM LO]]))</f>
        <v>#DIV/0!</v>
      </c>
      <c r="AJ157" s="48" t="e">
        <f>IF(Table133[[#This Row],[Prior day close]]&lt;Table133[[#This Row],[PM LO]],(I157-K157)/(I157-Table133[[#This Row],[Prior day close]]),(I157-K157)/(I157-Table133[[#This Row],[PM LO]]))</f>
        <v>#DIV/0!</v>
      </c>
      <c r="AK157" s="48" t="e">
        <f>Table133[[#This Row],[Spike % on open before drop]]+AL157</f>
        <v>#DIV/0!</v>
      </c>
      <c r="AL157" s="16" t="e">
        <f>(I157-K157)/I157</f>
        <v>#DIV/0!</v>
      </c>
      <c r="AM157" s="18" t="e">
        <f>IF($J157&gt;=$F157,($J157-$K157)/($J157),(IF($H157&lt;=$K157,($F157-$H157)/($F157),(Table133[[#This Row],[PM Hi]]-Table133[[#This Row],[Lowest lo from open to squeeze]])/(Table133[[#This Row],[PM Hi]]))))</f>
        <v>#DIV/0!</v>
      </c>
      <c r="AN157" s="48" t="e">
        <f>IF(Table133[[#This Row],[Prior day close]]&lt;=Table133[[#This Row],[PM LO]],IF($J157&gt;=$F157,($J157-$K157)/($J157-Table133[[#This Row],[Prior day close]]),(IF($H157&lt;=$K157,($F157-$H157)/($F157-Table133[[#This Row],[Prior day close]]),(Table133[[#This Row],[PM Hi]]-Table133[[#This Row],[Lowest lo from open to squeeze]])/(Table133[[#This Row],[PM Hi]]-Table133[[#This Row],[Prior day close]])))),IF($J157&gt;=$F157,($J157-$K157)/($J157-Table133[[#This Row],[PM LO]]),(IF($H157&lt;=$K157,($F157-$H157)/($F157-Table133[[#This Row],[PM LO]]),(Table133[[#This Row],[PM Hi]]-Table133[[#This Row],[Lowest lo from open to squeeze]])/(Table133[[#This Row],[PM Hi]]-Table133[[#This Row],[PM LO]])))))</f>
        <v>#DIV/0!</v>
      </c>
      <c r="AO157" s="18" t="e">
        <f>IF(J157&gt;=F157,(J157-K157)/(J157-D157),(IF(H157&lt;=K157,(F157-H157)/(F157-D157),(Table133[[#This Row],[PM Hi]]-Table133[[#This Row],[Lowest lo from open to squeeze]])/(Table133[[#This Row],[PM Hi]]-Table133[[#This Row],[Prior day close]]))))</f>
        <v>#DIV/0!</v>
      </c>
      <c r="AP157" s="17">
        <f>390+Table133[[#This Row],[Time until ideal entry point (mins) from open]]</f>
        <v>390</v>
      </c>
      <c r="AQ157" s="17">
        <f>Table133[[#This Row],[Time until ideal entry + 390 (6:30)]]+Table133[[#This Row],[Duration of frontside (mins)]]</f>
        <v>390</v>
      </c>
    </row>
    <row r="158" spans="1:43" x14ac:dyDescent="0.25">
      <c r="A158" s="24" t="s">
        <v>163</v>
      </c>
      <c r="B158" s="47">
        <v>44172</v>
      </c>
      <c r="C158" s="47" t="s">
        <v>364</v>
      </c>
      <c r="D158" s="12"/>
      <c r="E158" s="13"/>
      <c r="F158" s="12"/>
      <c r="G158" s="12"/>
      <c r="H158" s="12"/>
      <c r="I158" s="12"/>
      <c r="J158" s="12"/>
      <c r="K158" s="12"/>
      <c r="N158" s="13"/>
      <c r="P158" s="37"/>
      <c r="Q158" s="46"/>
      <c r="R158" s="37"/>
      <c r="S158" s="37"/>
      <c r="T158" s="37"/>
      <c r="U158" s="38"/>
      <c r="V158" s="46"/>
      <c r="W158" s="37"/>
      <c r="X158" s="46"/>
      <c r="Y158" s="41">
        <f>Table133[[#This Row],[Time until ideal entry + 390 (6:30)]]/(1440)</f>
        <v>0.27083333333333331</v>
      </c>
      <c r="Z158" s="18" t="e">
        <f>(F158-D158)/D158</f>
        <v>#DIV/0!</v>
      </c>
      <c r="AA158" s="18" t="e">
        <f>IF(Table133[[#This Row],[HOD AFTER PM HI]]&gt;=Table133[[#This Row],[PM Hi]],((Table133[[#This Row],[HOD AFTER PM HI]]-Table133[[#This Row],[Prior day close]])/Table133[[#This Row],[Prior day close]]),Table133[[#This Row],[Prior Close to PM Hi %]])</f>
        <v>#DIV/0!</v>
      </c>
      <c r="AB158" s="42" t="e">
        <f>(Table133[[#This Row],[Price at hi of squeeze]]-Table133[[#This Row],[MKT Open Price]])/Table133[[#This Row],[MKT Open Price]]</f>
        <v>#DIV/0!</v>
      </c>
      <c r="AC158" s="18" t="e">
        <f>(Table133[[#This Row],[Price at hi of squeeze]]-Table133[[#This Row],[PM Hi]])/Table133[[#This Row],[PM Hi]]</f>
        <v>#DIV/0!</v>
      </c>
      <c r="AD158" s="18"/>
      <c r="AE158" s="20" t="e">
        <f>Table133[[#This Row],[PM VOL]]/1000000/Table133[[#This Row],[FLOAT(M)]]</f>
        <v>#DIV/0!</v>
      </c>
      <c r="AF158" s="23" t="e">
        <f>(Table133[[#This Row],[Volume]]/1000000)/Table133[[#This Row],[FLOAT(M)]]</f>
        <v>#DIV/0!</v>
      </c>
      <c r="AH158" s="18" t="e">
        <f>(Table133[[#This Row],[PM Hi]]-Table133[[#This Row],[MKT Open Price]])/(Table133[[#This Row],[PM Hi]])</f>
        <v>#DIV/0!</v>
      </c>
      <c r="AI158" s="18" t="e">
        <f>IF(Table133[[#This Row],[PM LO]]&gt;Table133[[#This Row],[Prior day close]],(Table133[[#This Row],[PM Hi]]-Table133[[#This Row],[MKT Open Price]])/(Table133[[#This Row],[PM Hi]]-Table133[[#This Row],[Prior day close]]),(Table133[[#This Row],[PM Hi]]-Table133[[#This Row],[MKT Open Price]])/(Table133[[#This Row],[PM Hi]]-Table133[[#This Row],[PM LO]]))</f>
        <v>#DIV/0!</v>
      </c>
      <c r="AJ158" s="48" t="e">
        <f>IF(Table133[[#This Row],[Prior day close]]&lt;Table133[[#This Row],[PM LO]],(I158-K158)/(I158-Table133[[#This Row],[Prior day close]]),(I158-K158)/(I158-Table133[[#This Row],[PM LO]]))</f>
        <v>#DIV/0!</v>
      </c>
      <c r="AK158" s="48" t="e">
        <f>Table133[[#This Row],[Spike % on open before drop]]+AL158</f>
        <v>#DIV/0!</v>
      </c>
      <c r="AL158" s="16" t="e">
        <f>(I158-K158)/I158</f>
        <v>#DIV/0!</v>
      </c>
      <c r="AM158" s="18" t="e">
        <f>IF($J158&gt;=$F158,($J158-$K158)/($J158),(IF($H158&lt;=$K158,($F158-$H158)/($F158),(Table133[[#This Row],[PM Hi]]-Table133[[#This Row],[Lowest lo from open to squeeze]])/(Table133[[#This Row],[PM Hi]]))))</f>
        <v>#DIV/0!</v>
      </c>
      <c r="AN158" s="48" t="e">
        <f>IF(Table133[[#This Row],[Prior day close]]&lt;=Table133[[#This Row],[PM LO]],IF($J158&gt;=$F158,($J158-$K158)/($J158-Table133[[#This Row],[Prior day close]]),(IF($H158&lt;=$K158,($F158-$H158)/($F158-Table133[[#This Row],[Prior day close]]),(Table133[[#This Row],[PM Hi]]-Table133[[#This Row],[Lowest lo from open to squeeze]])/(Table133[[#This Row],[PM Hi]]-Table133[[#This Row],[Prior day close]])))),IF($J158&gt;=$F158,($J158-$K158)/($J158-Table133[[#This Row],[PM LO]]),(IF($H158&lt;=$K158,($F158-$H158)/($F158-Table133[[#This Row],[PM LO]]),(Table133[[#This Row],[PM Hi]]-Table133[[#This Row],[Lowest lo from open to squeeze]])/(Table133[[#This Row],[PM Hi]]-Table133[[#This Row],[PM LO]])))))</f>
        <v>#DIV/0!</v>
      </c>
      <c r="AO158" s="18" t="e">
        <f>IF(J158&gt;=F158,(J158-K158)/(J158-D158),(IF(H158&lt;=K158,(F158-H158)/(F158-D158),(Table133[[#This Row],[PM Hi]]-Table133[[#This Row],[Lowest lo from open to squeeze]])/(Table133[[#This Row],[PM Hi]]-Table133[[#This Row],[Prior day close]]))))</f>
        <v>#DIV/0!</v>
      </c>
      <c r="AP158" s="17">
        <f>390+Table133[[#This Row],[Time until ideal entry point (mins) from open]]</f>
        <v>390</v>
      </c>
      <c r="AQ158" s="17">
        <f>Table133[[#This Row],[Time until ideal entry + 390 (6:30)]]+Table133[[#This Row],[Duration of frontside (mins)]]</f>
        <v>390</v>
      </c>
    </row>
    <row r="159" spans="1:43" x14ac:dyDescent="0.25">
      <c r="A159" s="24" t="s">
        <v>307</v>
      </c>
      <c r="B159" s="47">
        <v>44181</v>
      </c>
      <c r="C159" s="47" t="s">
        <v>364</v>
      </c>
      <c r="D159" s="12"/>
      <c r="E159" s="13"/>
      <c r="F159" s="12"/>
      <c r="G159" s="12"/>
      <c r="H159" s="12"/>
      <c r="I159" s="12"/>
      <c r="J159" s="12"/>
      <c r="K159" s="12"/>
      <c r="N159" s="13"/>
      <c r="P159" s="37"/>
      <c r="Q159" s="46"/>
      <c r="R159" s="37"/>
      <c r="S159" s="37"/>
      <c r="T159" s="37"/>
      <c r="U159" s="38"/>
      <c r="V159" s="46"/>
      <c r="W159" s="37"/>
      <c r="X159" s="46"/>
      <c r="Y159" s="41">
        <f>Table133[[#This Row],[Time until ideal entry + 390 (6:30)]]/(1440)</f>
        <v>0.27083333333333331</v>
      </c>
      <c r="Z159" s="18" t="e">
        <f>(F159-D159)/D159</f>
        <v>#DIV/0!</v>
      </c>
      <c r="AA159" s="18" t="e">
        <f>IF(Table133[[#This Row],[HOD AFTER PM HI]]&gt;=Table133[[#This Row],[PM Hi]],((Table133[[#This Row],[HOD AFTER PM HI]]-Table133[[#This Row],[Prior day close]])/Table133[[#This Row],[Prior day close]]),Table133[[#This Row],[Prior Close to PM Hi %]])</f>
        <v>#DIV/0!</v>
      </c>
      <c r="AB159" s="42" t="e">
        <f>(Table133[[#This Row],[Price at hi of squeeze]]-Table133[[#This Row],[MKT Open Price]])/Table133[[#This Row],[MKT Open Price]]</f>
        <v>#DIV/0!</v>
      </c>
      <c r="AC159" s="18" t="e">
        <f>(Table133[[#This Row],[Price at hi of squeeze]]-Table133[[#This Row],[PM Hi]])/Table133[[#This Row],[PM Hi]]</f>
        <v>#DIV/0!</v>
      </c>
      <c r="AD159" s="18"/>
      <c r="AE159" s="20" t="e">
        <f>Table133[[#This Row],[PM VOL]]/1000000/Table133[[#This Row],[FLOAT(M)]]</f>
        <v>#DIV/0!</v>
      </c>
      <c r="AF159" s="23" t="e">
        <f>(Table133[[#This Row],[Volume]]/1000000)/Table133[[#This Row],[FLOAT(M)]]</f>
        <v>#DIV/0!</v>
      </c>
      <c r="AH159" s="18" t="e">
        <f>(Table133[[#This Row],[PM Hi]]-Table133[[#This Row],[MKT Open Price]])/(Table133[[#This Row],[PM Hi]])</f>
        <v>#DIV/0!</v>
      </c>
      <c r="AI159" s="18" t="e">
        <f>IF(Table133[[#This Row],[PM LO]]&gt;Table133[[#This Row],[Prior day close]],(Table133[[#This Row],[PM Hi]]-Table133[[#This Row],[MKT Open Price]])/(Table133[[#This Row],[PM Hi]]-Table133[[#This Row],[Prior day close]]),(Table133[[#This Row],[PM Hi]]-Table133[[#This Row],[MKT Open Price]])/(Table133[[#This Row],[PM Hi]]-Table133[[#This Row],[PM LO]]))</f>
        <v>#DIV/0!</v>
      </c>
      <c r="AJ159" s="48" t="e">
        <f>IF(Table133[[#This Row],[Prior day close]]&lt;Table133[[#This Row],[PM LO]],(I159-K159)/(I159-Table133[[#This Row],[Prior day close]]),(I159-K159)/(I159-Table133[[#This Row],[PM LO]]))</f>
        <v>#DIV/0!</v>
      </c>
      <c r="AK159" s="48" t="e">
        <f>Table133[[#This Row],[Spike % on open before drop]]+AL159</f>
        <v>#DIV/0!</v>
      </c>
      <c r="AL159" s="16" t="e">
        <f>(I159-K159)/I159</f>
        <v>#DIV/0!</v>
      </c>
      <c r="AM159" s="18" t="e">
        <f>IF($J159&gt;=$F159,($J159-$K159)/($J159),(IF($H159&lt;=$K159,($F159-$H159)/($F159),(Table133[[#This Row],[PM Hi]]-Table133[[#This Row],[Lowest lo from open to squeeze]])/(Table133[[#This Row],[PM Hi]]))))</f>
        <v>#DIV/0!</v>
      </c>
      <c r="AN159" s="48" t="e">
        <f>IF(Table133[[#This Row],[Prior day close]]&lt;=Table133[[#This Row],[PM LO]],IF($J159&gt;=$F159,($J159-$K159)/($J159-Table133[[#This Row],[Prior day close]]),(IF($H159&lt;=$K159,($F159-$H159)/($F159-Table133[[#This Row],[Prior day close]]),(Table133[[#This Row],[PM Hi]]-Table133[[#This Row],[Lowest lo from open to squeeze]])/(Table133[[#This Row],[PM Hi]]-Table133[[#This Row],[Prior day close]])))),IF($J159&gt;=$F159,($J159-$K159)/($J159-Table133[[#This Row],[PM LO]]),(IF($H159&lt;=$K159,($F159-$H159)/($F159-Table133[[#This Row],[PM LO]]),(Table133[[#This Row],[PM Hi]]-Table133[[#This Row],[Lowest lo from open to squeeze]])/(Table133[[#This Row],[PM Hi]]-Table133[[#This Row],[PM LO]])))))</f>
        <v>#DIV/0!</v>
      </c>
      <c r="AO159" s="18" t="e">
        <f>IF(J159&gt;=F159,(J159-K159)/(J159-D159),(IF(H159&lt;=K159,(F159-H159)/(F159-D159),(Table133[[#This Row],[PM Hi]]-Table133[[#This Row],[Lowest lo from open to squeeze]])/(Table133[[#This Row],[PM Hi]]-Table133[[#This Row],[Prior day close]]))))</f>
        <v>#DIV/0!</v>
      </c>
      <c r="AP159" s="17">
        <f>390+Table133[[#This Row],[Time until ideal entry point (mins) from open]]</f>
        <v>390</v>
      </c>
      <c r="AQ159" s="17">
        <f>Table133[[#This Row],[Time until ideal entry + 390 (6:30)]]+Table133[[#This Row],[Duration of frontside (mins)]]</f>
        <v>390</v>
      </c>
    </row>
    <row r="160" spans="1:43" x14ac:dyDescent="0.25">
      <c r="A160" s="24" t="s">
        <v>60</v>
      </c>
      <c r="B160" s="47">
        <v>44182</v>
      </c>
      <c r="C160" s="47" t="s">
        <v>364</v>
      </c>
      <c r="D160" s="12"/>
      <c r="E160" s="13"/>
      <c r="F160" s="12"/>
      <c r="G160" s="12"/>
      <c r="H160" s="12"/>
      <c r="I160" s="12"/>
      <c r="J160" s="12"/>
      <c r="K160" s="12"/>
      <c r="N160" s="13"/>
      <c r="P160" s="37"/>
      <c r="Q160" s="46"/>
      <c r="R160" s="37"/>
      <c r="S160" s="37"/>
      <c r="T160" s="37"/>
      <c r="U160" s="38"/>
      <c r="V160" s="46"/>
      <c r="W160" s="37"/>
      <c r="X160" s="46"/>
      <c r="Y160" s="41">
        <f>Table133[[#This Row],[Time until ideal entry + 390 (6:30)]]/(1440)</f>
        <v>0.27083333333333331</v>
      </c>
      <c r="Z160" s="18" t="e">
        <f>(F160-D160)/D160</f>
        <v>#DIV/0!</v>
      </c>
      <c r="AA160" s="18" t="e">
        <f>IF(Table133[[#This Row],[HOD AFTER PM HI]]&gt;=Table133[[#This Row],[PM Hi]],((Table133[[#This Row],[HOD AFTER PM HI]]-Table133[[#This Row],[Prior day close]])/Table133[[#This Row],[Prior day close]]),Table133[[#This Row],[Prior Close to PM Hi %]])</f>
        <v>#DIV/0!</v>
      </c>
      <c r="AB160" s="42" t="e">
        <f>(Table133[[#This Row],[Price at hi of squeeze]]-Table133[[#This Row],[MKT Open Price]])/Table133[[#This Row],[MKT Open Price]]</f>
        <v>#DIV/0!</v>
      </c>
      <c r="AC160" s="18" t="e">
        <f>(Table133[[#This Row],[Price at hi of squeeze]]-Table133[[#This Row],[PM Hi]])/Table133[[#This Row],[PM Hi]]</f>
        <v>#DIV/0!</v>
      </c>
      <c r="AD160" s="18"/>
      <c r="AE160" s="20" t="e">
        <f>Table133[[#This Row],[PM VOL]]/1000000/Table133[[#This Row],[FLOAT(M)]]</f>
        <v>#DIV/0!</v>
      </c>
      <c r="AF160" s="23" t="e">
        <f>(Table133[[#This Row],[Volume]]/1000000)/Table133[[#This Row],[FLOAT(M)]]</f>
        <v>#DIV/0!</v>
      </c>
      <c r="AH160" s="18" t="e">
        <f>(Table133[[#This Row],[PM Hi]]-Table133[[#This Row],[MKT Open Price]])/(Table133[[#This Row],[PM Hi]])</f>
        <v>#DIV/0!</v>
      </c>
      <c r="AI160" s="18" t="e">
        <f>IF(Table133[[#This Row],[PM LO]]&gt;Table133[[#This Row],[Prior day close]],(Table133[[#This Row],[PM Hi]]-Table133[[#This Row],[MKT Open Price]])/(Table133[[#This Row],[PM Hi]]-Table133[[#This Row],[Prior day close]]),(Table133[[#This Row],[PM Hi]]-Table133[[#This Row],[MKT Open Price]])/(Table133[[#This Row],[PM Hi]]-Table133[[#This Row],[PM LO]]))</f>
        <v>#DIV/0!</v>
      </c>
      <c r="AJ160" s="48" t="e">
        <f>IF(Table133[[#This Row],[Prior day close]]&lt;Table133[[#This Row],[PM LO]],(I160-K160)/(I160-Table133[[#This Row],[Prior day close]]),(I160-K160)/(I160-Table133[[#This Row],[PM LO]]))</f>
        <v>#DIV/0!</v>
      </c>
      <c r="AK160" s="48" t="e">
        <f>Table133[[#This Row],[Spike % on open before drop]]+AL160</f>
        <v>#DIV/0!</v>
      </c>
      <c r="AL160" s="16" t="e">
        <f>(I160-K160)/I160</f>
        <v>#DIV/0!</v>
      </c>
      <c r="AM160" s="18" t="e">
        <f>IF($J160&gt;=$F160,($J160-$K160)/($J160),(IF($H160&lt;=$K160,($F160-$H160)/($F160),(Table133[[#This Row],[PM Hi]]-Table133[[#This Row],[Lowest lo from open to squeeze]])/(Table133[[#This Row],[PM Hi]]))))</f>
        <v>#DIV/0!</v>
      </c>
      <c r="AN160" s="48" t="e">
        <f>IF(Table133[[#This Row],[Prior day close]]&lt;=Table133[[#This Row],[PM LO]],IF($J160&gt;=$F160,($J160-$K160)/($J160-Table133[[#This Row],[Prior day close]]),(IF($H160&lt;=$K160,($F160-$H160)/($F160-Table133[[#This Row],[Prior day close]]),(Table133[[#This Row],[PM Hi]]-Table133[[#This Row],[Lowest lo from open to squeeze]])/(Table133[[#This Row],[PM Hi]]-Table133[[#This Row],[Prior day close]])))),IF($J160&gt;=$F160,($J160-$K160)/($J160-Table133[[#This Row],[PM LO]]),(IF($H160&lt;=$K160,($F160-$H160)/($F160-Table133[[#This Row],[PM LO]]),(Table133[[#This Row],[PM Hi]]-Table133[[#This Row],[Lowest lo from open to squeeze]])/(Table133[[#This Row],[PM Hi]]-Table133[[#This Row],[PM LO]])))))</f>
        <v>#DIV/0!</v>
      </c>
      <c r="AO160" s="18" t="e">
        <f>IF(J160&gt;=F160,(J160-K160)/(J160-D160),(IF(H160&lt;=K160,(F160-H160)/(F160-D160),(Table133[[#This Row],[PM Hi]]-Table133[[#This Row],[Lowest lo from open to squeeze]])/(Table133[[#This Row],[PM Hi]]-Table133[[#This Row],[Prior day close]]))))</f>
        <v>#DIV/0!</v>
      </c>
      <c r="AP160" s="17">
        <f>390+Table133[[#This Row],[Time until ideal entry point (mins) from open]]</f>
        <v>390</v>
      </c>
      <c r="AQ160" s="17">
        <f>Table133[[#This Row],[Time until ideal entry + 390 (6:30)]]+Table133[[#This Row],[Duration of frontside (mins)]]</f>
        <v>390</v>
      </c>
    </row>
    <row r="161" spans="1:43" x14ac:dyDescent="0.25">
      <c r="A161" s="24" t="s">
        <v>311</v>
      </c>
      <c r="B161" s="47">
        <v>44187</v>
      </c>
      <c r="C161" s="47" t="s">
        <v>364</v>
      </c>
      <c r="D161" s="12"/>
      <c r="E161" s="13"/>
      <c r="F161" s="12"/>
      <c r="G161" s="12"/>
      <c r="H161" s="12"/>
      <c r="I161" s="12"/>
      <c r="J161" s="12"/>
      <c r="K161" s="12"/>
      <c r="N161" s="13"/>
      <c r="P161" s="37"/>
      <c r="Q161" s="46"/>
      <c r="R161" s="37"/>
      <c r="S161" s="37"/>
      <c r="T161" s="37"/>
      <c r="U161" s="38"/>
      <c r="V161" s="46"/>
      <c r="W161" s="37"/>
      <c r="X161" s="46"/>
      <c r="Y161" s="41">
        <f>Table133[[#This Row],[Time until ideal entry + 390 (6:30)]]/(1440)</f>
        <v>0.27083333333333331</v>
      </c>
      <c r="Z161" s="18" t="e">
        <f>(F161-D161)/D161</f>
        <v>#DIV/0!</v>
      </c>
      <c r="AA161" s="18" t="e">
        <f>IF(Table133[[#This Row],[HOD AFTER PM HI]]&gt;=Table133[[#This Row],[PM Hi]],((Table133[[#This Row],[HOD AFTER PM HI]]-Table133[[#This Row],[Prior day close]])/Table133[[#This Row],[Prior day close]]),Table133[[#This Row],[Prior Close to PM Hi %]])</f>
        <v>#DIV/0!</v>
      </c>
      <c r="AB161" s="42" t="e">
        <f>(Table133[[#This Row],[Price at hi of squeeze]]-Table133[[#This Row],[MKT Open Price]])/Table133[[#This Row],[MKT Open Price]]</f>
        <v>#DIV/0!</v>
      </c>
      <c r="AC161" s="18" t="e">
        <f>(Table133[[#This Row],[Price at hi of squeeze]]-Table133[[#This Row],[PM Hi]])/Table133[[#This Row],[PM Hi]]</f>
        <v>#DIV/0!</v>
      </c>
      <c r="AD161" s="18"/>
      <c r="AE161" s="20" t="e">
        <f>Table133[[#This Row],[PM VOL]]/1000000/Table133[[#This Row],[FLOAT(M)]]</f>
        <v>#DIV/0!</v>
      </c>
      <c r="AF161" s="23" t="e">
        <f>(Table133[[#This Row],[Volume]]/1000000)/Table133[[#This Row],[FLOAT(M)]]</f>
        <v>#DIV/0!</v>
      </c>
      <c r="AH161" s="18" t="e">
        <f>(Table133[[#This Row],[PM Hi]]-Table133[[#This Row],[MKT Open Price]])/(Table133[[#This Row],[PM Hi]])</f>
        <v>#DIV/0!</v>
      </c>
      <c r="AI161" s="18" t="e">
        <f>IF(Table133[[#This Row],[PM LO]]&gt;Table133[[#This Row],[Prior day close]],(Table133[[#This Row],[PM Hi]]-Table133[[#This Row],[MKT Open Price]])/(Table133[[#This Row],[PM Hi]]-Table133[[#This Row],[Prior day close]]),(Table133[[#This Row],[PM Hi]]-Table133[[#This Row],[MKT Open Price]])/(Table133[[#This Row],[PM Hi]]-Table133[[#This Row],[PM LO]]))</f>
        <v>#DIV/0!</v>
      </c>
      <c r="AJ161" s="48" t="e">
        <f>IF(Table133[[#This Row],[Prior day close]]&lt;Table133[[#This Row],[PM LO]],(I161-K161)/(I161-Table133[[#This Row],[Prior day close]]),(I161-K161)/(I161-Table133[[#This Row],[PM LO]]))</f>
        <v>#DIV/0!</v>
      </c>
      <c r="AK161" s="48" t="e">
        <f>Table133[[#This Row],[Spike % on open before drop]]+AL161</f>
        <v>#DIV/0!</v>
      </c>
      <c r="AL161" s="16" t="e">
        <f>(I161-K161)/I161</f>
        <v>#DIV/0!</v>
      </c>
      <c r="AM161" s="18" t="e">
        <f>IF($J161&gt;=$F161,($J161-$K161)/($J161),(IF($H161&lt;=$K161,($F161-$H161)/($F161),(Table133[[#This Row],[PM Hi]]-Table133[[#This Row],[Lowest lo from open to squeeze]])/(Table133[[#This Row],[PM Hi]]))))</f>
        <v>#DIV/0!</v>
      </c>
      <c r="AN161" s="48" t="e">
        <f>IF(Table133[[#This Row],[Prior day close]]&lt;=Table133[[#This Row],[PM LO]],IF($J161&gt;=$F161,($J161-$K161)/($J161-Table133[[#This Row],[Prior day close]]),(IF($H161&lt;=$K161,($F161-$H161)/($F161-Table133[[#This Row],[Prior day close]]),(Table133[[#This Row],[PM Hi]]-Table133[[#This Row],[Lowest lo from open to squeeze]])/(Table133[[#This Row],[PM Hi]]-Table133[[#This Row],[Prior day close]])))),IF($J161&gt;=$F161,($J161-$K161)/($J161-Table133[[#This Row],[PM LO]]),(IF($H161&lt;=$K161,($F161-$H161)/($F161-Table133[[#This Row],[PM LO]]),(Table133[[#This Row],[PM Hi]]-Table133[[#This Row],[Lowest lo from open to squeeze]])/(Table133[[#This Row],[PM Hi]]-Table133[[#This Row],[PM LO]])))))</f>
        <v>#DIV/0!</v>
      </c>
      <c r="AO161" s="18" t="e">
        <f>IF(J161&gt;=F161,(J161-K161)/(J161-D161),(IF(H161&lt;=K161,(F161-H161)/(F161-D161),(Table133[[#This Row],[PM Hi]]-Table133[[#This Row],[Lowest lo from open to squeeze]])/(Table133[[#This Row],[PM Hi]]-Table133[[#This Row],[Prior day close]]))))</f>
        <v>#DIV/0!</v>
      </c>
      <c r="AP161" s="17">
        <f>390+Table133[[#This Row],[Time until ideal entry point (mins) from open]]</f>
        <v>390</v>
      </c>
      <c r="AQ161" s="17">
        <f>Table133[[#This Row],[Time until ideal entry + 390 (6:30)]]+Table133[[#This Row],[Duration of frontside (mins)]]</f>
        <v>390</v>
      </c>
    </row>
    <row r="162" spans="1:43" x14ac:dyDescent="0.25">
      <c r="A162" s="24" t="s">
        <v>314</v>
      </c>
      <c r="B162" s="47">
        <v>44195</v>
      </c>
      <c r="C162" s="47" t="s">
        <v>364</v>
      </c>
      <c r="D162" s="12"/>
      <c r="E162" s="13"/>
      <c r="F162" s="12"/>
      <c r="G162" s="12"/>
      <c r="H162" s="12"/>
      <c r="I162" s="12"/>
      <c r="J162" s="12"/>
      <c r="K162" s="12"/>
      <c r="N162" s="13"/>
      <c r="P162" s="37"/>
      <c r="Q162" s="46"/>
      <c r="R162" s="37"/>
      <c r="S162" s="37"/>
      <c r="T162" s="37"/>
      <c r="U162" s="38"/>
      <c r="V162" s="46"/>
      <c r="W162" s="37"/>
      <c r="X162" s="46"/>
      <c r="Y162" s="41">
        <f>Table133[[#This Row],[Time until ideal entry + 390 (6:30)]]/(1440)</f>
        <v>0.27083333333333331</v>
      </c>
      <c r="Z162" s="18" t="e">
        <f>(F162-D162)/D162</f>
        <v>#DIV/0!</v>
      </c>
      <c r="AA162" s="18" t="e">
        <f>IF(Table133[[#This Row],[HOD AFTER PM HI]]&gt;=Table133[[#This Row],[PM Hi]],((Table133[[#This Row],[HOD AFTER PM HI]]-Table133[[#This Row],[Prior day close]])/Table133[[#This Row],[Prior day close]]),Table133[[#This Row],[Prior Close to PM Hi %]])</f>
        <v>#DIV/0!</v>
      </c>
      <c r="AB162" s="42" t="e">
        <f>(Table133[[#This Row],[Price at hi of squeeze]]-Table133[[#This Row],[MKT Open Price]])/Table133[[#This Row],[MKT Open Price]]</f>
        <v>#DIV/0!</v>
      </c>
      <c r="AC162" s="18" t="e">
        <f>(Table133[[#This Row],[Price at hi of squeeze]]-Table133[[#This Row],[PM Hi]])/Table133[[#This Row],[PM Hi]]</f>
        <v>#DIV/0!</v>
      </c>
      <c r="AD162" s="18"/>
      <c r="AE162" s="20" t="e">
        <f>Table133[[#This Row],[PM VOL]]/1000000/Table133[[#This Row],[FLOAT(M)]]</f>
        <v>#DIV/0!</v>
      </c>
      <c r="AF162" s="23" t="e">
        <f>(Table133[[#This Row],[Volume]]/1000000)/Table133[[#This Row],[FLOAT(M)]]</f>
        <v>#DIV/0!</v>
      </c>
      <c r="AH162" s="18" t="e">
        <f>(Table133[[#This Row],[PM Hi]]-Table133[[#This Row],[MKT Open Price]])/(Table133[[#This Row],[PM Hi]])</f>
        <v>#DIV/0!</v>
      </c>
      <c r="AI162" s="18" t="e">
        <f>IF(Table133[[#This Row],[PM LO]]&gt;Table133[[#This Row],[Prior day close]],(Table133[[#This Row],[PM Hi]]-Table133[[#This Row],[MKT Open Price]])/(Table133[[#This Row],[PM Hi]]-Table133[[#This Row],[Prior day close]]),(Table133[[#This Row],[PM Hi]]-Table133[[#This Row],[MKT Open Price]])/(Table133[[#This Row],[PM Hi]]-Table133[[#This Row],[PM LO]]))</f>
        <v>#DIV/0!</v>
      </c>
      <c r="AJ162" s="48" t="e">
        <f>IF(Table133[[#This Row],[Prior day close]]&lt;Table133[[#This Row],[PM LO]],(I162-K162)/(I162-Table133[[#This Row],[Prior day close]]),(I162-K162)/(I162-Table133[[#This Row],[PM LO]]))</f>
        <v>#DIV/0!</v>
      </c>
      <c r="AK162" s="48" t="e">
        <f>Table133[[#This Row],[Spike % on open before drop]]+AL162</f>
        <v>#DIV/0!</v>
      </c>
      <c r="AL162" s="16" t="e">
        <f>(I162-K162)/I162</f>
        <v>#DIV/0!</v>
      </c>
      <c r="AM162" s="18" t="e">
        <f>IF($J162&gt;=$F162,($J162-$K162)/($J162),(IF($H162&lt;=$K162,($F162-$H162)/($F162),(Table133[[#This Row],[PM Hi]]-Table133[[#This Row],[Lowest lo from open to squeeze]])/(Table133[[#This Row],[PM Hi]]))))</f>
        <v>#DIV/0!</v>
      </c>
      <c r="AN162" s="48" t="e">
        <f>IF(Table133[[#This Row],[Prior day close]]&lt;=Table133[[#This Row],[PM LO]],IF($J162&gt;=$F162,($J162-$K162)/($J162-Table133[[#This Row],[Prior day close]]),(IF($H162&lt;=$K162,($F162-$H162)/($F162-Table133[[#This Row],[Prior day close]]),(Table133[[#This Row],[PM Hi]]-Table133[[#This Row],[Lowest lo from open to squeeze]])/(Table133[[#This Row],[PM Hi]]-Table133[[#This Row],[Prior day close]])))),IF($J162&gt;=$F162,($J162-$K162)/($J162-Table133[[#This Row],[PM LO]]),(IF($H162&lt;=$K162,($F162-$H162)/($F162-Table133[[#This Row],[PM LO]]),(Table133[[#This Row],[PM Hi]]-Table133[[#This Row],[Lowest lo from open to squeeze]])/(Table133[[#This Row],[PM Hi]]-Table133[[#This Row],[PM LO]])))))</f>
        <v>#DIV/0!</v>
      </c>
      <c r="AO162" s="18" t="e">
        <f>IF(J162&gt;=F162,(J162-K162)/(J162-D162),(IF(H162&lt;=K162,(F162-H162)/(F162-D162),(Table133[[#This Row],[PM Hi]]-Table133[[#This Row],[Lowest lo from open to squeeze]])/(Table133[[#This Row],[PM Hi]]-Table133[[#This Row],[Prior day close]]))))</f>
        <v>#DIV/0!</v>
      </c>
      <c r="AP162" s="17">
        <f>390+Table133[[#This Row],[Time until ideal entry point (mins) from open]]</f>
        <v>390</v>
      </c>
      <c r="AQ162" s="17">
        <f>Table133[[#This Row],[Time until ideal entry + 390 (6:30)]]+Table133[[#This Row],[Duration of frontside (mins)]]</f>
        <v>390</v>
      </c>
    </row>
    <row r="163" spans="1:43" x14ac:dyDescent="0.25">
      <c r="A163" s="25" t="s">
        <v>164</v>
      </c>
      <c r="B163" s="47">
        <v>44203</v>
      </c>
      <c r="C163" s="47" t="s">
        <v>364</v>
      </c>
      <c r="D163" s="12"/>
      <c r="E163" s="13"/>
      <c r="F163" s="12"/>
      <c r="G163" s="12"/>
      <c r="H163" s="12"/>
      <c r="I163" s="12"/>
      <c r="J163" s="12"/>
      <c r="K163" s="12"/>
      <c r="N163" s="13"/>
      <c r="P163" s="37"/>
      <c r="Q163" s="46"/>
      <c r="R163" s="37"/>
      <c r="S163" s="37"/>
      <c r="T163" s="37"/>
      <c r="U163" s="38"/>
      <c r="V163" s="46"/>
      <c r="W163" s="37"/>
      <c r="X163" s="46"/>
      <c r="Y163" s="41">
        <f>Table133[[#This Row],[Time until ideal entry + 390 (6:30)]]/(1440)</f>
        <v>0.27083333333333331</v>
      </c>
      <c r="Z163" s="18" t="e">
        <f>(F163-D163)/D163</f>
        <v>#DIV/0!</v>
      </c>
      <c r="AA163" s="18" t="e">
        <f>IF(Table133[[#This Row],[HOD AFTER PM HI]]&gt;=Table133[[#This Row],[PM Hi]],((Table133[[#This Row],[HOD AFTER PM HI]]-Table133[[#This Row],[Prior day close]])/Table133[[#This Row],[Prior day close]]),Table133[[#This Row],[Prior Close to PM Hi %]])</f>
        <v>#DIV/0!</v>
      </c>
      <c r="AB163" s="42" t="e">
        <f>(Table133[[#This Row],[Price at hi of squeeze]]-Table133[[#This Row],[MKT Open Price]])/Table133[[#This Row],[MKT Open Price]]</f>
        <v>#DIV/0!</v>
      </c>
      <c r="AC163" s="18" t="e">
        <f>(Table133[[#This Row],[Price at hi of squeeze]]-Table133[[#This Row],[PM Hi]])/Table133[[#This Row],[PM Hi]]</f>
        <v>#DIV/0!</v>
      </c>
      <c r="AD163" s="18"/>
      <c r="AE163" s="20" t="e">
        <f>Table133[[#This Row],[PM VOL]]/1000000/Table133[[#This Row],[FLOAT(M)]]</f>
        <v>#DIV/0!</v>
      </c>
      <c r="AF163" s="23" t="e">
        <f>(Table133[[#This Row],[Volume]]/1000000)/Table133[[#This Row],[FLOAT(M)]]</f>
        <v>#DIV/0!</v>
      </c>
      <c r="AH163" s="18" t="e">
        <f>(Table133[[#This Row],[PM Hi]]-Table133[[#This Row],[MKT Open Price]])/(Table133[[#This Row],[PM Hi]])</f>
        <v>#DIV/0!</v>
      </c>
      <c r="AI163" s="18" t="e">
        <f>IF(Table133[[#This Row],[PM LO]]&gt;Table133[[#This Row],[Prior day close]],(Table133[[#This Row],[PM Hi]]-Table133[[#This Row],[MKT Open Price]])/(Table133[[#This Row],[PM Hi]]-Table133[[#This Row],[Prior day close]]),(Table133[[#This Row],[PM Hi]]-Table133[[#This Row],[MKT Open Price]])/(Table133[[#This Row],[PM Hi]]-Table133[[#This Row],[PM LO]]))</f>
        <v>#DIV/0!</v>
      </c>
      <c r="AJ163" s="48" t="e">
        <f>IF(Table133[[#This Row],[Prior day close]]&lt;Table133[[#This Row],[PM LO]],(I163-K163)/(I163-Table133[[#This Row],[Prior day close]]),(I163-K163)/(I163-Table133[[#This Row],[PM LO]]))</f>
        <v>#DIV/0!</v>
      </c>
      <c r="AK163" s="48" t="e">
        <f>Table133[[#This Row],[Spike % on open before drop]]+AL163</f>
        <v>#DIV/0!</v>
      </c>
      <c r="AL163" s="16" t="e">
        <f>(I163-K163)/I163</f>
        <v>#DIV/0!</v>
      </c>
      <c r="AM163" s="18" t="e">
        <f>IF($J163&gt;=$F163,($J163-$K163)/($J163),(IF($H163&lt;=$K163,($F163-$H163)/($F163),(Table133[[#This Row],[PM Hi]]-Table133[[#This Row],[Lowest lo from open to squeeze]])/(Table133[[#This Row],[PM Hi]]))))</f>
        <v>#DIV/0!</v>
      </c>
      <c r="AN163" s="48" t="e">
        <f>IF(Table133[[#This Row],[Prior day close]]&lt;=Table133[[#This Row],[PM LO]],IF($J163&gt;=$F163,($J163-$K163)/($J163-Table133[[#This Row],[Prior day close]]),(IF($H163&lt;=$K163,($F163-$H163)/($F163-Table133[[#This Row],[Prior day close]]),(Table133[[#This Row],[PM Hi]]-Table133[[#This Row],[Lowest lo from open to squeeze]])/(Table133[[#This Row],[PM Hi]]-Table133[[#This Row],[Prior day close]])))),IF($J163&gt;=$F163,($J163-$K163)/($J163-Table133[[#This Row],[PM LO]]),(IF($H163&lt;=$K163,($F163-$H163)/($F163-Table133[[#This Row],[PM LO]]),(Table133[[#This Row],[PM Hi]]-Table133[[#This Row],[Lowest lo from open to squeeze]])/(Table133[[#This Row],[PM Hi]]-Table133[[#This Row],[PM LO]])))))</f>
        <v>#DIV/0!</v>
      </c>
      <c r="AO163" s="18" t="e">
        <f>IF(J163&gt;=F163,(J163-K163)/(J163-D163),(IF(H163&lt;=K163,(F163-H163)/(F163-D163),(Table133[[#This Row],[PM Hi]]-Table133[[#This Row],[Lowest lo from open to squeeze]])/(Table133[[#This Row],[PM Hi]]-Table133[[#This Row],[Prior day close]]))))</f>
        <v>#DIV/0!</v>
      </c>
      <c r="AP163" s="17">
        <f>390+Table133[[#This Row],[Time until ideal entry point (mins) from open]]</f>
        <v>390</v>
      </c>
      <c r="AQ163" s="17">
        <f>Table133[[#This Row],[Time until ideal entry + 390 (6:30)]]+Table133[[#This Row],[Duration of frontside (mins)]]</f>
        <v>390</v>
      </c>
    </row>
    <row r="164" spans="1:43" x14ac:dyDescent="0.25">
      <c r="A164" s="24" t="s">
        <v>69</v>
      </c>
      <c r="B164" s="45">
        <v>43844</v>
      </c>
      <c r="C164" s="47" t="s">
        <v>364</v>
      </c>
      <c r="D164" s="12"/>
      <c r="E164" s="13"/>
      <c r="F164" s="12"/>
      <c r="G164" s="12"/>
      <c r="H164" s="12"/>
      <c r="I164" s="12"/>
      <c r="J164" s="12"/>
      <c r="K164" s="12"/>
      <c r="N164" s="13"/>
      <c r="P164" s="37"/>
      <c r="Q164" s="46"/>
      <c r="R164" s="37"/>
      <c r="S164" s="37"/>
      <c r="T164" s="37"/>
      <c r="U164" s="38"/>
      <c r="V164" s="46"/>
      <c r="W164" s="37"/>
      <c r="X164" s="46"/>
      <c r="Y164" s="41">
        <f>Table133[[#This Row],[Time until ideal entry + 390 (6:30)]]/(1440)</f>
        <v>0.27083333333333331</v>
      </c>
      <c r="Z164" s="18" t="e">
        <f>(F164-D164)/D164</f>
        <v>#DIV/0!</v>
      </c>
      <c r="AA164" s="18" t="e">
        <f>IF(Table133[[#This Row],[HOD AFTER PM HI]]&gt;=Table133[[#This Row],[PM Hi]],((Table133[[#This Row],[HOD AFTER PM HI]]-Table133[[#This Row],[Prior day close]])/Table133[[#This Row],[Prior day close]]),Table133[[#This Row],[Prior Close to PM Hi %]])</f>
        <v>#DIV/0!</v>
      </c>
      <c r="AB164" s="42" t="e">
        <f>(Table133[[#This Row],[Price at hi of squeeze]]-Table133[[#This Row],[MKT Open Price]])/Table133[[#This Row],[MKT Open Price]]</f>
        <v>#DIV/0!</v>
      </c>
      <c r="AC164" s="18" t="e">
        <f>(Table133[[#This Row],[Price at hi of squeeze]]-Table133[[#This Row],[PM Hi]])/Table133[[#This Row],[PM Hi]]</f>
        <v>#DIV/0!</v>
      </c>
      <c r="AD164" s="18"/>
      <c r="AE164" s="20" t="e">
        <f>Table133[[#This Row],[PM VOL]]/1000000/Table133[[#This Row],[FLOAT(M)]]</f>
        <v>#DIV/0!</v>
      </c>
      <c r="AF164" s="23" t="e">
        <f>(Table133[[#This Row],[Volume]]/1000000)/Table133[[#This Row],[FLOAT(M)]]</f>
        <v>#DIV/0!</v>
      </c>
      <c r="AH164" s="18" t="e">
        <f>(Table133[[#This Row],[PM Hi]]-Table133[[#This Row],[MKT Open Price]])/(Table133[[#This Row],[PM Hi]])</f>
        <v>#DIV/0!</v>
      </c>
      <c r="AI164" s="18" t="e">
        <f>IF(Table133[[#This Row],[PM LO]]&gt;Table133[[#This Row],[Prior day close]],(Table133[[#This Row],[PM Hi]]-Table133[[#This Row],[MKT Open Price]])/(Table133[[#This Row],[PM Hi]]-Table133[[#This Row],[Prior day close]]),(Table133[[#This Row],[PM Hi]]-Table133[[#This Row],[MKT Open Price]])/(Table133[[#This Row],[PM Hi]]-Table133[[#This Row],[PM LO]]))</f>
        <v>#DIV/0!</v>
      </c>
      <c r="AJ164" s="48" t="e">
        <f>IF(Table133[[#This Row],[Prior day close]]&lt;Table133[[#This Row],[PM LO]],(I164-K164)/(I164-Table133[[#This Row],[Prior day close]]),(I164-K164)/(I164-Table133[[#This Row],[PM LO]]))</f>
        <v>#DIV/0!</v>
      </c>
      <c r="AK164" s="48" t="e">
        <f>Table133[[#This Row],[Spike % on open before drop]]+AL164</f>
        <v>#DIV/0!</v>
      </c>
      <c r="AL164" s="16" t="e">
        <f>(I164-K164)/I164</f>
        <v>#DIV/0!</v>
      </c>
      <c r="AM164" s="18" t="e">
        <f>IF($J164&gt;=$F164,($J164-$K164)/($J164),(IF($H164&lt;=$K164,($F164-$H164)/($F164),(Table133[[#This Row],[PM Hi]]-Table133[[#This Row],[Lowest lo from open to squeeze]])/(Table133[[#This Row],[PM Hi]]))))</f>
        <v>#DIV/0!</v>
      </c>
      <c r="AN164" s="48" t="e">
        <f>IF(Table133[[#This Row],[Prior day close]]&lt;=Table133[[#This Row],[PM LO]],IF($J164&gt;=$F164,($J164-$K164)/($J164-Table133[[#This Row],[Prior day close]]),(IF($H164&lt;=$K164,($F164-$H164)/($F164-Table133[[#This Row],[Prior day close]]),(Table133[[#This Row],[PM Hi]]-Table133[[#This Row],[Lowest lo from open to squeeze]])/(Table133[[#This Row],[PM Hi]]-Table133[[#This Row],[Prior day close]])))),IF($J164&gt;=$F164,($J164-$K164)/($J164-Table133[[#This Row],[PM LO]]),(IF($H164&lt;=$K164,($F164-$H164)/($F164-Table133[[#This Row],[PM LO]]),(Table133[[#This Row],[PM Hi]]-Table133[[#This Row],[Lowest lo from open to squeeze]])/(Table133[[#This Row],[PM Hi]]-Table133[[#This Row],[PM LO]])))))</f>
        <v>#DIV/0!</v>
      </c>
      <c r="AO164" s="18" t="e">
        <f>IF(J164&gt;=F164,(J164-K164)/(J164-D164),(IF(H164&lt;=K164,(F164-H164)/(F164-D164),(Table133[[#This Row],[PM Hi]]-Table133[[#This Row],[Lowest lo from open to squeeze]])/(Table133[[#This Row],[PM Hi]]-Table133[[#This Row],[Prior day close]]))))</f>
        <v>#DIV/0!</v>
      </c>
      <c r="AP164" s="17">
        <f>390+Table133[[#This Row],[Time until ideal entry point (mins) from open]]</f>
        <v>390</v>
      </c>
      <c r="AQ164" s="17">
        <f>Table133[[#This Row],[Time until ideal entry + 390 (6:30)]]+Table133[[#This Row],[Duration of frontside (mins)]]</f>
        <v>390</v>
      </c>
    </row>
    <row r="165" spans="1:43" x14ac:dyDescent="0.25">
      <c r="A165" s="24" t="s">
        <v>83</v>
      </c>
      <c r="B165" s="47">
        <v>43849</v>
      </c>
      <c r="C165" s="47" t="s">
        <v>364</v>
      </c>
      <c r="D165" s="12"/>
      <c r="E165" s="13"/>
      <c r="F165" s="12"/>
      <c r="G165" s="12"/>
      <c r="H165" s="12"/>
      <c r="I165" s="12"/>
      <c r="J165" s="12"/>
      <c r="K165" s="12"/>
      <c r="N165" s="13"/>
      <c r="P165" s="37"/>
      <c r="Q165" s="46"/>
      <c r="R165" s="37"/>
      <c r="S165" s="37"/>
      <c r="T165" s="37"/>
      <c r="U165" s="38"/>
      <c r="V165" s="46"/>
      <c r="W165" s="37"/>
      <c r="X165" s="46"/>
      <c r="Y165" s="41">
        <f>Table133[[#This Row],[Time until ideal entry + 390 (6:30)]]/(1440)</f>
        <v>0.27083333333333331</v>
      </c>
      <c r="Z165" s="18" t="e">
        <f>(F165-D165)/D165</f>
        <v>#DIV/0!</v>
      </c>
      <c r="AA165" s="18" t="e">
        <f>IF(Table133[[#This Row],[HOD AFTER PM HI]]&gt;=Table133[[#This Row],[PM Hi]],((Table133[[#This Row],[HOD AFTER PM HI]]-Table133[[#This Row],[Prior day close]])/Table133[[#This Row],[Prior day close]]),Table133[[#This Row],[Prior Close to PM Hi %]])</f>
        <v>#DIV/0!</v>
      </c>
      <c r="AB165" s="42" t="e">
        <f>(Table133[[#This Row],[Price at hi of squeeze]]-Table133[[#This Row],[MKT Open Price]])/Table133[[#This Row],[MKT Open Price]]</f>
        <v>#DIV/0!</v>
      </c>
      <c r="AC165" s="18" t="e">
        <f>(Table133[[#This Row],[Price at hi of squeeze]]-Table133[[#This Row],[PM Hi]])/Table133[[#This Row],[PM Hi]]</f>
        <v>#DIV/0!</v>
      </c>
      <c r="AD165" s="18"/>
      <c r="AE165" s="20" t="e">
        <f>Table133[[#This Row],[PM VOL]]/1000000/Table133[[#This Row],[FLOAT(M)]]</f>
        <v>#DIV/0!</v>
      </c>
      <c r="AF165" s="23" t="e">
        <f>(Table133[[#This Row],[Volume]]/1000000)/Table133[[#This Row],[FLOAT(M)]]</f>
        <v>#DIV/0!</v>
      </c>
      <c r="AH165" s="18" t="e">
        <f>(Table133[[#This Row],[PM Hi]]-Table133[[#This Row],[MKT Open Price]])/(Table133[[#This Row],[PM Hi]])</f>
        <v>#DIV/0!</v>
      </c>
      <c r="AI165" s="18" t="e">
        <f>IF(Table133[[#This Row],[PM LO]]&gt;Table133[[#This Row],[Prior day close]],(Table133[[#This Row],[PM Hi]]-Table133[[#This Row],[MKT Open Price]])/(Table133[[#This Row],[PM Hi]]-Table133[[#This Row],[Prior day close]]),(Table133[[#This Row],[PM Hi]]-Table133[[#This Row],[MKT Open Price]])/(Table133[[#This Row],[PM Hi]]-Table133[[#This Row],[PM LO]]))</f>
        <v>#DIV/0!</v>
      </c>
      <c r="AJ165" s="48" t="e">
        <f>IF(Table133[[#This Row],[Prior day close]]&lt;Table133[[#This Row],[PM LO]],(I165-K165)/(I165-Table133[[#This Row],[Prior day close]]),(I165-K165)/(I165-Table133[[#This Row],[PM LO]]))</f>
        <v>#DIV/0!</v>
      </c>
      <c r="AK165" s="48" t="e">
        <f>Table133[[#This Row],[Spike % on open before drop]]+AL165</f>
        <v>#DIV/0!</v>
      </c>
      <c r="AL165" s="16" t="e">
        <f>(I165-K165)/I165</f>
        <v>#DIV/0!</v>
      </c>
      <c r="AM165" s="18" t="e">
        <f>IF($J165&gt;=$F165,($J165-$K165)/($J165),(IF($H165&lt;=$K165,($F165-$H165)/($F165),(Table133[[#This Row],[PM Hi]]-Table133[[#This Row],[Lowest lo from open to squeeze]])/(Table133[[#This Row],[PM Hi]]))))</f>
        <v>#DIV/0!</v>
      </c>
      <c r="AN165" s="48" t="e">
        <f>IF(Table133[[#This Row],[Prior day close]]&lt;=Table133[[#This Row],[PM LO]],IF($J165&gt;=$F165,($J165-$K165)/($J165-Table133[[#This Row],[Prior day close]]),(IF($H165&lt;=$K165,($F165-$H165)/($F165-Table133[[#This Row],[Prior day close]]),(Table133[[#This Row],[PM Hi]]-Table133[[#This Row],[Lowest lo from open to squeeze]])/(Table133[[#This Row],[PM Hi]]-Table133[[#This Row],[Prior day close]])))),IF($J165&gt;=$F165,($J165-$K165)/($J165-Table133[[#This Row],[PM LO]]),(IF($H165&lt;=$K165,($F165-$H165)/($F165-Table133[[#This Row],[PM LO]]),(Table133[[#This Row],[PM Hi]]-Table133[[#This Row],[Lowest lo from open to squeeze]])/(Table133[[#This Row],[PM Hi]]-Table133[[#This Row],[PM LO]])))))</f>
        <v>#DIV/0!</v>
      </c>
      <c r="AO165" s="18" t="e">
        <f>IF(J165&gt;=F165,(J165-K165)/(J165-D165),(IF(H165&lt;=K165,(F165-H165)/(F165-D165),(Table133[[#This Row],[PM Hi]]-Table133[[#This Row],[Lowest lo from open to squeeze]])/(Table133[[#This Row],[PM Hi]]-Table133[[#This Row],[Prior day close]]))))</f>
        <v>#DIV/0!</v>
      </c>
      <c r="AP165" s="17">
        <f>390+Table133[[#This Row],[Time until ideal entry point (mins) from open]]</f>
        <v>390</v>
      </c>
      <c r="AQ165" s="17">
        <f>Table133[[#This Row],[Time until ideal entry + 390 (6:30)]]+Table133[[#This Row],[Duration of frontside (mins)]]</f>
        <v>390</v>
      </c>
    </row>
    <row r="166" spans="1:43" x14ac:dyDescent="0.25">
      <c r="A166" s="24" t="s">
        <v>286</v>
      </c>
      <c r="B166" s="47">
        <v>44221</v>
      </c>
      <c r="C166" s="47" t="s">
        <v>364</v>
      </c>
      <c r="D166" s="12"/>
      <c r="E166" s="13"/>
      <c r="F166" s="12"/>
      <c r="G166" s="12"/>
      <c r="H166" s="12"/>
      <c r="I166" s="12"/>
      <c r="J166" s="12"/>
      <c r="K166" s="12"/>
      <c r="N166" s="13"/>
      <c r="P166" s="37"/>
      <c r="Q166" s="46"/>
      <c r="R166" s="37"/>
      <c r="S166" s="37"/>
      <c r="T166" s="37"/>
      <c r="U166" s="38"/>
      <c r="V166" s="46"/>
      <c r="W166" s="37"/>
      <c r="X166" s="46"/>
      <c r="Y166" s="41">
        <f>Table133[[#This Row],[Time until ideal entry + 390 (6:30)]]/(1440)</f>
        <v>0.27083333333333331</v>
      </c>
      <c r="Z166" s="18" t="e">
        <f>(F166-D166)/D166</f>
        <v>#DIV/0!</v>
      </c>
      <c r="AA166" s="18" t="e">
        <f>IF(Table133[[#This Row],[HOD AFTER PM HI]]&gt;=Table133[[#This Row],[PM Hi]],((Table133[[#This Row],[HOD AFTER PM HI]]-Table133[[#This Row],[Prior day close]])/Table133[[#This Row],[Prior day close]]),Table133[[#This Row],[Prior Close to PM Hi %]])</f>
        <v>#DIV/0!</v>
      </c>
      <c r="AB166" s="42" t="e">
        <f>(Table133[[#This Row],[Price at hi of squeeze]]-Table133[[#This Row],[MKT Open Price]])/Table133[[#This Row],[MKT Open Price]]</f>
        <v>#DIV/0!</v>
      </c>
      <c r="AC166" s="18" t="e">
        <f>(Table133[[#This Row],[Price at hi of squeeze]]-Table133[[#This Row],[PM Hi]])/Table133[[#This Row],[PM Hi]]</f>
        <v>#DIV/0!</v>
      </c>
      <c r="AD166" s="18"/>
      <c r="AE166" s="20" t="e">
        <f>Table133[[#This Row],[PM VOL]]/1000000/Table133[[#This Row],[FLOAT(M)]]</f>
        <v>#DIV/0!</v>
      </c>
      <c r="AF166" s="23" t="e">
        <f>(Table133[[#This Row],[Volume]]/1000000)/Table133[[#This Row],[FLOAT(M)]]</f>
        <v>#DIV/0!</v>
      </c>
      <c r="AH166" s="18" t="e">
        <f>(Table133[[#This Row],[PM Hi]]-Table133[[#This Row],[MKT Open Price]])/(Table133[[#This Row],[PM Hi]])</f>
        <v>#DIV/0!</v>
      </c>
      <c r="AI166" s="18" t="e">
        <f>IF(Table133[[#This Row],[PM LO]]&gt;Table133[[#This Row],[Prior day close]],(Table133[[#This Row],[PM Hi]]-Table133[[#This Row],[MKT Open Price]])/(Table133[[#This Row],[PM Hi]]-Table133[[#This Row],[Prior day close]]),(Table133[[#This Row],[PM Hi]]-Table133[[#This Row],[MKT Open Price]])/(Table133[[#This Row],[PM Hi]]-Table133[[#This Row],[PM LO]]))</f>
        <v>#DIV/0!</v>
      </c>
      <c r="AJ166" s="48" t="e">
        <f>IF(Table133[[#This Row],[Prior day close]]&lt;Table133[[#This Row],[PM LO]],(I166-K166)/(I166-Table133[[#This Row],[Prior day close]]),(I166-K166)/(I166-Table133[[#This Row],[PM LO]]))</f>
        <v>#DIV/0!</v>
      </c>
      <c r="AK166" s="48" t="e">
        <f>Table133[[#This Row],[Spike % on open before drop]]+AL166</f>
        <v>#DIV/0!</v>
      </c>
      <c r="AL166" s="16" t="e">
        <f>(I166-K166)/I166</f>
        <v>#DIV/0!</v>
      </c>
      <c r="AM166" s="18" t="e">
        <f>IF($J166&gt;=$F166,($J166-$K166)/($J166),(IF($H166&lt;=$K166,($F166-$H166)/($F166),(Table133[[#This Row],[PM Hi]]-Table133[[#This Row],[Lowest lo from open to squeeze]])/(Table133[[#This Row],[PM Hi]]))))</f>
        <v>#DIV/0!</v>
      </c>
      <c r="AN166" s="48" t="e">
        <f>IF(Table133[[#This Row],[Prior day close]]&lt;=Table133[[#This Row],[PM LO]],IF($J166&gt;=$F166,($J166-$K166)/($J166-Table133[[#This Row],[Prior day close]]),(IF($H166&lt;=$K166,($F166-$H166)/($F166-Table133[[#This Row],[Prior day close]]),(Table133[[#This Row],[PM Hi]]-Table133[[#This Row],[Lowest lo from open to squeeze]])/(Table133[[#This Row],[PM Hi]]-Table133[[#This Row],[Prior day close]])))),IF($J166&gt;=$F166,($J166-$K166)/($J166-Table133[[#This Row],[PM LO]]),(IF($H166&lt;=$K166,($F166-$H166)/($F166-Table133[[#This Row],[PM LO]]),(Table133[[#This Row],[PM Hi]]-Table133[[#This Row],[Lowest lo from open to squeeze]])/(Table133[[#This Row],[PM Hi]]-Table133[[#This Row],[PM LO]])))))</f>
        <v>#DIV/0!</v>
      </c>
      <c r="AO166" s="18" t="e">
        <f>IF(J166&gt;=F166,(J166-K166)/(J166-D166),(IF(H166&lt;=K166,(F166-H166)/(F166-D166),(Table133[[#This Row],[PM Hi]]-Table133[[#This Row],[Lowest lo from open to squeeze]])/(Table133[[#This Row],[PM Hi]]-Table133[[#This Row],[Prior day close]]))))</f>
        <v>#DIV/0!</v>
      </c>
      <c r="AP166" s="17">
        <f>390+Table133[[#This Row],[Time until ideal entry point (mins) from open]]</f>
        <v>390</v>
      </c>
      <c r="AQ166" s="17">
        <f>Table133[[#This Row],[Time until ideal entry + 390 (6:30)]]+Table133[[#This Row],[Duration of frontside (mins)]]</f>
        <v>390</v>
      </c>
    </row>
    <row r="167" spans="1:43" x14ac:dyDescent="0.25">
      <c r="A167" s="24" t="s">
        <v>335</v>
      </c>
      <c r="B167" s="47">
        <v>44223</v>
      </c>
      <c r="C167" s="47" t="s">
        <v>364</v>
      </c>
      <c r="D167" s="12"/>
      <c r="E167" s="13"/>
      <c r="F167" s="12"/>
      <c r="G167" s="12"/>
      <c r="H167" s="12"/>
      <c r="I167" s="12"/>
      <c r="J167" s="12"/>
      <c r="K167" s="12"/>
      <c r="N167" s="13"/>
      <c r="P167" s="37"/>
      <c r="Q167" s="46"/>
      <c r="R167" s="37"/>
      <c r="S167" s="37"/>
      <c r="T167" s="37"/>
      <c r="U167" s="38"/>
      <c r="V167" s="46"/>
      <c r="W167" s="37"/>
      <c r="X167" s="46"/>
      <c r="Y167" s="41">
        <f>Table133[[#This Row],[Time until ideal entry + 390 (6:30)]]/(1440)</f>
        <v>0.27083333333333331</v>
      </c>
      <c r="Z167" s="18" t="e">
        <f>(F167-D167)/D167</f>
        <v>#DIV/0!</v>
      </c>
      <c r="AA167" s="18" t="e">
        <f>IF(Table133[[#This Row],[HOD AFTER PM HI]]&gt;=Table133[[#This Row],[PM Hi]],((Table133[[#This Row],[HOD AFTER PM HI]]-Table133[[#This Row],[Prior day close]])/Table133[[#This Row],[Prior day close]]),Table133[[#This Row],[Prior Close to PM Hi %]])</f>
        <v>#DIV/0!</v>
      </c>
      <c r="AB167" s="42" t="e">
        <f>(Table133[[#This Row],[Price at hi of squeeze]]-Table133[[#This Row],[MKT Open Price]])/Table133[[#This Row],[MKT Open Price]]</f>
        <v>#DIV/0!</v>
      </c>
      <c r="AC167" s="18" t="e">
        <f>(Table133[[#This Row],[Price at hi of squeeze]]-Table133[[#This Row],[PM Hi]])/Table133[[#This Row],[PM Hi]]</f>
        <v>#DIV/0!</v>
      </c>
      <c r="AD167" s="18"/>
      <c r="AE167" s="20" t="e">
        <f>Table133[[#This Row],[PM VOL]]/1000000/Table133[[#This Row],[FLOAT(M)]]</f>
        <v>#DIV/0!</v>
      </c>
      <c r="AF167" s="23" t="e">
        <f>(Table133[[#This Row],[Volume]]/1000000)/Table133[[#This Row],[FLOAT(M)]]</f>
        <v>#DIV/0!</v>
      </c>
      <c r="AH167" s="18" t="e">
        <f>(Table133[[#This Row],[PM Hi]]-Table133[[#This Row],[MKT Open Price]])/(Table133[[#This Row],[PM Hi]])</f>
        <v>#DIV/0!</v>
      </c>
      <c r="AI167" s="18" t="e">
        <f>IF(Table133[[#This Row],[PM LO]]&gt;Table133[[#This Row],[Prior day close]],(Table133[[#This Row],[PM Hi]]-Table133[[#This Row],[MKT Open Price]])/(Table133[[#This Row],[PM Hi]]-Table133[[#This Row],[Prior day close]]),(Table133[[#This Row],[PM Hi]]-Table133[[#This Row],[MKT Open Price]])/(Table133[[#This Row],[PM Hi]]-Table133[[#This Row],[PM LO]]))</f>
        <v>#DIV/0!</v>
      </c>
      <c r="AJ167" s="48" t="e">
        <f>IF(Table133[[#This Row],[Prior day close]]&lt;Table133[[#This Row],[PM LO]],(I167-K167)/(I167-Table133[[#This Row],[Prior day close]]),(I167-K167)/(I167-Table133[[#This Row],[PM LO]]))</f>
        <v>#DIV/0!</v>
      </c>
      <c r="AK167" s="48" t="e">
        <f>Table133[[#This Row],[Spike % on open before drop]]+AL167</f>
        <v>#DIV/0!</v>
      </c>
      <c r="AL167" s="16" t="e">
        <f>(I167-K167)/I167</f>
        <v>#DIV/0!</v>
      </c>
      <c r="AM167" s="18" t="e">
        <f>IF($J167&gt;=$F167,($J167-$K167)/($J167),(IF($H167&lt;=$K167,($F167-$H167)/($F167),(Table133[[#This Row],[PM Hi]]-Table133[[#This Row],[Lowest lo from open to squeeze]])/(Table133[[#This Row],[PM Hi]]))))</f>
        <v>#DIV/0!</v>
      </c>
      <c r="AN167" s="48" t="e">
        <f>IF(Table133[[#This Row],[Prior day close]]&lt;=Table133[[#This Row],[PM LO]],IF($J167&gt;=$F167,($J167-$K167)/($J167-Table133[[#This Row],[Prior day close]]),(IF($H167&lt;=$K167,($F167-$H167)/($F167-Table133[[#This Row],[Prior day close]]),(Table133[[#This Row],[PM Hi]]-Table133[[#This Row],[Lowest lo from open to squeeze]])/(Table133[[#This Row],[PM Hi]]-Table133[[#This Row],[Prior day close]])))),IF($J167&gt;=$F167,($J167-$K167)/($J167-Table133[[#This Row],[PM LO]]),(IF($H167&lt;=$K167,($F167-$H167)/($F167-Table133[[#This Row],[PM LO]]),(Table133[[#This Row],[PM Hi]]-Table133[[#This Row],[Lowest lo from open to squeeze]])/(Table133[[#This Row],[PM Hi]]-Table133[[#This Row],[PM LO]])))))</f>
        <v>#DIV/0!</v>
      </c>
      <c r="AO167" s="18" t="e">
        <f>IF(J167&gt;=F167,(J167-K167)/(J167-D167),(IF(H167&lt;=K167,(F167-H167)/(F167-D167),(Table133[[#This Row],[PM Hi]]-Table133[[#This Row],[Lowest lo from open to squeeze]])/(Table133[[#This Row],[PM Hi]]-Table133[[#This Row],[Prior day close]]))))</f>
        <v>#DIV/0!</v>
      </c>
      <c r="AP167" s="17">
        <f>390+Table133[[#This Row],[Time until ideal entry point (mins) from open]]</f>
        <v>390</v>
      </c>
      <c r="AQ167" s="17">
        <f>Table133[[#This Row],[Time until ideal entry + 390 (6:30)]]+Table133[[#This Row],[Duration of frontside (mins)]]</f>
        <v>390</v>
      </c>
    </row>
    <row r="168" spans="1:43" x14ac:dyDescent="0.25">
      <c r="A168" s="24" t="s">
        <v>96</v>
      </c>
      <c r="B168" s="47">
        <v>44225</v>
      </c>
      <c r="C168" s="47" t="s">
        <v>364</v>
      </c>
      <c r="D168" s="12"/>
      <c r="E168" s="13"/>
      <c r="F168" s="12"/>
      <c r="G168" s="12"/>
      <c r="H168" s="12"/>
      <c r="I168" s="12"/>
      <c r="J168" s="12"/>
      <c r="K168" s="12"/>
      <c r="N168" s="13"/>
      <c r="P168" s="37"/>
      <c r="Q168" s="46"/>
      <c r="R168" s="37"/>
      <c r="S168" s="37"/>
      <c r="T168" s="37"/>
      <c r="U168" s="38"/>
      <c r="V168" s="46"/>
      <c r="W168" s="37"/>
      <c r="X168" s="46"/>
      <c r="Y168" s="41">
        <f>Table133[[#This Row],[Time until ideal entry + 390 (6:30)]]/(1440)</f>
        <v>0.27083333333333331</v>
      </c>
      <c r="Z168" s="18" t="e">
        <f>(F168-D168)/D168</f>
        <v>#DIV/0!</v>
      </c>
      <c r="AA168" s="18" t="e">
        <f>IF(Table133[[#This Row],[HOD AFTER PM HI]]&gt;=Table133[[#This Row],[PM Hi]],((Table133[[#This Row],[HOD AFTER PM HI]]-Table133[[#This Row],[Prior day close]])/Table133[[#This Row],[Prior day close]]),Table133[[#This Row],[Prior Close to PM Hi %]])</f>
        <v>#DIV/0!</v>
      </c>
      <c r="AB168" s="42" t="e">
        <f>(Table133[[#This Row],[Price at hi of squeeze]]-Table133[[#This Row],[MKT Open Price]])/Table133[[#This Row],[MKT Open Price]]</f>
        <v>#DIV/0!</v>
      </c>
      <c r="AC168" s="18" t="e">
        <f>(Table133[[#This Row],[Price at hi of squeeze]]-Table133[[#This Row],[PM Hi]])/Table133[[#This Row],[PM Hi]]</f>
        <v>#DIV/0!</v>
      </c>
      <c r="AD168" s="18"/>
      <c r="AE168" s="20" t="e">
        <f>Table133[[#This Row],[PM VOL]]/1000000/Table133[[#This Row],[FLOAT(M)]]</f>
        <v>#DIV/0!</v>
      </c>
      <c r="AF168" s="23" t="e">
        <f>(Table133[[#This Row],[Volume]]/1000000)/Table133[[#This Row],[FLOAT(M)]]</f>
        <v>#DIV/0!</v>
      </c>
      <c r="AH168" s="18" t="e">
        <f>(Table133[[#This Row],[PM Hi]]-Table133[[#This Row],[MKT Open Price]])/(Table133[[#This Row],[PM Hi]])</f>
        <v>#DIV/0!</v>
      </c>
      <c r="AI168" s="18" t="e">
        <f>IF(Table133[[#This Row],[PM LO]]&gt;Table133[[#This Row],[Prior day close]],(Table133[[#This Row],[PM Hi]]-Table133[[#This Row],[MKT Open Price]])/(Table133[[#This Row],[PM Hi]]-Table133[[#This Row],[Prior day close]]),(Table133[[#This Row],[PM Hi]]-Table133[[#This Row],[MKT Open Price]])/(Table133[[#This Row],[PM Hi]]-Table133[[#This Row],[PM LO]]))</f>
        <v>#DIV/0!</v>
      </c>
      <c r="AJ168" s="48" t="e">
        <f>IF(Table133[[#This Row],[Prior day close]]&lt;Table133[[#This Row],[PM LO]],(I168-K168)/(I168-Table133[[#This Row],[Prior day close]]),(I168-K168)/(I168-Table133[[#This Row],[PM LO]]))</f>
        <v>#DIV/0!</v>
      </c>
      <c r="AK168" s="48" t="e">
        <f>Table133[[#This Row],[Spike % on open before drop]]+AL168</f>
        <v>#DIV/0!</v>
      </c>
      <c r="AL168" s="16" t="e">
        <f>(I168-K168)/I168</f>
        <v>#DIV/0!</v>
      </c>
      <c r="AM168" s="18" t="e">
        <f>IF($J168&gt;=$F168,($J168-$K168)/($J168),(IF($H168&lt;=$K168,($F168-$H168)/($F168),(Table133[[#This Row],[PM Hi]]-Table133[[#This Row],[Lowest lo from open to squeeze]])/(Table133[[#This Row],[PM Hi]]))))</f>
        <v>#DIV/0!</v>
      </c>
      <c r="AN168" s="48" t="e">
        <f>IF(Table133[[#This Row],[Prior day close]]&lt;=Table133[[#This Row],[PM LO]],IF($J168&gt;=$F168,($J168-$K168)/($J168-Table133[[#This Row],[Prior day close]]),(IF($H168&lt;=$K168,($F168-$H168)/($F168-Table133[[#This Row],[Prior day close]]),(Table133[[#This Row],[PM Hi]]-Table133[[#This Row],[Lowest lo from open to squeeze]])/(Table133[[#This Row],[PM Hi]]-Table133[[#This Row],[Prior day close]])))),IF($J168&gt;=$F168,($J168-$K168)/($J168-Table133[[#This Row],[PM LO]]),(IF($H168&lt;=$K168,($F168-$H168)/($F168-Table133[[#This Row],[PM LO]]),(Table133[[#This Row],[PM Hi]]-Table133[[#This Row],[Lowest lo from open to squeeze]])/(Table133[[#This Row],[PM Hi]]-Table133[[#This Row],[PM LO]])))))</f>
        <v>#DIV/0!</v>
      </c>
      <c r="AO168" s="18" t="e">
        <f>IF(J168&gt;=F168,(J168-K168)/(J168-D168),(IF(H168&lt;=K168,(F168-H168)/(F168-D168),(Table133[[#This Row],[PM Hi]]-Table133[[#This Row],[Lowest lo from open to squeeze]])/(Table133[[#This Row],[PM Hi]]-Table133[[#This Row],[Prior day close]]))))</f>
        <v>#DIV/0!</v>
      </c>
      <c r="AP168" s="17">
        <f>390+Table133[[#This Row],[Time until ideal entry point (mins) from open]]</f>
        <v>390</v>
      </c>
      <c r="AQ168" s="17">
        <f>Table133[[#This Row],[Time until ideal entry + 390 (6:30)]]+Table133[[#This Row],[Duration of frontside (mins)]]</f>
        <v>390</v>
      </c>
    </row>
    <row r="169" spans="1:43" x14ac:dyDescent="0.25">
      <c r="A169" s="24" t="s">
        <v>291</v>
      </c>
      <c r="B169" s="47">
        <v>44147</v>
      </c>
      <c r="C169" s="47" t="s">
        <v>178</v>
      </c>
      <c r="D169" s="12"/>
      <c r="E169" s="13"/>
      <c r="F169" s="12"/>
      <c r="G169" s="12"/>
      <c r="H169" s="12"/>
      <c r="I169" s="12"/>
      <c r="J169" s="12"/>
      <c r="K169" s="12"/>
      <c r="N169" s="13"/>
      <c r="P169" s="37"/>
      <c r="Q169" s="46"/>
      <c r="R169" s="37"/>
      <c r="S169" s="37"/>
      <c r="T169" s="37"/>
      <c r="U169" s="38"/>
      <c r="V169" s="46"/>
      <c r="W169" s="37"/>
      <c r="X169" s="46"/>
      <c r="Y169" s="41">
        <f>Table133[[#This Row],[Time until ideal entry + 390 (6:30)]]/(1440)</f>
        <v>0.27083333333333331</v>
      </c>
      <c r="Z169" s="18" t="e">
        <f>(F169-D169)/D169</f>
        <v>#DIV/0!</v>
      </c>
      <c r="AA169" s="18" t="e">
        <f>IF(Table133[[#This Row],[HOD AFTER PM HI]]&gt;=Table133[[#This Row],[PM Hi]],((Table133[[#This Row],[HOD AFTER PM HI]]-Table133[[#This Row],[Prior day close]])/Table133[[#This Row],[Prior day close]]),Table133[[#This Row],[Prior Close to PM Hi %]])</f>
        <v>#DIV/0!</v>
      </c>
      <c r="AB169" s="42" t="e">
        <f>(Table133[[#This Row],[Price at hi of squeeze]]-Table133[[#This Row],[MKT Open Price]])/Table133[[#This Row],[MKT Open Price]]</f>
        <v>#DIV/0!</v>
      </c>
      <c r="AC169" s="18" t="e">
        <f>(Table133[[#This Row],[Price at hi of squeeze]]-Table133[[#This Row],[PM Hi]])/Table133[[#This Row],[PM Hi]]</f>
        <v>#DIV/0!</v>
      </c>
      <c r="AD169" s="18"/>
      <c r="AE169" s="20" t="e">
        <f>Table133[[#This Row],[PM VOL]]/1000000/Table133[[#This Row],[FLOAT(M)]]</f>
        <v>#DIV/0!</v>
      </c>
      <c r="AF169" s="23" t="e">
        <f>(Table133[[#This Row],[Volume]]/1000000)/Table133[[#This Row],[FLOAT(M)]]</f>
        <v>#DIV/0!</v>
      </c>
      <c r="AH169" s="18" t="e">
        <f>(Table133[[#This Row],[PM Hi]]-Table133[[#This Row],[MKT Open Price]])/(Table133[[#This Row],[PM Hi]])</f>
        <v>#DIV/0!</v>
      </c>
      <c r="AI169" s="18" t="e">
        <f>IF(Table133[[#This Row],[PM LO]]&gt;Table133[[#This Row],[Prior day close]],(Table133[[#This Row],[PM Hi]]-Table133[[#This Row],[MKT Open Price]])/(Table133[[#This Row],[PM Hi]]-Table133[[#This Row],[Prior day close]]),(Table133[[#This Row],[PM Hi]]-Table133[[#This Row],[MKT Open Price]])/(Table133[[#This Row],[PM Hi]]-Table133[[#This Row],[PM LO]]))</f>
        <v>#DIV/0!</v>
      </c>
      <c r="AJ169" s="48" t="e">
        <f>IF(Table133[[#This Row],[Prior day close]]&lt;Table133[[#This Row],[PM LO]],(I169-K169)/(I169-Table133[[#This Row],[Prior day close]]),(I169-K169)/(I169-Table133[[#This Row],[PM LO]]))</f>
        <v>#DIV/0!</v>
      </c>
      <c r="AK169" s="48" t="e">
        <f>Table133[[#This Row],[Spike % on open before drop]]+AL169</f>
        <v>#DIV/0!</v>
      </c>
      <c r="AL169" s="16" t="e">
        <f>(I169-K169)/I169</f>
        <v>#DIV/0!</v>
      </c>
      <c r="AM169" s="18" t="e">
        <f>IF($J169&gt;=$F169,($J169-$K169)/($J169),(IF($H169&lt;=$K169,($F169-$H169)/($F169),(Table133[[#This Row],[PM Hi]]-Table133[[#This Row],[Lowest lo from open to squeeze]])/(Table133[[#This Row],[PM Hi]]))))</f>
        <v>#DIV/0!</v>
      </c>
      <c r="AN169" s="48" t="e">
        <f>IF(Table133[[#This Row],[Prior day close]]&lt;=Table133[[#This Row],[PM LO]],IF($J169&gt;=$F169,($J169-$K169)/($J169-Table133[[#This Row],[Prior day close]]),(IF($H169&lt;=$K169,($F169-$H169)/($F169-Table133[[#This Row],[Prior day close]]),(Table133[[#This Row],[PM Hi]]-Table133[[#This Row],[Lowest lo from open to squeeze]])/(Table133[[#This Row],[PM Hi]]-Table133[[#This Row],[Prior day close]])))),IF($J169&gt;=$F169,($J169-$K169)/($J169-Table133[[#This Row],[PM LO]]),(IF($H169&lt;=$K169,($F169-$H169)/($F169-Table133[[#This Row],[PM LO]]),(Table133[[#This Row],[PM Hi]]-Table133[[#This Row],[Lowest lo from open to squeeze]])/(Table133[[#This Row],[PM Hi]]-Table133[[#This Row],[PM LO]])))))</f>
        <v>#DIV/0!</v>
      </c>
      <c r="AO169" s="18" t="e">
        <f>IF(J169&gt;=F169,(J169-K169)/(J169-D169),(IF(H169&lt;=K169,(F169-H169)/(F169-D169),(Table133[[#This Row],[PM Hi]]-Table133[[#This Row],[Lowest lo from open to squeeze]])/(Table133[[#This Row],[PM Hi]]-Table133[[#This Row],[Prior day close]]))))</f>
        <v>#DIV/0!</v>
      </c>
      <c r="AP169" s="17">
        <f>390+Table133[[#This Row],[Time until ideal entry point (mins) from open]]</f>
        <v>390</v>
      </c>
      <c r="AQ169" s="17">
        <f>Table133[[#This Row],[Time until ideal entry + 390 (6:30)]]+Table133[[#This Row],[Duration of frontside (mins)]]</f>
        <v>390</v>
      </c>
    </row>
    <row r="170" spans="1:43" x14ac:dyDescent="0.25">
      <c r="A170" s="49"/>
      <c r="B170" s="47"/>
      <c r="C170" s="47"/>
      <c r="D170" s="12"/>
      <c r="E170" s="13"/>
      <c r="F170" s="12"/>
      <c r="G170" s="12"/>
      <c r="H170" s="12"/>
      <c r="I170" s="12"/>
      <c r="J170" s="12"/>
      <c r="K170" s="12"/>
      <c r="N170" s="13"/>
      <c r="P170" s="37"/>
      <c r="Q170" s="46"/>
      <c r="R170" s="37"/>
      <c r="S170" s="37"/>
      <c r="T170" s="37"/>
      <c r="U170" s="38"/>
      <c r="V170" s="46"/>
      <c r="W170" s="37"/>
      <c r="X170" s="46"/>
      <c r="Y170" s="41">
        <f>Table133[[#This Row],[Time until ideal entry + 390 (6:30)]]/(1440)</f>
        <v>0.27083333333333331</v>
      </c>
      <c r="Z170" s="18" t="e">
        <f>(F170-D170)/D170</f>
        <v>#DIV/0!</v>
      </c>
      <c r="AA170" s="18" t="e">
        <f>IF(Table133[[#This Row],[HOD AFTER PM HI]]&gt;=Table133[[#This Row],[PM Hi]],((Table133[[#This Row],[HOD AFTER PM HI]]-Table133[[#This Row],[Prior day close]])/Table133[[#This Row],[Prior day close]]),Table133[[#This Row],[Prior Close to PM Hi %]])</f>
        <v>#DIV/0!</v>
      </c>
      <c r="AB170" s="42" t="e">
        <f>(Table133[[#This Row],[Price at hi of squeeze]]-Table133[[#This Row],[MKT Open Price]])/Table133[[#This Row],[MKT Open Price]]</f>
        <v>#DIV/0!</v>
      </c>
      <c r="AC170" s="18" t="e">
        <f>(Table133[[#This Row],[Price at hi of squeeze]]-Table133[[#This Row],[PM Hi]])/Table133[[#This Row],[PM Hi]]</f>
        <v>#DIV/0!</v>
      </c>
      <c r="AD170" s="18"/>
      <c r="AE170" s="20" t="e">
        <f>Table133[[#This Row],[PM VOL]]/1000000/Table133[[#This Row],[FLOAT(M)]]</f>
        <v>#DIV/0!</v>
      </c>
      <c r="AF170" s="23" t="e">
        <f>(Table133[[#This Row],[Volume]]/1000000)/Table133[[#This Row],[FLOAT(M)]]</f>
        <v>#DIV/0!</v>
      </c>
      <c r="AH170" s="18" t="e">
        <f>(Table133[[#This Row],[PM Hi]]-Table133[[#This Row],[MKT Open Price]])/(Table133[[#This Row],[PM Hi]])</f>
        <v>#DIV/0!</v>
      </c>
      <c r="AI170" s="18" t="e">
        <f>IF(Table133[[#This Row],[PM LO]]&gt;Table133[[#This Row],[Prior day close]],(Table133[[#This Row],[PM Hi]]-Table133[[#This Row],[MKT Open Price]])/(Table133[[#This Row],[PM Hi]]-Table133[[#This Row],[Prior day close]]),(Table133[[#This Row],[PM Hi]]-Table133[[#This Row],[MKT Open Price]])/(Table133[[#This Row],[PM Hi]]-Table133[[#This Row],[PM LO]]))</f>
        <v>#DIV/0!</v>
      </c>
      <c r="AJ170" s="48" t="e">
        <f>IF(Table133[[#This Row],[Prior day close]]&lt;Table133[[#This Row],[PM LO]],(I170-K170)/(I170-Table133[[#This Row],[Prior day close]]),(I170-K170)/(I170-Table133[[#This Row],[PM LO]]))</f>
        <v>#DIV/0!</v>
      </c>
      <c r="AK170" s="48" t="e">
        <f>Table133[[#This Row],[Spike % on open before drop]]+AL170</f>
        <v>#DIV/0!</v>
      </c>
      <c r="AL170" s="16" t="e">
        <f>(I170-K170)/I170</f>
        <v>#DIV/0!</v>
      </c>
      <c r="AM170" s="18" t="e">
        <f>IF($J170&gt;=$F170,($J170-$K170)/($J170),(IF($H170&lt;=$K170,($F170-$H170)/($F170),(Table133[[#This Row],[PM Hi]]-Table133[[#This Row],[Lowest lo from open to squeeze]])/(Table133[[#This Row],[PM Hi]]))))</f>
        <v>#DIV/0!</v>
      </c>
      <c r="AN170" s="48" t="e">
        <f>IF(Table133[[#This Row],[Prior day close]]&lt;=Table133[[#This Row],[PM LO]],IF($J170&gt;=$F170,($J170-$K170)/($J170-Table133[[#This Row],[Prior day close]]),(IF($H170&lt;=$K170,($F170-$H170)/($F170-Table133[[#This Row],[Prior day close]]),(Table133[[#This Row],[PM Hi]]-Table133[[#This Row],[Lowest lo from open to squeeze]])/(Table133[[#This Row],[PM Hi]]-Table133[[#This Row],[Prior day close]])))),IF($J170&gt;=$F170,($J170-$K170)/($J170-Table133[[#This Row],[PM LO]]),(IF($H170&lt;=$K170,($F170-$H170)/($F170-Table133[[#This Row],[PM LO]]),(Table133[[#This Row],[PM Hi]]-Table133[[#This Row],[Lowest lo from open to squeeze]])/(Table133[[#This Row],[PM Hi]]-Table133[[#This Row],[PM LO]])))))</f>
        <v>#DIV/0!</v>
      </c>
      <c r="AO170" s="18" t="e">
        <f>IF(J170&gt;=F170,(J170-K170)/(J170-D170),(IF(H170&lt;=K170,(F170-H170)/(F170-D170),(Table133[[#This Row],[PM Hi]]-Table133[[#This Row],[Lowest lo from open to squeeze]])/(Table133[[#This Row],[PM Hi]]-Table133[[#This Row],[Prior day close]]))))</f>
        <v>#DIV/0!</v>
      </c>
      <c r="AP170" s="17">
        <f>390+Table133[[#This Row],[Time until ideal entry point (mins) from open]]</f>
        <v>390</v>
      </c>
      <c r="AQ170" s="17">
        <f>Table133[[#This Row],[Time until ideal entry + 390 (6:30)]]+Table133[[#This Row],[Duration of frontside (mins)]]</f>
        <v>390</v>
      </c>
    </row>
    <row r="171" spans="1:43" x14ac:dyDescent="0.25">
      <c r="A171" s="49"/>
      <c r="B171" s="47"/>
      <c r="C171" s="47"/>
      <c r="D171" s="12"/>
      <c r="E171" s="13"/>
      <c r="F171" s="12"/>
      <c r="G171" s="12"/>
      <c r="H171" s="12"/>
      <c r="I171" s="12"/>
      <c r="J171" s="12"/>
      <c r="K171" s="12"/>
      <c r="N171" s="13"/>
      <c r="P171" s="37"/>
      <c r="Q171" s="46"/>
      <c r="R171" s="37"/>
      <c r="S171" s="37"/>
      <c r="T171" s="37"/>
      <c r="U171" s="38"/>
      <c r="V171" s="46"/>
      <c r="W171" s="37"/>
      <c r="X171" s="46"/>
      <c r="Y171" s="41">
        <f>Table133[[#This Row],[Time until ideal entry + 390 (6:30)]]/(1440)</f>
        <v>0.27083333333333331</v>
      </c>
      <c r="Z171" s="18" t="e">
        <f>(F171-D171)/D171</f>
        <v>#DIV/0!</v>
      </c>
      <c r="AA171" s="18" t="e">
        <f>IF(Table133[[#This Row],[HOD AFTER PM HI]]&gt;=Table133[[#This Row],[PM Hi]],((Table133[[#This Row],[HOD AFTER PM HI]]-Table133[[#This Row],[Prior day close]])/Table133[[#This Row],[Prior day close]]),Table133[[#This Row],[Prior Close to PM Hi %]])</f>
        <v>#DIV/0!</v>
      </c>
      <c r="AB171" s="42" t="e">
        <f>(Table133[[#This Row],[Price at hi of squeeze]]-Table133[[#This Row],[MKT Open Price]])/Table133[[#This Row],[MKT Open Price]]</f>
        <v>#DIV/0!</v>
      </c>
      <c r="AC171" s="18" t="e">
        <f>(Table133[[#This Row],[Price at hi of squeeze]]-Table133[[#This Row],[PM Hi]])/Table133[[#This Row],[PM Hi]]</f>
        <v>#DIV/0!</v>
      </c>
      <c r="AD171" s="18"/>
      <c r="AE171" s="20" t="e">
        <f>Table133[[#This Row],[PM VOL]]/1000000/Table133[[#This Row],[FLOAT(M)]]</f>
        <v>#DIV/0!</v>
      </c>
      <c r="AF171" s="23" t="e">
        <f>(Table133[[#This Row],[Volume]]/1000000)/Table133[[#This Row],[FLOAT(M)]]</f>
        <v>#DIV/0!</v>
      </c>
      <c r="AH171" s="18" t="e">
        <f>(Table133[[#This Row],[PM Hi]]-Table133[[#This Row],[MKT Open Price]])/(Table133[[#This Row],[PM Hi]])</f>
        <v>#DIV/0!</v>
      </c>
      <c r="AI171" s="18" t="e">
        <f>IF(Table133[[#This Row],[PM LO]]&gt;Table133[[#This Row],[Prior day close]],(Table133[[#This Row],[PM Hi]]-Table133[[#This Row],[MKT Open Price]])/(Table133[[#This Row],[PM Hi]]-Table133[[#This Row],[Prior day close]]),(Table133[[#This Row],[PM Hi]]-Table133[[#This Row],[MKT Open Price]])/(Table133[[#This Row],[PM Hi]]-Table133[[#This Row],[PM LO]]))</f>
        <v>#DIV/0!</v>
      </c>
      <c r="AJ171" s="48" t="e">
        <f>IF(Table133[[#This Row],[Prior day close]]&lt;Table133[[#This Row],[PM LO]],(I171-K171)/(I171-Table133[[#This Row],[Prior day close]]),(I171-K171)/(I171-Table133[[#This Row],[PM LO]]))</f>
        <v>#DIV/0!</v>
      </c>
      <c r="AK171" s="48" t="e">
        <f>Table133[[#This Row],[Spike % on open before drop]]+AL171</f>
        <v>#DIV/0!</v>
      </c>
      <c r="AL171" s="16" t="e">
        <f>(I171-K171)/I171</f>
        <v>#DIV/0!</v>
      </c>
      <c r="AM171" s="18" t="e">
        <f>IF($J171&gt;=$F171,($J171-$K171)/($J171),(IF($H171&lt;=$K171,($F171-$H171)/($F171),(Table133[[#This Row],[PM Hi]]-Table133[[#This Row],[Lowest lo from open to squeeze]])/(Table133[[#This Row],[PM Hi]]))))</f>
        <v>#DIV/0!</v>
      </c>
      <c r="AN171" s="48" t="e">
        <f>IF(Table133[[#This Row],[Prior day close]]&lt;=Table133[[#This Row],[PM LO]],IF($J171&gt;=$F171,($J171-$K171)/($J171-Table133[[#This Row],[Prior day close]]),(IF($H171&lt;=$K171,($F171-$H171)/($F171-Table133[[#This Row],[Prior day close]]),(Table133[[#This Row],[PM Hi]]-Table133[[#This Row],[Lowest lo from open to squeeze]])/(Table133[[#This Row],[PM Hi]]-Table133[[#This Row],[Prior day close]])))),IF($J171&gt;=$F171,($J171-$K171)/($J171-Table133[[#This Row],[PM LO]]),(IF($H171&lt;=$K171,($F171-$H171)/($F171-Table133[[#This Row],[PM LO]]),(Table133[[#This Row],[PM Hi]]-Table133[[#This Row],[Lowest lo from open to squeeze]])/(Table133[[#This Row],[PM Hi]]-Table133[[#This Row],[PM LO]])))))</f>
        <v>#DIV/0!</v>
      </c>
      <c r="AO171" s="18" t="e">
        <f>IF(J171&gt;=F171,(J171-K171)/(J171-D171),(IF(H171&lt;=K171,(F171-H171)/(F171-D171),(Table133[[#This Row],[PM Hi]]-Table133[[#This Row],[Lowest lo from open to squeeze]])/(Table133[[#This Row],[PM Hi]]-Table133[[#This Row],[Prior day close]]))))</f>
        <v>#DIV/0!</v>
      </c>
      <c r="AP171" s="17">
        <f>390+Table133[[#This Row],[Time until ideal entry point (mins) from open]]</f>
        <v>390</v>
      </c>
      <c r="AQ171" s="17">
        <f>Table133[[#This Row],[Time until ideal entry + 390 (6:30)]]+Table133[[#This Row],[Duration of frontside (mins)]]</f>
        <v>390</v>
      </c>
    </row>
    <row r="172" spans="1:43" x14ac:dyDescent="0.25">
      <c r="A172" s="49"/>
      <c r="B172" s="47"/>
      <c r="C172" s="47"/>
      <c r="D172" s="12"/>
      <c r="E172" s="13"/>
      <c r="F172" s="12"/>
      <c r="G172" s="12"/>
      <c r="H172" s="12"/>
      <c r="I172" s="12"/>
      <c r="J172" s="12"/>
      <c r="K172" s="12"/>
      <c r="N172" s="13"/>
      <c r="P172" s="37"/>
      <c r="Q172" s="46"/>
      <c r="R172" s="37"/>
      <c r="S172" s="37"/>
      <c r="T172" s="37"/>
      <c r="U172" s="38"/>
      <c r="V172" s="46"/>
      <c r="W172" s="37"/>
      <c r="X172" s="46"/>
      <c r="Y172" s="41">
        <f>Table133[[#This Row],[Time until ideal entry + 390 (6:30)]]/(1440)</f>
        <v>0.27083333333333331</v>
      </c>
      <c r="Z172" s="18" t="e">
        <f>(F172-D172)/D172</f>
        <v>#DIV/0!</v>
      </c>
      <c r="AA172" s="18" t="e">
        <f>IF(Table133[[#This Row],[HOD AFTER PM HI]]&gt;=Table133[[#This Row],[PM Hi]],((Table133[[#This Row],[HOD AFTER PM HI]]-Table133[[#This Row],[Prior day close]])/Table133[[#This Row],[Prior day close]]),Table133[[#This Row],[Prior Close to PM Hi %]])</f>
        <v>#DIV/0!</v>
      </c>
      <c r="AB172" s="42" t="e">
        <f>(Table133[[#This Row],[Price at hi of squeeze]]-Table133[[#This Row],[MKT Open Price]])/Table133[[#This Row],[MKT Open Price]]</f>
        <v>#DIV/0!</v>
      </c>
      <c r="AC172" s="18" t="e">
        <f>(Table133[[#This Row],[Price at hi of squeeze]]-Table133[[#This Row],[PM Hi]])/Table133[[#This Row],[PM Hi]]</f>
        <v>#DIV/0!</v>
      </c>
      <c r="AD172" s="18"/>
      <c r="AE172" s="20" t="e">
        <f>Table133[[#This Row],[PM VOL]]/1000000/Table133[[#This Row],[FLOAT(M)]]</f>
        <v>#DIV/0!</v>
      </c>
      <c r="AF172" s="23" t="e">
        <f>(Table133[[#This Row],[Volume]]/1000000)/Table133[[#This Row],[FLOAT(M)]]</f>
        <v>#DIV/0!</v>
      </c>
      <c r="AH172" s="18" t="e">
        <f>(Table133[[#This Row],[PM Hi]]-Table133[[#This Row],[MKT Open Price]])/(Table133[[#This Row],[PM Hi]])</f>
        <v>#DIV/0!</v>
      </c>
      <c r="AI172" s="18" t="e">
        <f>IF(Table133[[#This Row],[PM LO]]&gt;Table133[[#This Row],[Prior day close]],(Table133[[#This Row],[PM Hi]]-Table133[[#This Row],[MKT Open Price]])/(Table133[[#This Row],[PM Hi]]-Table133[[#This Row],[Prior day close]]),(Table133[[#This Row],[PM Hi]]-Table133[[#This Row],[MKT Open Price]])/(Table133[[#This Row],[PM Hi]]-Table133[[#This Row],[PM LO]]))</f>
        <v>#DIV/0!</v>
      </c>
      <c r="AJ172" s="48" t="e">
        <f>IF(Table133[[#This Row],[Prior day close]]&lt;Table133[[#This Row],[PM LO]],(I172-K172)/(I172-Table133[[#This Row],[Prior day close]]),(I172-K172)/(I172-Table133[[#This Row],[PM LO]]))</f>
        <v>#DIV/0!</v>
      </c>
      <c r="AK172" s="48" t="e">
        <f>Table133[[#This Row],[Spike % on open before drop]]+AL172</f>
        <v>#DIV/0!</v>
      </c>
      <c r="AL172" s="16" t="e">
        <f>(I172-K172)/I172</f>
        <v>#DIV/0!</v>
      </c>
      <c r="AM172" s="18" t="e">
        <f>IF($J172&gt;=$F172,($J172-$K172)/($J172),(IF($H172&lt;=$K172,($F172-$H172)/($F172),(Table133[[#This Row],[PM Hi]]-Table133[[#This Row],[Lowest lo from open to squeeze]])/(Table133[[#This Row],[PM Hi]]))))</f>
        <v>#DIV/0!</v>
      </c>
      <c r="AN172" s="48" t="e">
        <f>IF(Table133[[#This Row],[Prior day close]]&lt;=Table133[[#This Row],[PM LO]],IF($J172&gt;=$F172,($J172-$K172)/($J172-Table133[[#This Row],[Prior day close]]),(IF($H172&lt;=$K172,($F172-$H172)/($F172-Table133[[#This Row],[Prior day close]]),(Table133[[#This Row],[PM Hi]]-Table133[[#This Row],[Lowest lo from open to squeeze]])/(Table133[[#This Row],[PM Hi]]-Table133[[#This Row],[Prior day close]])))),IF($J172&gt;=$F172,($J172-$K172)/($J172-Table133[[#This Row],[PM LO]]),(IF($H172&lt;=$K172,($F172-$H172)/($F172-Table133[[#This Row],[PM LO]]),(Table133[[#This Row],[PM Hi]]-Table133[[#This Row],[Lowest lo from open to squeeze]])/(Table133[[#This Row],[PM Hi]]-Table133[[#This Row],[PM LO]])))))</f>
        <v>#DIV/0!</v>
      </c>
      <c r="AO172" s="18" t="e">
        <f>IF(J172&gt;=F172,(J172-K172)/(J172-D172),(IF(H172&lt;=K172,(F172-H172)/(F172-D172),(Table133[[#This Row],[PM Hi]]-Table133[[#This Row],[Lowest lo from open to squeeze]])/(Table133[[#This Row],[PM Hi]]-Table133[[#This Row],[Prior day close]]))))</f>
        <v>#DIV/0!</v>
      </c>
      <c r="AP172" s="17">
        <f>390+Table133[[#This Row],[Time until ideal entry point (mins) from open]]</f>
        <v>390</v>
      </c>
      <c r="AQ172" s="17">
        <f>Table133[[#This Row],[Time until ideal entry + 390 (6:30)]]+Table133[[#This Row],[Duration of frontside (mins)]]</f>
        <v>390</v>
      </c>
    </row>
    <row r="173" spans="1:43" x14ac:dyDescent="0.25">
      <c r="A173" s="49"/>
      <c r="B173" s="47"/>
      <c r="C173" s="47"/>
      <c r="D173" s="12"/>
      <c r="E173" s="13"/>
      <c r="F173" s="12"/>
      <c r="G173" s="12"/>
      <c r="H173" s="12"/>
      <c r="I173" s="12"/>
      <c r="J173" s="12"/>
      <c r="K173" s="12"/>
      <c r="N173" s="13"/>
      <c r="P173" s="37"/>
      <c r="Q173" s="46"/>
      <c r="R173" s="37"/>
      <c r="S173" s="37"/>
      <c r="T173" s="37"/>
      <c r="U173" s="38"/>
      <c r="V173" s="46"/>
      <c r="W173" s="37"/>
      <c r="X173" s="46"/>
      <c r="Y173" s="41">
        <f>Table133[[#This Row],[Time until ideal entry + 390 (6:30)]]/(1440)</f>
        <v>0.27083333333333331</v>
      </c>
      <c r="Z173" s="18" t="e">
        <f>(F173-D173)/D173</f>
        <v>#DIV/0!</v>
      </c>
      <c r="AA173" s="18" t="e">
        <f>IF(Table133[[#This Row],[HOD AFTER PM HI]]&gt;=Table133[[#This Row],[PM Hi]],((Table133[[#This Row],[HOD AFTER PM HI]]-Table133[[#This Row],[Prior day close]])/Table133[[#This Row],[Prior day close]]),Table133[[#This Row],[Prior Close to PM Hi %]])</f>
        <v>#DIV/0!</v>
      </c>
      <c r="AB173" s="42" t="e">
        <f>(Table133[[#This Row],[Price at hi of squeeze]]-Table133[[#This Row],[MKT Open Price]])/Table133[[#This Row],[MKT Open Price]]</f>
        <v>#DIV/0!</v>
      </c>
      <c r="AC173" s="18" t="e">
        <f>(Table133[[#This Row],[Price at hi of squeeze]]-Table133[[#This Row],[PM Hi]])/Table133[[#This Row],[PM Hi]]</f>
        <v>#DIV/0!</v>
      </c>
      <c r="AD173" s="18"/>
      <c r="AE173" s="20" t="e">
        <f>Table133[[#This Row],[PM VOL]]/1000000/Table133[[#This Row],[FLOAT(M)]]</f>
        <v>#DIV/0!</v>
      </c>
      <c r="AF173" s="23" t="e">
        <f>(Table133[[#This Row],[Volume]]/1000000)/Table133[[#This Row],[FLOAT(M)]]</f>
        <v>#DIV/0!</v>
      </c>
      <c r="AH173" s="18" t="e">
        <f>(Table133[[#This Row],[PM Hi]]-Table133[[#This Row],[MKT Open Price]])/(Table133[[#This Row],[PM Hi]])</f>
        <v>#DIV/0!</v>
      </c>
      <c r="AI173" s="18" t="e">
        <f>IF(Table133[[#This Row],[PM LO]]&gt;Table133[[#This Row],[Prior day close]],(Table133[[#This Row],[PM Hi]]-Table133[[#This Row],[MKT Open Price]])/(Table133[[#This Row],[PM Hi]]-Table133[[#This Row],[Prior day close]]),(Table133[[#This Row],[PM Hi]]-Table133[[#This Row],[MKT Open Price]])/(Table133[[#This Row],[PM Hi]]-Table133[[#This Row],[PM LO]]))</f>
        <v>#DIV/0!</v>
      </c>
      <c r="AJ173" s="48" t="e">
        <f>IF(Table133[[#This Row],[Prior day close]]&lt;Table133[[#This Row],[PM LO]],(I173-K173)/(I173-Table133[[#This Row],[Prior day close]]),(I173-K173)/(I173-Table133[[#This Row],[PM LO]]))</f>
        <v>#DIV/0!</v>
      </c>
      <c r="AK173" s="48" t="e">
        <f>Table133[[#This Row],[Spike % on open before drop]]+AL173</f>
        <v>#DIV/0!</v>
      </c>
      <c r="AL173" s="16" t="e">
        <f>(I173-K173)/I173</f>
        <v>#DIV/0!</v>
      </c>
      <c r="AM173" s="18" t="e">
        <f>IF($J173&gt;=$F173,($J173-$K173)/($J173),(IF($H173&lt;=$K173,($F173-$H173)/($F173),(Table133[[#This Row],[PM Hi]]-Table133[[#This Row],[Lowest lo from open to squeeze]])/(Table133[[#This Row],[PM Hi]]))))</f>
        <v>#DIV/0!</v>
      </c>
      <c r="AN173" s="48" t="e">
        <f>IF(Table133[[#This Row],[Prior day close]]&lt;=Table133[[#This Row],[PM LO]],IF($J173&gt;=$F173,($J173-$K173)/($J173-Table133[[#This Row],[Prior day close]]),(IF($H173&lt;=$K173,($F173-$H173)/($F173-Table133[[#This Row],[Prior day close]]),(Table133[[#This Row],[PM Hi]]-Table133[[#This Row],[Lowest lo from open to squeeze]])/(Table133[[#This Row],[PM Hi]]-Table133[[#This Row],[Prior day close]])))),IF($J173&gt;=$F173,($J173-$K173)/($J173-Table133[[#This Row],[PM LO]]),(IF($H173&lt;=$K173,($F173-$H173)/($F173-Table133[[#This Row],[PM LO]]),(Table133[[#This Row],[PM Hi]]-Table133[[#This Row],[Lowest lo from open to squeeze]])/(Table133[[#This Row],[PM Hi]]-Table133[[#This Row],[PM LO]])))))</f>
        <v>#DIV/0!</v>
      </c>
      <c r="AO173" s="18" t="e">
        <f>IF(J173&gt;=F173,(J173-K173)/(J173-D173),(IF(H173&lt;=K173,(F173-H173)/(F173-D173),(Table133[[#This Row],[PM Hi]]-Table133[[#This Row],[Lowest lo from open to squeeze]])/(Table133[[#This Row],[PM Hi]]-Table133[[#This Row],[Prior day close]]))))</f>
        <v>#DIV/0!</v>
      </c>
      <c r="AP173" s="17">
        <f>390+Table133[[#This Row],[Time until ideal entry point (mins) from open]]</f>
        <v>390</v>
      </c>
      <c r="AQ173" s="17">
        <f>Table133[[#This Row],[Time until ideal entry + 390 (6:30)]]+Table133[[#This Row],[Duration of frontside (mins)]]</f>
        <v>390</v>
      </c>
    </row>
    <row r="174" spans="1:43" x14ac:dyDescent="0.25">
      <c r="A174" s="25" t="s">
        <v>185</v>
      </c>
      <c r="B174" s="11">
        <v>44209</v>
      </c>
      <c r="C174" s="11" t="s">
        <v>178</v>
      </c>
      <c r="J174" s="12"/>
      <c r="K174" s="12"/>
      <c r="U174" s="50"/>
      <c r="Z174" s="18" t="e">
        <f>(F174-D174)/D174</f>
        <v>#DIV/0!</v>
      </c>
      <c r="AL174" s="16" t="e">
        <f>(I174-K174)/I174</f>
        <v>#DIV/0!</v>
      </c>
      <c r="AM174" s="18" t="e">
        <f>IF($J174&gt;=$F174,($J174-$K174)/($J174),(IF($H174&lt;=$K174,($F174-$H174)/($F174),(Table133[[#This Row],[PM Hi]]-Table133[[#This Row],[Lowest lo from open to squeeze]])/(Table133[[#This Row],[PM Hi]]))))</f>
        <v>#DIV/0!</v>
      </c>
      <c r="AO174" s="18" t="e">
        <f>IF(J174&gt;=F174,(J174-K174)/(J174-D174),(IF(H174&lt;=K174,(F174-H174)/(F174-D174),(Table133[[#This Row],[PM Hi]]-Table133[[#This Row],[Lowest lo from open to squeeze]])/(Table133[[#This Row],[PM Hi]]-Table133[[#This Row],[Prior day close]]))))</f>
        <v>#DIV/0!</v>
      </c>
    </row>
  </sheetData>
  <conditionalFormatting sqref="AD2:AD65">
    <cfRule type="cellIs" dxfId="13" priority="6" operator="between">
      <formula>0.2</formula>
      <formula>0.5</formula>
    </cfRule>
    <cfRule type="cellIs" dxfId="12" priority="11" operator="greaterThan">
      <formula>0.5</formula>
    </cfRule>
  </conditionalFormatting>
  <conditionalFormatting sqref="R2:R49 R52:R54 R56:R59">
    <cfRule type="cellIs" dxfId="11" priority="10" operator="greaterThan">
      <formula>10000000</formula>
    </cfRule>
  </conditionalFormatting>
  <conditionalFormatting sqref="P2:P65">
    <cfRule type="cellIs" dxfId="10" priority="8" operator="between">
      <formula>15</formula>
      <formula>100</formula>
    </cfRule>
    <cfRule type="cellIs" dxfId="9" priority="9" operator="lessThan">
      <formula>15</formula>
    </cfRule>
  </conditionalFormatting>
  <conditionalFormatting sqref="P2:P65 O113:O1048576">
    <cfRule type="cellIs" dxfId="8" priority="7" operator="greaterThan">
      <formula>100</formula>
    </cfRule>
  </conditionalFormatting>
  <conditionalFormatting sqref="AL2:AL174">
    <cfRule type="cellIs" dxfId="7" priority="5" operator="greaterThan">
      <formula>0.15</formula>
    </cfRule>
  </conditionalFormatting>
  <conditionalFormatting sqref="R50">
    <cfRule type="cellIs" dxfId="6" priority="4" operator="greaterThan">
      <formula>10000000</formula>
    </cfRule>
  </conditionalFormatting>
  <conditionalFormatting sqref="R51">
    <cfRule type="cellIs" dxfId="5" priority="3" operator="greaterThan">
      <formula>10000000</formula>
    </cfRule>
  </conditionalFormatting>
  <conditionalFormatting sqref="R55">
    <cfRule type="cellIs" dxfId="4" priority="2" operator="greaterThan">
      <formula>10000000</formula>
    </cfRule>
  </conditionalFormatting>
  <conditionalFormatting sqref="AA113:AB1048576">
    <cfRule type="colorScale" priority="12">
      <colorScale>
        <cfvo type="min"/>
        <cfvo type="percentile" val="50"/>
        <cfvo type="percent" val="100"/>
        <color rgb="FFFF0000"/>
        <color rgb="FFFFEB84"/>
        <color theme="9"/>
      </colorScale>
    </cfRule>
    <cfRule type="cellIs" dxfId="3" priority="13" operator="greaterThan">
      <formula>1</formula>
    </cfRule>
  </conditionalFormatting>
  <hyperlinks>
    <hyperlink ref="A56" r:id="rId1" xr:uid="{EA012A1A-A592-47A7-990F-5EC2E420063A}"/>
    <hyperlink ref="A28" r:id="rId2" xr:uid="{BCA4DC81-F798-4698-A6C7-FC30A2D579B8}"/>
    <hyperlink ref="A57" r:id="rId3" xr:uid="{2024025C-5BC8-414B-9969-F5CB23FC98B1}"/>
    <hyperlink ref="A23" r:id="rId4" xr:uid="{CB7EA5EB-E680-4849-B14E-9AB917A496F8}"/>
    <hyperlink ref="A47" r:id="rId5" xr:uid="{7648F697-A66B-40E0-9918-44B57E2579C4}"/>
    <hyperlink ref="A32" r:id="rId6" xr:uid="{ACC0ECCE-6CB3-43BA-B045-93966067DEB8}"/>
    <hyperlink ref="A29" r:id="rId7" xr:uid="{17CDD97A-AA6E-4292-AB80-79EACA386B91}"/>
    <hyperlink ref="A18" r:id="rId8" xr:uid="{57E18DF9-D53F-48E7-9052-A65A0AA0F99C}"/>
    <hyperlink ref="A80" r:id="rId9" xr:uid="{9EDED93A-776A-4ADB-8F90-C57BB1D43783}"/>
    <hyperlink ref="A60" r:id="rId10" xr:uid="{B51ABCA5-B9DC-42B3-8E73-984911470B08}"/>
    <hyperlink ref="A22" r:id="rId11" xr:uid="{1CF112CA-049E-4FFA-8719-44CB2FD3BEEF}"/>
    <hyperlink ref="A70" r:id="rId12" xr:uid="{980003C6-367F-464A-84A9-847F0FDB2EE8}"/>
    <hyperlink ref="B46" r:id="rId13" display="http://tos.mx/cu8M3kQ" xr:uid="{1EB79345-E757-47D0-89AE-F17C73A67851}"/>
    <hyperlink ref="A46" r:id="rId14" xr:uid="{0AF22D93-C144-4C00-96E2-D15750729DCF}"/>
    <hyperlink ref="A39" r:id="rId15" xr:uid="{0168EAC7-8E35-4AD9-AAA4-137510CD6446}"/>
    <hyperlink ref="A20" r:id="rId16" xr:uid="{46122078-28B1-4DEB-85B2-D5982A86A743}"/>
    <hyperlink ref="A65" r:id="rId17" xr:uid="{853D24F4-4E13-4CD5-8076-0F780063C026}"/>
    <hyperlink ref="A61" r:id="rId18" xr:uid="{B5232B47-37AF-492E-833A-DCBA5711B754}"/>
    <hyperlink ref="A19" r:id="rId19" xr:uid="{277DB923-C05E-4964-8CB6-FFE203609008}"/>
    <hyperlink ref="A35" r:id="rId20" xr:uid="{285435DE-485D-4DA6-BC87-A688790368B7}"/>
    <hyperlink ref="A79" r:id="rId21" xr:uid="{DC8E244B-0897-4164-9AAE-B15A688D8477}"/>
    <hyperlink ref="A59" r:id="rId22" xr:uid="{DA4BC22E-4FDA-40CD-BF3A-60DB658FA479}"/>
    <hyperlink ref="A24" r:id="rId23" xr:uid="{3D60B976-1F60-4989-885B-64D16B2E5738}"/>
    <hyperlink ref="A50" r:id="rId24" xr:uid="{15E078EE-5E3D-4CB6-9675-F709E7F4C5FA}"/>
    <hyperlink ref="A68" r:id="rId25" xr:uid="{9BD65751-04D6-473F-90FE-E7AC399D6D2E}"/>
    <hyperlink ref="A9" r:id="rId26" xr:uid="{2173B1E9-5893-40B4-B34A-E4462388F917}"/>
    <hyperlink ref="A27" r:id="rId27" xr:uid="{A638E510-4EFC-4FA3-AC3D-181686946C45}"/>
    <hyperlink ref="A10" r:id="rId28" xr:uid="{88448D65-8DDA-4961-AE40-D5DD8F83568D}"/>
    <hyperlink ref="A72" r:id="rId29" xr:uid="{895591A6-CCBB-4162-99B0-26F2A7C03808}"/>
    <hyperlink ref="A26" r:id="rId30" xr:uid="{523E3912-5623-447C-AD3F-BC970D446CDD}"/>
    <hyperlink ref="A15" r:id="rId31" xr:uid="{107C3B9D-4B9D-4FBF-84B4-2B70A01AD082}"/>
    <hyperlink ref="A76" r:id="rId32" xr:uid="{D724A52A-AA4C-4AA7-8F65-BE2CD46ACB5D}"/>
    <hyperlink ref="A82" r:id="rId33" xr:uid="{2D295E23-1F34-4B0D-9F0D-C7061DD6BF80}"/>
    <hyperlink ref="A4" r:id="rId34" xr:uid="{F5AB5468-6BC6-4A28-946F-61E31EBB3E23}"/>
    <hyperlink ref="A17" r:id="rId35" xr:uid="{A8C3E973-4C18-40EB-8E25-AF4D0749D9AE}"/>
    <hyperlink ref="A6" r:id="rId36" xr:uid="{95F0E1DE-A2F5-47EE-BA1A-1852F8A1AE0F}"/>
    <hyperlink ref="A5" r:id="rId37" xr:uid="{8978F712-BD3F-405A-82C5-7FB4A7F45E64}"/>
    <hyperlink ref="A16" r:id="rId38" xr:uid="{E253167D-D98D-4C7A-B1A4-CD77D5B40013}"/>
    <hyperlink ref="A45" r:id="rId39" xr:uid="{507A7B08-9042-4E4B-A269-29F36DC6CEDA}"/>
    <hyperlink ref="A55" r:id="rId40" xr:uid="{64431D25-2DA4-40A5-B9CB-C0B5F2A7712A}"/>
    <hyperlink ref="B35" r:id="rId41" display="http://tos.mx/r65xX7P" xr:uid="{AF7B682E-026B-4295-87E7-A338BE509B1D}"/>
    <hyperlink ref="A21" r:id="rId42" xr:uid="{B355AEA8-FD2D-4660-9364-0F8A90F773A1}"/>
    <hyperlink ref="B22" r:id="rId43" display="http://tos.mx/tEx3xJB" xr:uid="{846A6FE0-409E-4657-91A9-65347926F1EE}"/>
    <hyperlink ref="A73" r:id="rId44" xr:uid="{67FEF5E0-B08E-4C7E-BC3B-64227D32F3CC}"/>
    <hyperlink ref="B23" r:id="rId45" display="http://tos.mx/La9CxYF" xr:uid="{0A9C2689-D1A6-4EC7-A07D-84A8F027C83D}"/>
    <hyperlink ref="B27" r:id="rId46" display="http://tos.mx/3F551mk" xr:uid="{C339F441-B4C7-4609-B2A1-7262894A63EA}"/>
    <hyperlink ref="A71" r:id="rId47" xr:uid="{F3683771-BCA6-465A-A446-A1840E4D6799}"/>
    <hyperlink ref="B50" r:id="rId48" display="http://tos.mx/5zGutQc" xr:uid="{608C44D1-4330-47CA-9290-C40BC2F1CBE1}"/>
    <hyperlink ref="A14" r:id="rId49" xr:uid="{C108AAB7-305F-4FB7-BC5E-723457823FEC}"/>
    <hyperlink ref="A78" r:id="rId50" xr:uid="{89053232-86A0-4516-A744-519F894324A9}"/>
    <hyperlink ref="B19" r:id="rId51" display="http://tos.mx/9YEwUT9" xr:uid="{13E2F541-D97D-4B5B-A192-64975833A973}"/>
    <hyperlink ref="A69" r:id="rId52" xr:uid="{03C7A039-A273-4EA7-8273-F6ABCCEED2E7}"/>
    <hyperlink ref="B15" r:id="rId53" display="http://tos.mx/bPf3LIq" xr:uid="{789F67BC-ACA2-442B-A6B9-A014D97C71DD}"/>
    <hyperlink ref="A33" r:id="rId54" xr:uid="{93D4E5DB-1851-4C99-A5AD-862A90640FC0}"/>
    <hyperlink ref="A54" r:id="rId55" xr:uid="{3A645FA2-9E73-43A6-850B-B4DA90B23781}"/>
    <hyperlink ref="A36" r:id="rId56" xr:uid="{5CEA06B8-A32B-4D5D-8D20-B71AB76603B2}"/>
    <hyperlink ref="A41" r:id="rId57" xr:uid="{F93F3BE7-3587-4BAB-A9B0-36E2A581CCD1}"/>
    <hyperlink ref="A58" r:id="rId58" xr:uid="{EE698628-D853-44EE-B66C-6EDAE100FA24}"/>
    <hyperlink ref="A12" r:id="rId59" xr:uid="{7469C67A-2CE9-4A97-B4E2-2DE707E66634}"/>
    <hyperlink ref="A30" r:id="rId60" xr:uid="{D6B45254-21B4-48C6-B9F2-C6318B1DADB5}"/>
    <hyperlink ref="A44" r:id="rId61" xr:uid="{6CD71390-6480-424D-8600-0305F7A56BAA}"/>
    <hyperlink ref="A49" r:id="rId62" xr:uid="{FF639DA8-1D53-4A38-8102-2482BC8819CB}"/>
    <hyperlink ref="A40" r:id="rId63" xr:uid="{5BA9BEC7-A604-4BE6-BE62-A18F907E7462}"/>
    <hyperlink ref="A52" r:id="rId64" xr:uid="{1A4D3D84-8526-453D-9E2E-184A09287519}"/>
    <hyperlink ref="A62" r:id="rId65" xr:uid="{ADC428DD-3C88-4AA1-B47E-B80F5870B008}"/>
    <hyperlink ref="B62" r:id="rId66" display="..\..\..\Broken Down Trading Charts\PPSI_12_4_2020_MARKEDUP.png" xr:uid="{D82AA808-2639-4055-B91B-4B435114CB78}"/>
    <hyperlink ref="B52" r:id="rId67" display="..\..\..\Broken Down Trading Charts\LIZI_12_3_2020_MarkedUp.png" xr:uid="{A35B10B1-D2BD-4AB8-B3B7-F27B55A15740}"/>
    <hyperlink ref="A83" r:id="rId68" xr:uid="{ACDC6FF5-B612-42FC-8B53-8E54C9849A7A}"/>
    <hyperlink ref="B83" r:id="rId69" display="..\..\..\Broken Down Trading Charts\GTEC_12_7_20_MARKEDUP.png" xr:uid="{0E3EC805-385A-4624-9EDA-055245DBDFA0}"/>
    <hyperlink ref="A64" r:id="rId70" xr:uid="{DCA71ADF-C92C-4FA3-80B4-A4B2323119DA}"/>
    <hyperlink ref="A25" r:id="rId71" xr:uid="{318BD112-13D1-4B60-BF1D-E2F31746E554}"/>
    <hyperlink ref="A43" r:id="rId72" xr:uid="{DE72F3AD-082E-4CDE-9370-38D01D396E78}"/>
    <hyperlink ref="A66" r:id="rId73" xr:uid="{415AD95C-DE7C-4D9A-85FA-EFD2DEEC5722}"/>
    <hyperlink ref="A11" r:id="rId74" xr:uid="{444955B7-74DB-43F9-B1B1-831A390138D8}"/>
    <hyperlink ref="A37" r:id="rId75" xr:uid="{C9F5F1C2-22E5-4351-9E23-3C4DE58A0722}"/>
    <hyperlink ref="A87" r:id="rId76" xr:uid="{377BB7C5-7808-49D7-997C-2F3CF5B31B44}"/>
    <hyperlink ref="A134" r:id="rId77" xr:uid="{4E7C4E83-482A-46E9-ABD2-EF7FD051F065}"/>
    <hyperlink ref="A135" r:id="rId78" xr:uid="{3276727A-9A49-4909-BEDD-DC3A3EBC21F9}"/>
    <hyperlink ref="A129" r:id="rId79" xr:uid="{8AB5CECB-5938-4A1A-B1F3-65C7130C8F97}"/>
    <hyperlink ref="A136" r:id="rId80" xr:uid="{97EEB897-C0CC-42F2-89B0-1EDDFC75496A}"/>
    <hyperlink ref="A137" r:id="rId81" xr:uid="{435426ED-611A-4DAA-80D0-94D65D72026C}"/>
    <hyperlink ref="A144" r:id="rId82" xr:uid="{98CA9EF9-B96C-43BF-A1DD-F80AAB897B47}"/>
    <hyperlink ref="A138" r:id="rId83" xr:uid="{2909D1D6-1B2A-4902-AC2B-1BA252B30D05}"/>
    <hyperlink ref="A139" r:id="rId84" xr:uid="{F0ED3941-8A0D-409F-BFC6-0DC88D0FAA3A}"/>
    <hyperlink ref="A115" r:id="rId85" xr:uid="{D13998FE-CEAE-4045-A8A8-C380E7396547}"/>
    <hyperlink ref="A140" r:id="rId86" xr:uid="{CB70B9C0-BB1A-4DB9-AC6E-5CF65B593CEA}"/>
    <hyperlink ref="A141" r:id="rId87" xr:uid="{7D561810-4A34-48D8-BBF8-9CA7AF7C98E7}"/>
    <hyperlink ref="A142" r:id="rId88" xr:uid="{9F53AAED-6675-4BDB-A7F1-EDA2D2030751}"/>
    <hyperlink ref="A143" r:id="rId89" xr:uid="{D5C87FDB-C0D7-4B7C-B012-2A611C1AC4A1}"/>
    <hyperlink ref="A88" r:id="rId90" xr:uid="{B646F052-6A8C-4D0B-8F95-E87D69CA2C47}"/>
    <hyperlink ref="A90" r:id="rId91" xr:uid="{47DB99AD-C1CF-4D49-9FBB-2DB309371B1D}"/>
    <hyperlink ref="A89" r:id="rId92" xr:uid="{9C204D9F-EFCD-4992-A802-AA705DFC05FD}"/>
    <hyperlink ref="A145" r:id="rId93" xr:uid="{BE87804E-547E-4008-8E89-1C1B8FE33E68}"/>
    <hyperlink ref="A127" r:id="rId94" xr:uid="{2BCF08BF-6F63-4838-9625-C2FB32A221D7}"/>
    <hyperlink ref="A91" r:id="rId95" xr:uid="{C3B3FB08-60A2-42E4-9E46-3FAF972E0367}"/>
    <hyperlink ref="A146" r:id="rId96" xr:uid="{BA5C21CD-5DBD-44EF-9F55-1B3EA3986EC3}"/>
    <hyperlink ref="A92" r:id="rId97" xr:uid="{547426AD-61D5-4599-9B35-24A0641D97DD}"/>
    <hyperlink ref="A147" r:id="rId98" xr:uid="{A07FA4A1-BE5D-48F6-91D2-39BBADD38C0B}"/>
    <hyperlink ref="A93" r:id="rId99" xr:uid="{0529705B-012F-48EA-9C6A-ADDEA0F3FC12}"/>
    <hyperlink ref="A120" r:id="rId100" xr:uid="{C2929DF5-163F-457D-B5B0-308E5B58EADB}"/>
    <hyperlink ref="A148" r:id="rId101" xr:uid="{A0289191-5C99-4653-B60B-E017A528F2A7}"/>
    <hyperlink ref="A106" r:id="rId102" xr:uid="{83F42134-E91B-4FBD-ADE3-CC5C39105554}"/>
    <hyperlink ref="A150" r:id="rId103" xr:uid="{C4FAE2FD-C915-405C-A8BD-2A98AB316E5F}"/>
    <hyperlink ref="A151" r:id="rId104" xr:uid="{E007B3EC-254B-4CBF-92D8-2A39F9D262E0}"/>
    <hyperlink ref="A152" r:id="rId105" xr:uid="{89BC31D3-2187-4533-A788-CBE00AB9DBE9}"/>
    <hyperlink ref="A153" r:id="rId106" xr:uid="{E60213CA-8232-4A59-AF29-55777A178312}"/>
    <hyperlink ref="A128" r:id="rId107" xr:uid="{453CBDFF-679C-4CF1-BAB7-9A72EA8F0D0E}"/>
    <hyperlink ref="A169" r:id="rId108" xr:uid="{7982EA17-1508-4538-AC55-8A22D2FA51AD}"/>
    <hyperlink ref="A154" r:id="rId109" xr:uid="{8B42BF3E-F149-448E-ACE7-E31E09B350C7}"/>
    <hyperlink ref="A155" r:id="rId110" xr:uid="{C3D33CD0-FF0D-4122-945F-0FEEED4E92F3}"/>
    <hyperlink ref="A156" r:id="rId111" xr:uid="{1FC10111-24E4-4D9F-A55B-322C658DE084}"/>
    <hyperlink ref="A94" r:id="rId112" xr:uid="{7017E4C8-5925-496B-905F-CE4F75BD4E2B}"/>
    <hyperlink ref="A157" r:id="rId113" xr:uid="{FFE6A30C-E1BC-47F6-AC79-BE27C95F3BD9}"/>
    <hyperlink ref="A158" r:id="rId114" xr:uid="{E7086DC4-2B1E-48AD-ABD7-ADABC73670B9}"/>
    <hyperlink ref="A95" r:id="rId115" xr:uid="{66F7F89B-88ED-412B-B508-5210846CC5ED}"/>
    <hyperlink ref="A96" r:id="rId116" xr:uid="{94E47B83-8743-4E72-A932-C658E29B0798}"/>
    <hyperlink ref="A121" r:id="rId117" xr:uid="{77CE1218-6C69-4B62-B998-9D1B304A1EC8}"/>
    <hyperlink ref="A97" r:id="rId118" xr:uid="{0E8B063C-4CE9-4D18-888F-687582B76AFE}"/>
    <hyperlink ref="A159" r:id="rId119" xr:uid="{D49A0C68-D632-441A-B094-A7C3ED18AB0D}"/>
    <hyperlink ref="A98" r:id="rId120" xr:uid="{D824B1D7-3124-4FA9-B8C7-C87C77BC2E3F}"/>
    <hyperlink ref="A160" r:id="rId121" xr:uid="{D1F8B550-7875-4C0C-9A63-331D7738A258}"/>
    <hyperlink ref="A161" r:id="rId122" xr:uid="{28CA1DD6-18E5-4276-8A8F-73C7F9C40597}"/>
    <hyperlink ref="A99" r:id="rId123" xr:uid="{3414300E-4B49-4458-BF30-02A223280CCA}"/>
    <hyperlink ref="A162" r:id="rId124" xr:uid="{5AB4F998-B76E-4709-AFF5-662F0F147CFD}"/>
    <hyperlink ref="A163" r:id="rId125" xr:uid="{609F5F34-6AE7-4AC0-A41C-4CE38AE8D122}"/>
    <hyperlink ref="A38" r:id="rId126" xr:uid="{801CB41C-BFFD-4411-8129-D3FA294FDC66}"/>
    <hyperlink ref="A51" r:id="rId127" xr:uid="{07954970-0F70-47BB-A666-C51532EF3C91}"/>
    <hyperlink ref="A164" r:id="rId128" xr:uid="{3C0F46C6-0BFD-419A-A11A-2185CF3D9A1F}"/>
    <hyperlink ref="B164" r:id="rId129" display="http://tos.mx/Iw7F8j1" xr:uid="{9C78F7BF-0357-4EC2-A6B2-803A1669A169}"/>
    <hyperlink ref="A116" r:id="rId130" xr:uid="{1A1423DE-E340-453A-843F-BD76B047C5EC}"/>
    <hyperlink ref="A165" r:id="rId131" xr:uid="{E7CADCCD-474D-403D-98AF-970153067415}"/>
    <hyperlink ref="A100" r:id="rId132" xr:uid="{D6ED4643-37BE-4532-B471-B825489E4811}"/>
    <hyperlink ref="A166" r:id="rId133" xr:uid="{BE5113FD-8E45-49D3-AE9F-54D06A3F9D5A}"/>
    <hyperlink ref="A167" r:id="rId134" xr:uid="{E0F1DD7C-D103-4A1D-A8AB-DB972773FACE}"/>
    <hyperlink ref="A168" r:id="rId135" xr:uid="{5A639FBF-AD2E-467E-967E-6F8F6ECD7C39}"/>
    <hyperlink ref="A103" r:id="rId136" xr:uid="{A759DC27-7F44-4055-8281-E21EBB3D0111}"/>
    <hyperlink ref="A174" r:id="rId137" xr:uid="{03653D40-1CB8-4C66-A29B-4DA34CE1F998}"/>
    <hyperlink ref="A84" r:id="rId138" xr:uid="{983808C7-58A0-4C93-BB61-6A684D3B720E}"/>
    <hyperlink ref="A85" r:id="rId139" xr:uid="{680AD01B-B638-430B-BCBF-62341AE1EF3B}"/>
    <hyperlink ref="A111" r:id="rId140" xr:uid="{A711C085-5695-4063-8B1C-071115B0A2B9}"/>
    <hyperlink ref="A101" r:id="rId141" xr:uid="{460BDF6F-2514-40AA-82C9-70111A899ED3}"/>
    <hyperlink ref="A104" r:id="rId142" xr:uid="{9D66906D-4ED8-4755-9A41-22015E9BA88B}"/>
    <hyperlink ref="A113" r:id="rId143" xr:uid="{753DD635-83A2-4755-B57A-7E693184BECF}"/>
    <hyperlink ref="A117" r:id="rId144" xr:uid="{B70045B6-1496-4FA3-9742-1F06F78BF629}"/>
    <hyperlink ref="A75" r:id="rId145" xr:uid="{0B1069BA-7A78-4798-9A24-341B20D7117C}"/>
    <hyperlink ref="A3" r:id="rId146" xr:uid="{5BCDC319-90C0-4807-9128-5536C0A4EAA2}"/>
    <hyperlink ref="A108" r:id="rId147" xr:uid="{DCA08B64-0D7E-4C95-8EEA-04F03FD1C58A}"/>
    <hyperlink ref="A105" r:id="rId148" xr:uid="{E64F3A1E-6A98-45B7-89A7-B3FDB3793080}"/>
    <hyperlink ref="A81" r:id="rId149" xr:uid="{4E2656F4-5258-44EF-AC6F-EFBB4FC1C3A7}"/>
    <hyperlink ref="A31" r:id="rId150" xr:uid="{F9C83714-11E9-4FC7-A660-D5CAE6D0D1A9}"/>
    <hyperlink ref="A42" r:id="rId151" xr:uid="{B8B91445-EAFC-4E17-B0AD-82E3B38D3E14}"/>
    <hyperlink ref="A74" r:id="rId152" xr:uid="{5E27F928-9CF1-4685-AC7D-17A6D8487AEF}"/>
    <hyperlink ref="A114" r:id="rId153" xr:uid="{5B1CF2DE-F3A2-437F-874E-D0633CBE8C1A}"/>
    <hyperlink ref="A118" r:id="rId154" xr:uid="{B4631880-B87A-4519-BAF2-2297C515A832}"/>
    <hyperlink ref="A109" r:id="rId155" xr:uid="{F30B91B7-43F7-452F-97FC-A534946BF9AB}"/>
    <hyperlink ref="A119" r:id="rId156" xr:uid="{A4B323AF-1606-4E98-B79F-6B504E8B227B}"/>
    <hyperlink ref="A34" r:id="rId157" xr:uid="{8245660F-E347-4C69-96CC-03EDDC8A4D01}"/>
    <hyperlink ref="A107" r:id="rId158" xr:uid="{39853014-8896-449F-8CFA-648BD48295FC}"/>
    <hyperlink ref="A122" r:id="rId159" xr:uid="{21E0A5B4-8B6F-4AAD-AE74-67F2108FBF31}"/>
    <hyperlink ref="A67" r:id="rId160" xr:uid="{EBF391DB-A15F-4B60-B359-65014BA15436}"/>
    <hyperlink ref="A13" r:id="rId161" xr:uid="{D755AD05-3E80-4571-9784-2696814C70AB}"/>
    <hyperlink ref="A124" r:id="rId162" xr:uid="{A4FA8950-8E82-4470-896E-04615E690ECE}"/>
    <hyperlink ref="A125" r:id="rId163" xr:uid="{59C173BE-A9BE-4FA1-9BA6-48E2DD67DA79}"/>
    <hyperlink ref="A126" r:id="rId164" xr:uid="{8FD4C806-0832-4EC2-A1A1-0ABF8ACE27B3}"/>
    <hyperlink ref="A132" r:id="rId165" xr:uid="{1E1F8FD4-C215-4A6C-A07C-6DDC8449A462}"/>
    <hyperlink ref="A7" r:id="rId166" xr:uid="{2F67E819-5105-4D2A-B5D6-089B73D2BF06}"/>
    <hyperlink ref="A48" r:id="rId167" xr:uid="{41A8B00A-E4DF-44A6-BE7C-77174A9A814B}"/>
    <hyperlink ref="A77" r:id="rId168" xr:uid="{EB098B70-9AF8-4197-AB7A-5A42ADEEF712}"/>
    <hyperlink ref="A53" r:id="rId169" xr:uid="{E92A3A56-9B20-41A0-9524-587C6759AA58}"/>
    <hyperlink ref="A8" r:id="rId170" xr:uid="{63E20D43-2D75-49CC-B4B1-0B4066125799}"/>
    <hyperlink ref="B8" r:id="rId171" display="http://tos.mx/VBRqEFz" xr:uid="{6730F094-90D3-4B0B-89C7-5B6A83EB7C03}"/>
    <hyperlink ref="A112" r:id="rId172" xr:uid="{B43568F9-A6C2-48E9-97E3-0C97F114BC4D}"/>
    <hyperlink ref="A110" r:id="rId173" xr:uid="{30FC3115-6F50-456C-9BFD-AD16F21DCD4C}"/>
    <hyperlink ref="A130" r:id="rId174" xr:uid="{D62121C3-E6BA-4304-A348-628A57B7F85B}"/>
    <hyperlink ref="A2" r:id="rId175" xr:uid="{836ECC6C-A04D-4021-B300-4DD2D058DBBD}"/>
    <hyperlink ref="A131" r:id="rId176" xr:uid="{0B939947-AAE5-43D2-972B-B0D9200986C3}"/>
    <hyperlink ref="A123" r:id="rId177" xr:uid="{0ECB46A9-3C30-488C-987C-47BE110D10B1}"/>
    <hyperlink ref="A86" r:id="rId178" xr:uid="{83A3352E-6C3F-4E64-9BD4-6C03FEDCD23A}"/>
    <hyperlink ref="A149" r:id="rId179" xr:uid="{86FCEEF8-48C3-4FD3-8CEE-14F4E437B944}"/>
    <hyperlink ref="A133" r:id="rId180" xr:uid="{C666AE47-CAA7-44A2-AFB2-C758F6DBAFCE}"/>
    <hyperlink ref="A63" r:id="rId181" xr:uid="{4780A48B-155A-4D3A-8AF3-6E67FDD834BB}"/>
    <hyperlink ref="A102" r:id="rId182" xr:uid="{74FE6405-4BD9-4009-B401-2FE36B241656}"/>
  </hyperlinks>
  <pageMargins left="0.7" right="0.7" top="0.75" bottom="0.75" header="0.3" footer="0.3"/>
  <pageSetup orientation="portrait" r:id="rId183"/>
  <legacyDrawing r:id="rId184"/>
  <tableParts count="1">
    <tablePart r:id="rId18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98A10-5F17-4815-A1B0-9A4D8819214E}">
  <sheetPr>
    <tabColor rgb="FF00B0F0"/>
  </sheetPr>
  <dimension ref="A1:AG51"/>
  <sheetViews>
    <sheetView workbookViewId="0">
      <selection activeCell="H34" sqref="H34"/>
    </sheetView>
  </sheetViews>
  <sheetFormatPr defaultRowHeight="15" x14ac:dyDescent="0.25"/>
  <sheetData>
    <row r="1" spans="1:33" s="59" customFormat="1" x14ac:dyDescent="0.25"/>
    <row r="2" spans="1:33" s="59" customFormat="1" x14ac:dyDescent="0.25"/>
    <row r="3" spans="1:33" s="59" customFormat="1" x14ac:dyDescent="0.25"/>
    <row r="4" spans="1:33" x14ac:dyDescent="0.25">
      <c r="A4" s="58"/>
      <c r="B4" s="58"/>
      <c r="C4" s="58"/>
      <c r="D4" s="58"/>
      <c r="E4" s="58"/>
      <c r="F4" s="58"/>
      <c r="G4" s="58"/>
      <c r="H4" s="58"/>
      <c r="I4" s="58"/>
      <c r="L4" s="60"/>
      <c r="M4" s="60"/>
      <c r="N4" s="60"/>
      <c r="O4" s="60"/>
      <c r="P4" s="60"/>
      <c r="Q4" s="60"/>
      <c r="R4" s="60"/>
      <c r="S4" s="60"/>
      <c r="T4" s="60"/>
      <c r="U4" s="60"/>
      <c r="X4" s="61"/>
      <c r="Y4" s="61"/>
      <c r="Z4" s="61"/>
      <c r="AA4" s="61"/>
      <c r="AB4" s="61"/>
      <c r="AC4" s="61"/>
      <c r="AD4" s="61"/>
      <c r="AE4" s="61"/>
      <c r="AF4" s="61"/>
      <c r="AG4" s="61"/>
    </row>
    <row r="5" spans="1:33" x14ac:dyDescent="0.25">
      <c r="A5" s="58"/>
      <c r="B5" s="58"/>
      <c r="C5" s="58"/>
      <c r="D5" s="58"/>
      <c r="E5" s="58"/>
      <c r="F5" s="58"/>
      <c r="G5" s="58"/>
      <c r="H5" s="58"/>
      <c r="I5" s="58"/>
      <c r="L5" s="60"/>
      <c r="M5" s="60"/>
      <c r="N5" s="60"/>
      <c r="O5" s="60"/>
      <c r="P5" s="60"/>
      <c r="Q5" s="60"/>
      <c r="R5" s="60"/>
      <c r="S5" s="60"/>
      <c r="T5" s="60"/>
      <c r="U5" s="60"/>
      <c r="X5" s="61"/>
      <c r="Y5" s="61"/>
      <c r="Z5" s="61"/>
      <c r="AA5" s="61"/>
      <c r="AB5" s="61"/>
      <c r="AC5" s="61"/>
      <c r="AD5" s="61"/>
      <c r="AE5" s="61"/>
      <c r="AF5" s="61"/>
      <c r="AG5" s="61"/>
    </row>
    <row r="6" spans="1:33" x14ac:dyDescent="0.25">
      <c r="A6" s="58"/>
      <c r="B6" s="58"/>
      <c r="C6" s="58"/>
      <c r="D6" s="58"/>
      <c r="E6" s="58"/>
      <c r="F6" s="58"/>
      <c r="G6" s="58"/>
      <c r="H6" s="58"/>
      <c r="I6" s="58"/>
      <c r="L6" s="60"/>
      <c r="M6" s="60"/>
      <c r="N6" s="60"/>
      <c r="O6" s="60"/>
      <c r="P6" s="60"/>
      <c r="Q6" s="60"/>
      <c r="R6" s="60"/>
      <c r="S6" s="60"/>
      <c r="T6" s="60"/>
      <c r="U6" s="60"/>
      <c r="X6" s="61"/>
      <c r="Y6" s="61"/>
      <c r="Z6" s="61"/>
      <c r="AA6" s="61"/>
      <c r="AB6" s="61"/>
      <c r="AC6" s="61"/>
      <c r="AD6" s="61"/>
      <c r="AE6" s="61"/>
      <c r="AF6" s="61"/>
      <c r="AG6" s="61"/>
    </row>
    <row r="7" spans="1:33" x14ac:dyDescent="0.25">
      <c r="A7" s="58"/>
      <c r="B7" s="58"/>
      <c r="C7" s="58"/>
      <c r="D7" s="58"/>
      <c r="E7" s="58"/>
      <c r="F7" s="58"/>
      <c r="G7" s="58"/>
      <c r="H7" s="58"/>
      <c r="I7" s="58"/>
      <c r="L7" s="60"/>
      <c r="M7" s="60"/>
      <c r="N7" s="60"/>
      <c r="O7" s="60"/>
      <c r="P7" s="60"/>
      <c r="Q7" s="60"/>
      <c r="R7" s="60"/>
      <c r="S7" s="60"/>
      <c r="T7" s="60"/>
      <c r="U7" s="60"/>
      <c r="X7" s="61"/>
      <c r="Y7" s="61"/>
      <c r="Z7" s="61"/>
      <c r="AA7" s="61"/>
      <c r="AB7" s="61"/>
      <c r="AC7" s="61"/>
      <c r="AD7" s="61"/>
      <c r="AE7" s="61"/>
      <c r="AF7" s="61"/>
      <c r="AG7" s="61"/>
    </row>
    <row r="8" spans="1:33" x14ac:dyDescent="0.25">
      <c r="A8" s="58"/>
      <c r="B8" s="58"/>
      <c r="C8" s="58"/>
      <c r="D8" s="58"/>
      <c r="E8" s="58"/>
      <c r="F8" s="58"/>
      <c r="G8" s="58"/>
      <c r="H8" s="58"/>
      <c r="I8" s="58"/>
      <c r="L8" s="60"/>
      <c r="M8" s="60"/>
      <c r="N8" s="60"/>
      <c r="O8" s="60"/>
      <c r="P8" s="60"/>
      <c r="Q8" s="60"/>
      <c r="R8" s="60"/>
      <c r="S8" s="60"/>
      <c r="T8" s="60"/>
      <c r="U8" s="60"/>
      <c r="X8" s="61"/>
      <c r="Y8" s="61"/>
      <c r="Z8" s="61"/>
      <c r="AA8" s="61"/>
      <c r="AB8" s="61"/>
      <c r="AC8" s="61"/>
      <c r="AD8" s="61"/>
      <c r="AE8" s="61"/>
      <c r="AF8" s="61"/>
      <c r="AG8" s="61"/>
    </row>
    <row r="9" spans="1:33" x14ac:dyDescent="0.25">
      <c r="A9" s="58"/>
      <c r="B9" s="58"/>
      <c r="C9" s="58"/>
      <c r="D9" s="58"/>
      <c r="E9" s="58"/>
      <c r="F9" s="58"/>
      <c r="G9" s="58"/>
      <c r="H9" s="58"/>
      <c r="I9" s="58"/>
      <c r="L9" s="60"/>
      <c r="M9" s="60"/>
      <c r="N9" s="60"/>
      <c r="O9" s="60"/>
      <c r="P9" s="60"/>
      <c r="Q9" s="60"/>
      <c r="R9" s="60"/>
      <c r="S9" s="60"/>
      <c r="T9" s="60"/>
      <c r="U9" s="60"/>
      <c r="X9" s="61"/>
      <c r="Y9" s="61"/>
      <c r="Z9" s="61"/>
      <c r="AA9" s="61"/>
      <c r="AB9" s="61"/>
      <c r="AC9" s="61"/>
      <c r="AD9" s="61"/>
      <c r="AE9" s="61"/>
      <c r="AF9" s="61"/>
      <c r="AG9" s="61"/>
    </row>
    <row r="10" spans="1:33" x14ac:dyDescent="0.25">
      <c r="A10" s="58"/>
      <c r="B10" s="58"/>
      <c r="C10" s="58"/>
      <c r="D10" s="58"/>
      <c r="E10" s="58"/>
      <c r="F10" s="58"/>
      <c r="G10" s="58"/>
      <c r="H10" s="58"/>
      <c r="I10" s="58"/>
      <c r="L10" s="60"/>
      <c r="M10" s="60"/>
      <c r="N10" s="60"/>
      <c r="O10" s="60"/>
      <c r="P10" s="60"/>
      <c r="Q10" s="60"/>
      <c r="R10" s="60"/>
      <c r="S10" s="60"/>
      <c r="T10" s="60"/>
      <c r="U10" s="60"/>
      <c r="X10" s="61"/>
      <c r="Y10" s="61"/>
      <c r="Z10" s="61"/>
      <c r="AA10" s="61"/>
      <c r="AB10" s="61"/>
      <c r="AC10" s="61"/>
      <c r="AD10" s="61"/>
      <c r="AE10" s="61"/>
      <c r="AF10" s="61"/>
      <c r="AG10" s="61"/>
    </row>
    <row r="11" spans="1:33" x14ac:dyDescent="0.25">
      <c r="A11" s="58"/>
      <c r="B11" s="58"/>
      <c r="C11" s="58"/>
      <c r="D11" s="58"/>
      <c r="E11" s="58"/>
      <c r="F11" s="58"/>
      <c r="G11" s="58"/>
      <c r="H11" s="58"/>
      <c r="I11" s="58"/>
      <c r="L11" s="60"/>
      <c r="M11" s="60"/>
      <c r="N11" s="60"/>
      <c r="O11" s="60"/>
      <c r="P11" s="60"/>
      <c r="Q11" s="60"/>
      <c r="R11" s="60"/>
      <c r="S11" s="60"/>
      <c r="T11" s="60"/>
      <c r="U11" s="60"/>
      <c r="X11" s="61"/>
      <c r="Y11" s="61"/>
      <c r="Z11" s="61"/>
      <c r="AA11" s="61"/>
      <c r="AB11" s="61"/>
      <c r="AC11" s="61"/>
      <c r="AD11" s="61"/>
      <c r="AE11" s="61"/>
      <c r="AF11" s="61"/>
      <c r="AG11" s="61"/>
    </row>
    <row r="12" spans="1:33" x14ac:dyDescent="0.25">
      <c r="A12" s="58"/>
      <c r="B12" s="58"/>
      <c r="C12" s="58"/>
      <c r="D12" s="58"/>
      <c r="E12" s="58"/>
      <c r="F12" s="58"/>
      <c r="G12" s="58"/>
      <c r="H12" s="58"/>
      <c r="I12" s="58"/>
      <c r="L12" s="60"/>
      <c r="M12" s="60"/>
      <c r="N12" s="60"/>
      <c r="O12" s="60"/>
      <c r="P12" s="60"/>
      <c r="Q12" s="60"/>
      <c r="R12" s="60"/>
      <c r="S12" s="60"/>
      <c r="T12" s="60"/>
      <c r="U12" s="60"/>
      <c r="X12" s="61"/>
      <c r="Y12" s="61"/>
      <c r="Z12" s="61"/>
      <c r="AA12" s="61"/>
      <c r="AB12" s="61"/>
      <c r="AC12" s="61"/>
      <c r="AD12" s="61"/>
      <c r="AE12" s="61"/>
      <c r="AF12" s="61"/>
      <c r="AG12" s="61"/>
    </row>
    <row r="13" spans="1:33" x14ac:dyDescent="0.25">
      <c r="A13" s="58"/>
      <c r="B13" s="58"/>
      <c r="C13" s="58"/>
      <c r="D13" s="58"/>
      <c r="E13" s="58"/>
      <c r="F13" s="58"/>
      <c r="G13" s="58"/>
      <c r="H13" s="58"/>
      <c r="I13" s="58"/>
      <c r="L13" s="60"/>
      <c r="M13" s="60"/>
      <c r="N13" s="60"/>
      <c r="O13" s="60"/>
      <c r="P13" s="60"/>
      <c r="Q13" s="60"/>
      <c r="R13" s="60"/>
      <c r="S13" s="60"/>
      <c r="T13" s="60"/>
      <c r="U13" s="60"/>
      <c r="X13" s="61"/>
      <c r="Y13" s="61"/>
      <c r="Z13" s="61"/>
      <c r="AA13" s="61"/>
      <c r="AB13" s="61"/>
      <c r="AC13" s="61"/>
      <c r="AD13" s="61"/>
      <c r="AE13" s="61"/>
      <c r="AF13" s="61"/>
      <c r="AG13" s="61"/>
    </row>
    <row r="14" spans="1:33" x14ac:dyDescent="0.25">
      <c r="A14" s="58"/>
      <c r="B14" s="58"/>
      <c r="C14" s="58"/>
      <c r="D14" s="58"/>
      <c r="E14" s="58"/>
      <c r="F14" s="58"/>
      <c r="G14" s="58"/>
      <c r="H14" s="58"/>
      <c r="I14" s="58"/>
      <c r="L14" s="60"/>
      <c r="M14" s="60"/>
      <c r="N14" s="60"/>
      <c r="O14" s="60"/>
      <c r="P14" s="60"/>
      <c r="Q14" s="60"/>
      <c r="R14" s="60"/>
      <c r="S14" s="60"/>
      <c r="T14" s="60"/>
      <c r="U14" s="60"/>
      <c r="X14" s="61"/>
      <c r="Y14" s="61"/>
      <c r="Z14" s="61"/>
      <c r="AA14" s="61"/>
      <c r="AB14" s="61"/>
      <c r="AC14" s="61"/>
      <c r="AD14" s="61"/>
      <c r="AE14" s="61"/>
      <c r="AF14" s="61"/>
      <c r="AG14" s="61"/>
    </row>
    <row r="15" spans="1:33" x14ac:dyDescent="0.25">
      <c r="A15" s="58"/>
      <c r="B15" s="58"/>
      <c r="C15" s="58"/>
      <c r="D15" s="58"/>
      <c r="E15" s="58"/>
      <c r="F15" s="58"/>
      <c r="G15" s="58"/>
      <c r="H15" s="58"/>
      <c r="I15" s="58"/>
      <c r="L15" s="60"/>
      <c r="M15" s="60"/>
      <c r="N15" s="60"/>
      <c r="O15" s="60"/>
      <c r="P15" s="60"/>
      <c r="Q15" s="60"/>
      <c r="R15" s="60"/>
      <c r="S15" s="60"/>
      <c r="T15" s="60"/>
      <c r="U15" s="60"/>
      <c r="X15" s="61"/>
      <c r="Y15" s="61"/>
      <c r="Z15" s="61"/>
      <c r="AA15" s="61"/>
      <c r="AB15" s="61"/>
      <c r="AC15" s="61"/>
      <c r="AD15" s="61"/>
      <c r="AE15" s="61"/>
      <c r="AF15" s="61"/>
      <c r="AG15" s="61"/>
    </row>
    <row r="16" spans="1:33" x14ac:dyDescent="0.25">
      <c r="A16" s="58"/>
      <c r="B16" s="58"/>
      <c r="C16" s="58"/>
      <c r="D16" s="58"/>
      <c r="E16" s="58"/>
      <c r="F16" s="58"/>
      <c r="G16" s="58"/>
      <c r="H16" s="58"/>
      <c r="I16" s="58"/>
      <c r="L16" s="60"/>
      <c r="M16" s="60"/>
      <c r="N16" s="60"/>
      <c r="O16" s="60"/>
      <c r="P16" s="60"/>
      <c r="Q16" s="60"/>
      <c r="R16" s="60"/>
      <c r="S16" s="60"/>
      <c r="T16" s="60"/>
      <c r="U16" s="60"/>
      <c r="X16" s="61"/>
      <c r="Y16" s="61"/>
      <c r="Z16" s="61"/>
      <c r="AA16" s="61"/>
      <c r="AB16" s="61"/>
      <c r="AC16" s="61"/>
      <c r="AD16" s="61"/>
      <c r="AE16" s="61"/>
      <c r="AF16" s="61"/>
      <c r="AG16" s="61"/>
    </row>
    <row r="17" spans="1:33" x14ac:dyDescent="0.25">
      <c r="A17" s="58"/>
      <c r="B17" s="58"/>
      <c r="C17" s="58"/>
      <c r="D17" s="58"/>
      <c r="E17" s="58"/>
      <c r="F17" s="58"/>
      <c r="G17" s="58"/>
      <c r="H17" s="58"/>
      <c r="I17" s="58"/>
      <c r="L17" s="60"/>
      <c r="M17" s="60"/>
      <c r="N17" s="60"/>
      <c r="O17" s="60"/>
      <c r="P17" s="60"/>
      <c r="Q17" s="60"/>
      <c r="R17" s="60"/>
      <c r="S17" s="60"/>
      <c r="T17" s="60"/>
      <c r="U17" s="60"/>
      <c r="X17" s="61"/>
      <c r="Y17" s="61"/>
      <c r="Z17" s="61"/>
      <c r="AA17" s="61"/>
      <c r="AB17" s="61"/>
      <c r="AC17" s="61"/>
      <c r="AD17" s="61"/>
      <c r="AE17" s="61"/>
      <c r="AF17" s="61"/>
      <c r="AG17" s="61"/>
    </row>
    <row r="18" spans="1:33" x14ac:dyDescent="0.25">
      <c r="A18" s="58"/>
      <c r="B18" s="58"/>
      <c r="C18" s="58"/>
      <c r="D18" s="58"/>
      <c r="E18" s="58"/>
      <c r="F18" s="58"/>
      <c r="G18" s="58"/>
      <c r="H18" s="58"/>
      <c r="I18" s="58"/>
      <c r="L18" s="60"/>
      <c r="M18" s="60"/>
      <c r="N18" s="60"/>
      <c r="O18" s="60"/>
      <c r="P18" s="60"/>
      <c r="Q18" s="60"/>
      <c r="R18" s="60"/>
      <c r="S18" s="60"/>
      <c r="T18" s="60"/>
      <c r="U18" s="60"/>
      <c r="X18" s="61"/>
      <c r="Y18" s="61"/>
      <c r="Z18" s="61"/>
      <c r="AA18" s="61"/>
      <c r="AB18" s="61"/>
      <c r="AC18" s="61"/>
      <c r="AD18" s="61"/>
      <c r="AE18" s="61"/>
      <c r="AF18" s="61"/>
      <c r="AG18" s="61"/>
    </row>
    <row r="19" spans="1:33" x14ac:dyDescent="0.25">
      <c r="A19" s="58"/>
      <c r="B19" s="58"/>
      <c r="C19" s="58"/>
      <c r="D19" s="58"/>
      <c r="E19" s="58"/>
      <c r="F19" s="58"/>
      <c r="G19" s="58"/>
      <c r="H19" s="58"/>
      <c r="I19" s="58"/>
      <c r="L19" s="60"/>
      <c r="M19" s="60"/>
      <c r="N19" s="60"/>
      <c r="O19" s="60"/>
      <c r="P19" s="60"/>
      <c r="Q19" s="60"/>
      <c r="R19" s="60"/>
      <c r="S19" s="60"/>
      <c r="T19" s="60"/>
      <c r="U19" s="60"/>
      <c r="X19" s="61"/>
      <c r="Y19" s="61"/>
      <c r="Z19" s="61"/>
      <c r="AA19" s="61"/>
      <c r="AB19" s="61"/>
      <c r="AC19" s="61"/>
      <c r="AD19" s="61"/>
      <c r="AE19" s="61"/>
      <c r="AF19" s="61"/>
      <c r="AG19" s="61"/>
    </row>
    <row r="20" spans="1:33" x14ac:dyDescent="0.25">
      <c r="A20" s="58"/>
      <c r="B20" s="58"/>
      <c r="C20" s="58"/>
      <c r="D20" s="58"/>
      <c r="E20" s="58"/>
      <c r="F20" s="58"/>
      <c r="G20" s="58"/>
      <c r="H20" s="58"/>
      <c r="I20" s="58"/>
      <c r="L20" s="60"/>
      <c r="M20" s="60"/>
      <c r="N20" s="60"/>
      <c r="O20" s="60"/>
      <c r="P20" s="60"/>
      <c r="Q20" s="60"/>
      <c r="R20" s="60"/>
      <c r="S20" s="60"/>
      <c r="T20" s="60"/>
      <c r="U20" s="60"/>
      <c r="X20" s="61"/>
      <c r="Y20" s="61"/>
      <c r="Z20" s="61"/>
      <c r="AA20" s="61"/>
      <c r="AB20" s="61"/>
      <c r="AC20" s="61"/>
      <c r="AD20" s="61"/>
      <c r="AE20" s="61"/>
      <c r="AF20" s="61"/>
      <c r="AG20" s="61"/>
    </row>
    <row r="21" spans="1:33" x14ac:dyDescent="0.25">
      <c r="A21" s="58"/>
      <c r="B21" s="58"/>
      <c r="C21" s="58"/>
      <c r="D21" s="58"/>
      <c r="E21" s="58"/>
      <c r="F21" s="58"/>
      <c r="G21" s="58"/>
      <c r="H21" s="58"/>
      <c r="I21" s="58"/>
      <c r="L21" s="60"/>
      <c r="M21" s="60"/>
      <c r="N21" s="60"/>
      <c r="O21" s="60"/>
      <c r="P21" s="60"/>
      <c r="Q21" s="60"/>
      <c r="R21" s="60"/>
      <c r="S21" s="60"/>
      <c r="T21" s="60"/>
      <c r="U21" s="60"/>
      <c r="X21" s="61"/>
      <c r="Y21" s="61"/>
      <c r="Z21" s="61"/>
      <c r="AA21" s="61"/>
      <c r="AB21" s="61"/>
      <c r="AC21" s="61"/>
      <c r="AD21" s="61"/>
      <c r="AE21" s="61"/>
      <c r="AF21" s="61"/>
      <c r="AG21" s="61"/>
    </row>
    <row r="22" spans="1:33" x14ac:dyDescent="0.25">
      <c r="A22" s="58"/>
      <c r="B22" s="58"/>
      <c r="C22" s="58"/>
      <c r="D22" s="58"/>
      <c r="E22" s="58"/>
      <c r="F22" s="58"/>
      <c r="G22" s="58"/>
      <c r="H22" s="58"/>
      <c r="I22" s="58"/>
      <c r="L22" s="60"/>
      <c r="M22" s="60"/>
      <c r="N22" s="60"/>
      <c r="O22" s="60"/>
      <c r="P22" s="60"/>
      <c r="Q22" s="60"/>
      <c r="R22" s="60"/>
      <c r="S22" s="60"/>
      <c r="T22" s="60"/>
      <c r="U22" s="60"/>
      <c r="X22" s="61"/>
      <c r="Y22" s="61"/>
      <c r="Z22" s="61"/>
      <c r="AA22" s="61"/>
      <c r="AB22" s="61"/>
      <c r="AC22" s="61"/>
      <c r="AD22" s="61"/>
      <c r="AE22" s="61"/>
      <c r="AF22" s="61"/>
      <c r="AG22" s="61"/>
    </row>
    <row r="24" spans="1:33" ht="15.75" thickBot="1" x14ac:dyDescent="0.3"/>
    <row r="25" spans="1:33" x14ac:dyDescent="0.25">
      <c r="B25" s="52" t="s">
        <v>368</v>
      </c>
      <c r="C25" s="53" t="s">
        <v>369</v>
      </c>
      <c r="D25" s="53" t="s">
        <v>370</v>
      </c>
      <c r="E25" s="54" t="s">
        <v>371</v>
      </c>
      <c r="N25" s="52" t="s">
        <v>368</v>
      </c>
      <c r="O25" s="53" t="s">
        <v>369</v>
      </c>
      <c r="P25" s="53" t="s">
        <v>370</v>
      </c>
      <c r="Q25" s="54" t="s">
        <v>371</v>
      </c>
      <c r="AA25" s="52" t="s">
        <v>368</v>
      </c>
      <c r="AB25" s="53" t="s">
        <v>369</v>
      </c>
      <c r="AC25" s="53" t="s">
        <v>370</v>
      </c>
      <c r="AD25" s="54" t="s">
        <v>371</v>
      </c>
    </row>
    <row r="26" spans="1:33" ht="15.75" thickBot="1" x14ac:dyDescent="0.3">
      <c r="B26" s="55">
        <f>AVERAGE(Table133[FLOAT(M)])</f>
        <v>23.720933333333338</v>
      </c>
      <c r="C26" s="56">
        <f>MAX(Table133[FLOAT(M)])</f>
        <v>154.43</v>
      </c>
      <c r="D26" s="56">
        <f>MIN(Table13[FLOAT(M)])</f>
        <v>0.31571399999999999</v>
      </c>
      <c r="E26" s="57">
        <f>STDEV(Table133[FLOAT(M)])</f>
        <v>34.390540189455045</v>
      </c>
      <c r="N26" s="65">
        <f>AVERAGE('Range Bound Play 1 (V2)-FLAT'!Z2:Z82)</f>
        <v>1.094802924802037</v>
      </c>
      <c r="O26" s="65">
        <f>MAX('Range Bound Play 1 (V2)-FLAT'!Z2:Z82)</f>
        <v>3.954545454545455</v>
      </c>
      <c r="P26" s="65">
        <f>MIN('Range Bound Play 1 (V2)-FLAT'!Z2:Z82)</f>
        <v>0.12845138055222091</v>
      </c>
      <c r="Q26" s="65">
        <f>STDEV('Range Bound Play 1 (V2)-FLAT'!Z2:Z82)</f>
        <v>0.85205653071923226</v>
      </c>
      <c r="R26" s="62"/>
      <c r="S26" s="62"/>
      <c r="T26" s="62"/>
      <c r="U26" s="62"/>
      <c r="AA26" s="65">
        <f>AVERAGE('Range Bound Play 1 (V2)-FLAT'!AL2:AL82)</f>
        <v>9.6163237465440213E-2</v>
      </c>
      <c r="AB26" s="65">
        <f>MAX('Range Bound Play 1 (V2)-FLAT'!AL2:AL82)</f>
        <v>0.31818181818181818</v>
      </c>
      <c r="AC26" s="65">
        <f>MIN('Range Bound Play 1 (V2)-FLAT'!AL2:AL82)</f>
        <v>1.0344827586206829E-2</v>
      </c>
      <c r="AD26" s="65">
        <f>STDEV('Range Bound Play 1 (V2)-FLAT'!AL2:AL82)</f>
        <v>5.4962668992337031E-2</v>
      </c>
    </row>
    <row r="27" spans="1:33" x14ac:dyDescent="0.25">
      <c r="N27" s="62"/>
      <c r="O27" s="62"/>
      <c r="P27" s="62"/>
      <c r="Q27" s="62"/>
      <c r="R27" s="62"/>
      <c r="S27" s="62"/>
      <c r="T27" s="62"/>
      <c r="U27" s="62"/>
    </row>
    <row r="28" spans="1:33" x14ac:dyDescent="0.25">
      <c r="N28" s="62"/>
      <c r="O28" s="62"/>
      <c r="P28" s="62"/>
      <c r="Q28" s="62"/>
      <c r="R28" s="62"/>
      <c r="S28" s="62"/>
      <c r="T28" s="62"/>
      <c r="U28" s="62"/>
    </row>
    <row r="29" spans="1:33" x14ac:dyDescent="0.25">
      <c r="N29" s="62"/>
      <c r="O29" s="62"/>
      <c r="P29" s="62"/>
      <c r="Q29" s="62"/>
      <c r="R29" s="62"/>
      <c r="S29" s="62"/>
      <c r="T29" s="62"/>
      <c r="U29" s="62"/>
    </row>
    <row r="30" spans="1:33" ht="15.75" thickBot="1" x14ac:dyDescent="0.3">
      <c r="N30" s="62"/>
      <c r="O30" s="62"/>
      <c r="P30" s="62"/>
      <c r="Q30" s="62"/>
      <c r="R30" s="62"/>
      <c r="S30" s="62"/>
      <c r="T30" s="62"/>
      <c r="U30" s="62"/>
    </row>
    <row r="31" spans="1:33" x14ac:dyDescent="0.25">
      <c r="P31" s="52" t="s">
        <v>365</v>
      </c>
      <c r="Q31" s="53" t="s">
        <v>366</v>
      </c>
      <c r="R31" s="54" t="s">
        <v>364</v>
      </c>
    </row>
    <row r="32" spans="1:33" ht="15.75" thickBot="1" x14ac:dyDescent="0.3">
      <c r="P32" s="55">
        <f>COUNTIF(Table133[W/L],"W")</f>
        <v>100</v>
      </c>
      <c r="Q32" s="56">
        <f>COUNTIF(Table133[W/L],"L")</f>
        <v>27</v>
      </c>
      <c r="R32" s="57">
        <f>COUNTIF(Table133[W/L],"UT")</f>
        <v>42</v>
      </c>
    </row>
    <row r="33" spans="13:29" x14ac:dyDescent="0.25">
      <c r="M33" s="63"/>
      <c r="N33" s="63"/>
      <c r="O33" s="63"/>
      <c r="P33" s="63"/>
      <c r="Q33" s="63"/>
      <c r="R33" s="63"/>
      <c r="S33" s="63"/>
      <c r="T33" s="63"/>
      <c r="U33" s="63"/>
    </row>
    <row r="34" spans="13:29" x14ac:dyDescent="0.25">
      <c r="M34" s="63"/>
      <c r="N34" s="63"/>
      <c r="O34" s="63"/>
      <c r="P34" s="63"/>
      <c r="Q34" s="63"/>
      <c r="R34" s="63"/>
      <c r="S34" s="63"/>
      <c r="T34" s="63"/>
      <c r="U34" s="63"/>
    </row>
    <row r="35" spans="13:29" x14ac:dyDescent="0.25">
      <c r="M35" s="63"/>
      <c r="N35" s="63"/>
      <c r="O35" s="63"/>
      <c r="P35" s="63"/>
      <c r="Q35" s="63"/>
      <c r="R35" s="63"/>
      <c r="S35" s="63"/>
      <c r="T35" s="63"/>
      <c r="U35" s="63"/>
      <c r="AC35" s="64" t="s">
        <v>367</v>
      </c>
    </row>
    <row r="36" spans="13:29" x14ac:dyDescent="0.25">
      <c r="M36" s="63"/>
      <c r="N36" s="63"/>
      <c r="O36" s="63"/>
      <c r="P36" s="63"/>
      <c r="Q36" s="63"/>
      <c r="R36" s="63"/>
      <c r="S36" s="63"/>
      <c r="T36" s="63"/>
      <c r="U36" s="63"/>
    </row>
    <row r="37" spans="13:29" x14ac:dyDescent="0.25">
      <c r="M37" s="63"/>
      <c r="N37" s="63"/>
      <c r="O37" s="63"/>
      <c r="P37" s="63"/>
      <c r="Q37" s="63"/>
      <c r="R37" s="63"/>
      <c r="S37" s="63"/>
      <c r="T37" s="63"/>
      <c r="U37" s="63"/>
    </row>
    <row r="38" spans="13:29" x14ac:dyDescent="0.25">
      <c r="M38" s="63"/>
      <c r="N38" s="63"/>
      <c r="O38" s="63"/>
      <c r="P38" s="63"/>
      <c r="Q38" s="63"/>
      <c r="R38" s="63"/>
      <c r="S38" s="63"/>
      <c r="T38" s="63"/>
      <c r="U38" s="63"/>
    </row>
    <row r="39" spans="13:29" x14ac:dyDescent="0.25">
      <c r="M39" s="63"/>
      <c r="N39" s="63"/>
      <c r="O39" s="63"/>
      <c r="P39" s="63"/>
      <c r="Q39" s="63"/>
      <c r="R39" s="63"/>
      <c r="S39" s="63"/>
      <c r="T39" s="63"/>
      <c r="U39" s="63"/>
    </row>
    <row r="40" spans="13:29" x14ac:dyDescent="0.25">
      <c r="M40" s="63"/>
      <c r="N40" s="63"/>
      <c r="O40" s="63"/>
      <c r="P40" s="63"/>
      <c r="Q40" s="63"/>
      <c r="R40" s="63"/>
      <c r="S40" s="63"/>
      <c r="T40" s="63"/>
      <c r="U40" s="63"/>
    </row>
    <row r="41" spans="13:29" x14ac:dyDescent="0.25">
      <c r="M41" s="63"/>
      <c r="N41" s="63"/>
      <c r="O41" s="63"/>
      <c r="P41" s="63"/>
      <c r="Q41" s="63"/>
      <c r="R41" s="63"/>
      <c r="S41" s="63"/>
      <c r="T41" s="63"/>
      <c r="U41" s="63"/>
    </row>
    <row r="42" spans="13:29" x14ac:dyDescent="0.25">
      <c r="M42" s="63"/>
      <c r="N42" s="63"/>
      <c r="O42" s="63"/>
      <c r="P42" s="63"/>
      <c r="Q42" s="63"/>
      <c r="R42" s="63"/>
      <c r="S42" s="63"/>
      <c r="T42" s="63"/>
      <c r="U42" s="63"/>
    </row>
    <row r="43" spans="13:29" x14ac:dyDescent="0.25">
      <c r="M43" s="63"/>
      <c r="N43" s="63"/>
      <c r="O43" s="63"/>
      <c r="P43" s="63"/>
      <c r="Q43" s="63"/>
      <c r="R43" s="63"/>
      <c r="S43" s="63"/>
      <c r="T43" s="63"/>
      <c r="U43" s="63"/>
    </row>
    <row r="44" spans="13:29" x14ac:dyDescent="0.25">
      <c r="M44" s="63"/>
      <c r="N44" s="63"/>
      <c r="O44" s="63"/>
      <c r="P44" s="63"/>
      <c r="Q44" s="63"/>
      <c r="R44" s="63"/>
      <c r="S44" s="63"/>
      <c r="T44" s="63"/>
      <c r="U44" s="63"/>
    </row>
    <row r="45" spans="13:29" x14ac:dyDescent="0.25">
      <c r="M45" s="63"/>
      <c r="N45" s="63"/>
      <c r="O45" s="63"/>
      <c r="P45" s="63"/>
      <c r="Q45" s="63"/>
      <c r="R45" s="63"/>
      <c r="S45" s="63"/>
      <c r="T45" s="63"/>
      <c r="U45" s="63"/>
    </row>
    <row r="46" spans="13:29" x14ac:dyDescent="0.25">
      <c r="M46" s="63"/>
      <c r="N46" s="63"/>
      <c r="O46" s="63"/>
      <c r="P46" s="63"/>
      <c r="Q46" s="63"/>
      <c r="R46" s="63"/>
      <c r="S46" s="63"/>
      <c r="T46" s="63"/>
      <c r="U46" s="63"/>
    </row>
    <row r="47" spans="13:29" x14ac:dyDescent="0.25">
      <c r="M47" s="63"/>
      <c r="N47" s="63"/>
      <c r="O47" s="63"/>
      <c r="P47" s="63"/>
      <c r="Q47" s="63"/>
      <c r="R47" s="63"/>
      <c r="S47" s="63"/>
      <c r="T47" s="63"/>
      <c r="U47" s="63"/>
    </row>
    <row r="48" spans="13:29" x14ac:dyDescent="0.25">
      <c r="M48" s="63"/>
      <c r="N48" s="63"/>
      <c r="O48" s="63"/>
      <c r="P48" s="63"/>
      <c r="Q48" s="63"/>
      <c r="R48" s="63"/>
      <c r="S48" s="63"/>
      <c r="T48" s="63"/>
      <c r="U48" s="63"/>
    </row>
    <row r="49" spans="13:21" x14ac:dyDescent="0.25">
      <c r="M49" s="63"/>
      <c r="N49" s="63"/>
      <c r="O49" s="63"/>
      <c r="P49" s="63"/>
      <c r="Q49" s="63"/>
      <c r="R49" s="63"/>
      <c r="S49" s="63"/>
      <c r="T49" s="63"/>
      <c r="U49" s="63"/>
    </row>
    <row r="50" spans="13:21" x14ac:dyDescent="0.25">
      <c r="M50" s="63"/>
      <c r="N50" s="63"/>
      <c r="O50" s="63"/>
      <c r="P50" s="63"/>
      <c r="Q50" s="63"/>
      <c r="R50" s="63"/>
      <c r="S50" s="63"/>
      <c r="T50" s="63"/>
      <c r="U50" s="63"/>
    </row>
    <row r="51" spans="13:21" x14ac:dyDescent="0.25">
      <c r="M51" s="63"/>
      <c r="N51" s="63"/>
      <c r="O51" s="63"/>
      <c r="P51" s="63"/>
      <c r="Q51" s="63"/>
      <c r="R51" s="63"/>
      <c r="S51" s="63"/>
      <c r="T51" s="63"/>
      <c r="U51" s="63"/>
    </row>
  </sheetData>
  <mergeCells count="3">
    <mergeCell ref="A4:I22"/>
    <mergeCell ref="X4:AG22"/>
    <mergeCell ref="M33:U5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50C64-40EF-4F3F-834A-CFC3E691C7A2}">
  <dimension ref="A1:B3"/>
  <sheetViews>
    <sheetView workbookViewId="0">
      <selection activeCell="I27" sqref="I27"/>
    </sheetView>
  </sheetViews>
  <sheetFormatPr defaultRowHeight="15" x14ac:dyDescent="0.25"/>
  <sheetData>
    <row r="1" spans="1:2" x14ac:dyDescent="0.25">
      <c r="A1" t="s">
        <v>44</v>
      </c>
      <c r="B1" t="s">
        <v>78</v>
      </c>
    </row>
    <row r="2" spans="1:2" x14ac:dyDescent="0.25">
      <c r="A2" t="s">
        <v>42</v>
      </c>
      <c r="B2" t="s">
        <v>178</v>
      </c>
    </row>
    <row r="3" spans="1:2" x14ac:dyDescent="0.25">
      <c r="B3" t="s">
        <v>364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Range Bound Play 1 (V1)</vt:lpstr>
      <vt:lpstr>Range Bound Play 1 (V2)-FLAT</vt:lpstr>
      <vt:lpstr>Basic Analysis</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dc:creator>
  <cp:lastModifiedBy>Michael G</cp:lastModifiedBy>
  <dcterms:created xsi:type="dcterms:W3CDTF">2021-01-05T04:43:26Z</dcterms:created>
  <dcterms:modified xsi:type="dcterms:W3CDTF">2021-02-01T08:08:04Z</dcterms:modified>
</cp:coreProperties>
</file>