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michaelha\Desktop\skillpoints\property-investment\"/>
    </mc:Choice>
  </mc:AlternateContent>
  <bookViews>
    <workbookView xWindow="0" yWindow="0" windowWidth="28800" windowHeight="12300" tabRatio="500" firstSheet="25" activeTab="26"/>
  </bookViews>
  <sheets>
    <sheet name="Read Me First" sheetId="32" r:id="rId1"/>
    <sheet name="Annual Cash Flows" sheetId="38" r:id="rId2"/>
    <sheet name="Dynamic Modeling" sheetId="43" r:id="rId3"/>
    <sheet name="Dynamic Modeling - Solution" sheetId="73" r:id="rId4"/>
    <sheet name="Excel Shortcuts" sheetId="30" r:id="rId5"/>
    <sheet name="Excel Shortcuts - Solution" sheetId="74" r:id="rId6"/>
    <sheet name="IF Functions" sheetId="51" r:id="rId7"/>
    <sheet name="IF Functions - Solution" sheetId="75" r:id="rId8"/>
    <sheet name="Lookup Functions" sheetId="52" r:id="rId9"/>
    <sheet name="Lookup Functions - Solution" sheetId="76" r:id="rId10"/>
    <sheet name="Other Functions" sheetId="53" r:id="rId11"/>
    <sheet name="Other Functions - Solution" sheetId="77" r:id="rId12"/>
    <sheet name="TVM Functions" sheetId="55" r:id="rId13"/>
    <sheet name="TVM Functions - Solution" sheetId="78" r:id="rId14"/>
    <sheet name="Revenue Modeling" sheetId="56" r:id="rId15"/>
    <sheet name="Revenue Modeling - Solution" sheetId="80" r:id="rId16"/>
    <sheet name="Reimbursements" sheetId="57" r:id="rId17"/>
    <sheet name="Reimbursements - Solution" sheetId="81" r:id="rId18"/>
    <sheet name="Operations &amp; Renewal" sheetId="60" r:id="rId19"/>
    <sheet name="Operations &amp; Renewal - Solution" sheetId="82" r:id="rId20"/>
    <sheet name="Capital Expenses" sheetId="58" r:id="rId21"/>
    <sheet name="Capital Expenses - Solution" sheetId="83" r:id="rId22"/>
    <sheet name="Loan Functions" sheetId="61" r:id="rId23"/>
    <sheet name="Loan Functions - Solution" sheetId="84" r:id="rId24"/>
    <sheet name="Loan Amortization" sheetId="62" r:id="rId25"/>
    <sheet name="Loan Amortization - Solution" sheetId="85" r:id="rId26"/>
    <sheet name="Loan Constraints" sheetId="63" r:id="rId27"/>
    <sheet name="Loan Constraints - Solution" sheetId="86" r:id="rId28"/>
    <sheet name="Loan Sizing" sheetId="65" r:id="rId29"/>
    <sheet name="Loan Sizing - Solution" sheetId="87" r:id="rId30"/>
    <sheet name="Cap Rate" sheetId="66" r:id="rId31"/>
    <sheet name="Cap Rate - Solution" sheetId="88" r:id="rId32"/>
    <sheet name="Return Metrics" sheetId="67" r:id="rId33"/>
    <sheet name="Return Metrics - Solution" sheetId="89" r:id="rId34"/>
    <sheet name="XNPV-XIRR" sheetId="42" r:id="rId35"/>
    <sheet name="XNPV-XIRR - Solution" sheetId="90" r:id="rId36"/>
    <sheet name="Pro Forma Modeling" sheetId="69" r:id="rId37"/>
    <sheet name="Pro Forma Modeling - Solution" sheetId="91" r:id="rId38"/>
    <sheet name="Scenario Analysis" sheetId="70" r:id="rId39"/>
    <sheet name="Scenario Analysis - Solution" sheetId="92" r:id="rId40"/>
  </sheets>
  <externalReferences>
    <externalReference r:id="rId41"/>
    <externalReference r:id="rId42"/>
    <externalReference r:id="rId43"/>
  </externalReferences>
  <definedNames>
    <definedName name="_" localSheetId="4" hidden="1">'[1]1999 BUDGET'!#REF!</definedName>
    <definedName name="_" localSheetId="5" hidden="1">'[1]1999 BUDGET'!#REF!</definedName>
    <definedName name="_" localSheetId="0" hidden="1">'[2]1999 BUDGET'!#REF!</definedName>
    <definedName name="_" hidden="1">'[1]1999 BUDGET'!#REF!</definedName>
    <definedName name="__a1" localSheetId="0" hidden="1">{"Assump",#N/A,TRUE,"Proforma";"first",#N/A,TRUE,"Proforma";"second",#N/A,TRUE,"Proforma";"lease1",#N/A,TRUE,"Proforma";"lease2",#N/A,TRUE,"Proforma"}</definedName>
    <definedName name="__a1" hidden="1">{"Assump",#N/A,TRUE,"Proforma";"first",#N/A,TRUE,"Proforma";"second",#N/A,TRUE,"Proforma";"lease1",#N/A,TRUE,"Proforma";"lease2",#N/A,TRUE,"Proforma"}</definedName>
    <definedName name="__FDS_HYPERLINK_TOGGLE_STATE__" hidden="1">"ON"</definedName>
    <definedName name="_a1" localSheetId="0" hidden="1">{"Assump",#N/A,TRUE,"Proforma";"first",#N/A,TRUE,"Proforma";"second",#N/A,TRUE,"Proforma";"lease1",#N/A,TRUE,"Proforma";"lease2",#N/A,TRUE,"Proforma"}</definedName>
    <definedName name="_a1" hidden="1">{"Assump",#N/A,TRUE,"Proforma";"first",#N/A,TRUE,"Proforma";"second",#N/A,TRUE,"Proforma";"lease1",#N/A,TRUE,"Proforma";"lease2",#N/A,TRUE,"Proforma"}</definedName>
    <definedName name="_COO2" localSheetId="0" hidden="1">{#N/A,#N/A,FALSE,"Matrix";#N/A,#N/A,FALSE,"Cash Flow";#N/A,#N/A,FALSE,"10 Year Cost Analysis"}</definedName>
    <definedName name="_COO2" hidden="1">{#N/A,#N/A,FALSE,"Matrix";#N/A,#N/A,FALSE,"Cash Flow";#N/A,#N/A,FALSE,"10 Year Cost Analysis"}</definedName>
    <definedName name="_dfadfasd" localSheetId="0" hidden="1">{"cap_structure",#N/A,FALSE,"Graph-Mkt Cap";"price",#N/A,FALSE,"Graph-Price";"ebit",#N/A,FALSE,"Graph-EBITDA";"ebitda",#N/A,FALSE,"Graph-EBITDA"}</definedName>
    <definedName name="_dfadfasd" hidden="1">{"cap_structure",#N/A,FALSE,"Graph-Mkt Cap";"price",#N/A,FALSE,"Graph-Price";"ebit",#N/A,FALSE,"Graph-EBITDA";"ebitda",#N/A,FALSE,"Graph-EBITDA"}</definedName>
    <definedName name="_Fill" localSheetId="4" hidden="1">#REF!</definedName>
    <definedName name="_Fill" localSheetId="5" hidden="1">#REF!</definedName>
    <definedName name="_Fill" localSheetId="0" hidden="1">#REF!</definedName>
    <definedName name="_Fill" hidden="1">#REF!</definedName>
    <definedName name="_Key1" localSheetId="4" hidden="1">#REF!</definedName>
    <definedName name="_Key1" localSheetId="5" hidden="1">#REF!</definedName>
    <definedName name="_Key1" localSheetId="0" hidden="1">#REF!</definedName>
    <definedName name="_Key1" hidden="1">#REF!</definedName>
    <definedName name="_Key2" localSheetId="4" hidden="1">#REF!</definedName>
    <definedName name="_Key2" localSheetId="5" hidden="1">#REF!</definedName>
    <definedName name="_Key2" localSheetId="0" hidden="1">#REF!</definedName>
    <definedName name="_Key2" hidden="1">#REF!</definedName>
    <definedName name="_Order1" hidden="1">255</definedName>
    <definedName name="_Order2" hidden="1">255</definedName>
    <definedName name="_Sort" localSheetId="4" hidden="1">#REF!</definedName>
    <definedName name="_Sort" localSheetId="5" hidden="1">#REF!</definedName>
    <definedName name="_Sort" localSheetId="0" hidden="1">#REF!</definedName>
    <definedName name="_Sort" hidden="1">#REF!</definedName>
    <definedName name="_Table2_In1" localSheetId="4" hidden="1">#REF!</definedName>
    <definedName name="_Table2_In1" localSheetId="5" hidden="1">#REF!</definedName>
    <definedName name="_Table2_In1" localSheetId="0" hidden="1">#REF!</definedName>
    <definedName name="_Table2_In1" hidden="1">#REF!</definedName>
    <definedName name="_Table2_In2" localSheetId="4" hidden="1">#REF!</definedName>
    <definedName name="_Table2_In2" localSheetId="5" hidden="1">#REF!</definedName>
    <definedName name="_Table2_In2" localSheetId="0" hidden="1">#REF!</definedName>
    <definedName name="_Table2_In2" hidden="1">#REF!</definedName>
    <definedName name="_Table2_Out" localSheetId="4" hidden="1">#REF!</definedName>
    <definedName name="_Table2_Out" localSheetId="5" hidden="1">#REF!</definedName>
    <definedName name="_Table2_Out" localSheetId="0" hidden="1">#REF!</definedName>
    <definedName name="_Table2_Out" hidden="1">#REF!</definedName>
    <definedName name="_Table3_In2" localSheetId="4" hidden="1">#REF!</definedName>
    <definedName name="_Table3_In2" localSheetId="5" hidden="1">#REF!</definedName>
    <definedName name="_Table3_In2" localSheetId="0" hidden="1">#REF!</definedName>
    <definedName name="_Table3_In2" hidden="1">#REF!</definedName>
    <definedName name="a1a1" localSheetId="0" hidden="1">{"Assump",#N/A,TRUE,"Proforma";"first",#N/A,TRUE,"Proforma";"second",#N/A,TRUE,"Proforma";"lease1",#N/A,TRUE,"Proforma";"lease2",#N/A,TRUE,"Proforma"}</definedName>
    <definedName name="a1a1" hidden="1">{"Assump",#N/A,TRUE,"Proforma";"first",#N/A,TRUE,"Proforma";"second",#N/A,TRUE,"Proforma";"lease1",#N/A,TRUE,"Proforma";"lease2",#N/A,TRUE,"Proforma"}</definedName>
    <definedName name="aa" localSheetId="0" hidden="1">{"AnnualRentRoll",#N/A,FALSE,"RentRoll"}</definedName>
    <definedName name="aa" hidden="1">{"AnnualRentRoll",#N/A,FALSE,"RentRoll"}</definedName>
    <definedName name="aaa" localSheetId="0" hidden="1">{"AnnualRentRoll",#N/A,FALSE,"RentRoll"}</definedName>
    <definedName name="aaa" hidden="1">{"AnnualRentRoll",#N/A,FALSE,"RentRoll"}</definedName>
    <definedName name="aaaaa" localSheetId="0" hidden="1">{"Assump",#N/A,TRUE,"Proforma";"first",#N/A,TRUE,"Proforma";"second",#N/A,TRUE,"Proforma";"lease1",#N/A,TRUE,"Proforma";"lease2",#N/A,TRUE,"Proforma"}</definedName>
    <definedName name="aaaaa" hidden="1">{"Assump",#N/A,TRUE,"Proforma";"first",#N/A,TRUE,"Proforma";"second",#N/A,TRUE,"Proforma";"lease1",#N/A,TRUE,"Proforma";"lease2",#N/A,TRUE,"Proforma"}</definedName>
    <definedName name="aaaaaaa" localSheetId="0" hidden="1">{"Outflow 1",#N/A,FALSE,"Outflows-Inflows";"Outflow 2",#N/A,FALSE,"Outflows-Inflows";"Inflow 1",#N/A,FALSE,"Outflows-Inflows";"Inflow 2",#N/A,FALSE,"Outflows-Inflows"}</definedName>
    <definedName name="aaaaaaa" hidden="1">{"Outflow 1",#N/A,FALSE,"Outflows-Inflows";"Outflow 2",#N/A,FALSE,"Outflows-Inflows";"Inflow 1",#N/A,FALSE,"Outflows-Inflows";"Inflow 2",#N/A,FALSE,"Outflows-Inflows"}</definedName>
    <definedName name="AAAAAAAA" localSheetId="0" hidden="1">{"Outflow 1",#N/A,FALSE,"Outflows-Inflows";"Outflow 2",#N/A,FALSE,"Outflows-Inflows";"Inflow 1",#N/A,FALSE,"Outflows-Inflows";"Inflow 2",#N/A,FALSE,"Outflows-Inflows"}</definedName>
    <definedName name="AAAAAAAA" hidden="1">{"Outflow 1",#N/A,FALSE,"Outflows-Inflows";"Outflow 2",#N/A,FALSE,"Outflows-Inflows";"Inflow 1",#N/A,FALSE,"Outflows-Inflows";"Inflow 2",#N/A,FALSE,"Outflows-Inflows"}</definedName>
    <definedName name="aasdfa" localSheetId="0" hidden="1">{"rtn",#N/A,FALSE,"RTN";"tables",#N/A,FALSE,"RTN";"cf",#N/A,FALSE,"CF";"stats",#N/A,FALSE,"Stats";"prop",#N/A,FALSE,"Prop"}</definedName>
    <definedName name="aasdfa" hidden="1">{"rtn",#N/A,FALSE,"RTN";"tables",#N/A,FALSE,"RTN";"cf",#N/A,FALSE,"CF";"stats",#N/A,FALSE,"Stats";"prop",#N/A,FALSE,"Prop"}</definedName>
    <definedName name="ad"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ad"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adfa" localSheetId="0" hidden="1">{"cap_structure",#N/A,FALSE,"Graph-Mkt Cap";"price",#N/A,FALSE,"Graph-Price";"ebit",#N/A,FALSE,"Graph-EBITDA";"ebitda",#N/A,FALSE,"Graph-EBITDA"}</definedName>
    <definedName name="adfa" hidden="1">{"cap_structure",#N/A,FALSE,"Graph-Mkt Cap";"price",#N/A,FALSE,"Graph-Price";"ebit",#N/A,FALSE,"Graph-EBITDA";"ebitda",#N/A,FALSE,"Graph-EBITDA"}</definedName>
    <definedName name="adfgga" localSheetId="0" hidden="1">{"FCB_ALL",#N/A,FALSE,"FCB"}</definedName>
    <definedName name="adfgga" hidden="1">{"FCB_ALL",#N/A,FALSE,"FCB"}</definedName>
    <definedName name="adfghsdfgas" localSheetId="0" hidden="1">{"inputs raw data",#N/A,TRUE,"INPUT"}</definedName>
    <definedName name="adfghsdfgas" hidden="1">{"inputs raw data",#N/A,TRUE,"INPUT"}</definedName>
    <definedName name="ADFWAE" localSheetId="0" hidden="1">{"summary1",#N/A,TRUE,"Comps";"summary2",#N/A,TRUE,"Comps";"summary3",#N/A,TRUE,"Comps"}</definedName>
    <definedName name="ADFWAE" hidden="1">{"summary1",#N/A,TRUE,"Comps";"summary2",#N/A,TRUE,"Comps";"summary3",#N/A,TRUE,"Comps"}</definedName>
    <definedName name="adgad"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adgad"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ads" localSheetId="0" hidden="1">{"inputs raw data",#N/A,TRUE,"INPUT"}</definedName>
    <definedName name="ads" hidden="1">{"inputs raw data",#N/A,TRUE,"INPUT"}</definedName>
    <definedName name="ADSFA" localSheetId="0" hidden="1">{"inputs raw data",#N/A,TRUE,"INPUT"}</definedName>
    <definedName name="ADSFA" hidden="1">{"inputs raw data",#N/A,TRUE,"INPUT"}</definedName>
    <definedName name="AEWEW" localSheetId="0" hidden="1">{"inputs raw data",#N/A,TRUE,"INPUT"}</definedName>
    <definedName name="AEWEW" hidden="1">{"inputs raw data",#N/A,TRUE,"INPUT"}</definedName>
    <definedName name="all" localSheetId="0" hidden="1">{#N/A,#N/A,FALSE,"CF Consolidated 2";#N/A,#N/A,FALSE,"Retail Assump";#N/A,#N/A,FALSE,"CF Retail";#N/A,#N/A,FALSE,"Garage Assumpt 1";#N/A,#N/A,FALSE,"Garage Op Proj";#N/A,#N/A,FALSE,"Hist I&amp;E";#N/A,#N/A,FALSE,"Rent Roll";#N/A,#N/A,FALSE,"RE Taxes";#N/A,#N/A,FALSE,"CAM - BH";#N/A,#N/A,FALSE,"Comm.Condo CAM"}</definedName>
    <definedName name="all" hidden="1">{#N/A,#N/A,FALSE,"CF Consolidated 2";#N/A,#N/A,FALSE,"Retail Assump";#N/A,#N/A,FALSE,"CF Retail";#N/A,#N/A,FALSE,"Garage Assumpt 1";#N/A,#N/A,FALSE,"Garage Op Proj";#N/A,#N/A,FALSE,"Hist I&amp;E";#N/A,#N/A,FALSE,"Rent Roll";#N/A,#N/A,FALSE,"RE Taxes";#N/A,#N/A,FALSE,"CAM - BH";#N/A,#N/A,FALSE,"Comm.Condo CAM"}</definedName>
    <definedName name="arew" localSheetId="0" hidden="1">{"cap_structure",#N/A,FALSE,"Graph-Mkt Cap";"price",#N/A,FALSE,"Graph-Price";"ebit",#N/A,FALSE,"Graph-EBITDA";"ebitda",#N/A,FALSE,"Graph-EBITDA"}</definedName>
    <definedName name="arew" hidden="1">{"cap_structure",#N/A,FALSE,"Graph-Mkt Cap";"price",#N/A,FALSE,"Graph-Price";"ebit",#N/A,FALSE,"Graph-EBITDA";"ebitda",#N/A,FALSE,"Graph-EBITDA"}</definedName>
    <definedName name="arg" localSheetId="0" hidden="1">{"inputs raw data",#N/A,TRUE,"INPUT"}</definedName>
    <definedName name="arg" hidden="1">{"inputs raw data",#N/A,TRUE,"INPUT"}</definedName>
    <definedName name="as" localSheetId="0" hidden="1">{"Outflow 1",#N/A,FALSE,"Outflows-Inflows";"Outflow 2",#N/A,FALSE,"Outflows-Inflows";"Inflow 1",#N/A,FALSE,"Outflows-Inflows";"Inflow 2",#N/A,FALSE,"Outflows-Inflows"}</definedName>
    <definedName name="as" hidden="1">{"Outflow 1",#N/A,FALSE,"Outflows-Inflows";"Outflow 2",#N/A,FALSE,"Outflows-Inflows";"Inflow 1",#N/A,FALSE,"Outflows-Inflows";"Inflow 2",#N/A,FALSE,"Outflows-Inflows"}</definedName>
    <definedName name="asdfas" localSheetId="0" hidden="1">{"print 1.6",#N/A,FALSE,"Sheet1";"print 2.6",#N/A,FALSE,"Sheet1";"print 3.6",#N/A,FALSE,"Sheet1";"print 4.6",#N/A,FALSE,"Sheet1";"print 5.6",#N/A,FALSE,"Sheet1";"print 6.6",#N/A,FALSE,"Sheet1"}</definedName>
    <definedName name="asdfas" hidden="1">{"print 1.6",#N/A,FALSE,"Sheet1";"print 2.6",#N/A,FALSE,"Sheet1";"print 3.6",#N/A,FALSE,"Sheet1";"print 4.6",#N/A,FALSE,"Sheet1";"print 5.6",#N/A,FALSE,"Sheet1";"print 6.6",#N/A,FALSE,"Sheet1"}</definedName>
    <definedName name="asdfasaa" localSheetId="0" hidden="1">{"print 1.6",#N/A,FALSE,"Sheet1";"print 2.6",#N/A,FALSE,"Sheet1";"print 3.6",#N/A,FALSE,"Sheet1";"print 4.6",#N/A,FALSE,"Sheet1";"print 5.6",#N/A,FALSE,"Sheet1";"print 6.6",#N/A,FALSE,"Sheet1"}</definedName>
    <definedName name="asdfasaa" hidden="1">{"print 1.6",#N/A,FALSE,"Sheet1";"print 2.6",#N/A,FALSE,"Sheet1";"print 3.6",#N/A,FALSE,"Sheet1";"print 4.6",#N/A,FALSE,"Sheet1";"print 5.6",#N/A,FALSE,"Sheet1";"print 6.6",#N/A,FALSE,"Sheet1"}</definedName>
    <definedName name="asdfasd" localSheetId="0" hidden="1">{"cap_structure",#N/A,FALSE,"Graph-Mkt Cap";"price",#N/A,FALSE,"Graph-Price";"ebit",#N/A,FALSE,"Graph-EBITDA";"ebitda",#N/A,FALSE,"Graph-EBITDA"}</definedName>
    <definedName name="asdfasd" hidden="1">{"cap_structure",#N/A,FALSE,"Graph-Mkt Cap";"price",#N/A,FALSE,"Graph-Price";"ebit",#N/A,FALSE,"Graph-EBITDA";"ebitda",#N/A,FALSE,"Graph-EBITDA"}</definedName>
    <definedName name="asdfasdf" localSheetId="0" hidden="1">{"rtn",#N/A,FALSE,"RTN";"tables",#N/A,FALSE,"RTN";"cf",#N/A,FALSE,"CF";"stats",#N/A,FALSE,"Stats";"prop",#N/A,FALSE,"Prop"}</definedName>
    <definedName name="asdfasdf" hidden="1">{"rtn",#N/A,FALSE,"RTN";"tables",#N/A,FALSE,"RTN";"cf",#N/A,FALSE,"CF";"stats",#N/A,FALSE,"Stats";"prop",#N/A,FALSE,"Prop"}</definedName>
    <definedName name="asdfasdfasd" localSheetId="0" hidden="1">{"summary1",#N/A,TRUE,"Comps";"summary2",#N/A,TRUE,"Comps";"summary3",#N/A,TRUE,"Comps"}</definedName>
    <definedName name="asdfasdfasd" hidden="1">{"summary1",#N/A,TRUE,"Comps";"summary2",#N/A,TRUE,"Comps";"summary3",#N/A,TRUE,"Comps"}</definedName>
    <definedName name="asdfg" localSheetId="0" hidden="1">{"rtn",#N/A,FALSE,"RTN";"tables",#N/A,FALSE,"RTN";"cf",#N/A,FALSE,"CF";"stats",#N/A,FALSE,"Stats";"prop",#N/A,FALSE,"Prop"}</definedName>
    <definedName name="asdfg" hidden="1">{"rtn",#N/A,FALSE,"RTN";"tables",#N/A,FALSE,"RTN";"cf",#N/A,FALSE,"CF";"stats",#N/A,FALSE,"Stats";"prop",#N/A,FALSE,"Prop"}</definedName>
    <definedName name="asfdgsdfg" localSheetId="0" hidden="1">{"inputs raw data",#N/A,TRUE,"INPUT"}</definedName>
    <definedName name="asfdgsdfg" hidden="1">{"inputs raw data",#N/A,TRUE,"INPUT"}</definedName>
    <definedName name="ass" localSheetId="0" hidden="1">{"print 1.6",#N/A,FALSE,"Sheet1";"print 2.6",#N/A,FALSE,"Sheet1";"print 3.6",#N/A,FALSE,"Sheet1";"print 4.6",#N/A,FALSE,"Sheet1";"print 5.6",#N/A,FALSE,"Sheet1";"print 6.6",#N/A,FALSE,"Sheet1"}</definedName>
    <definedName name="ass" hidden="1">{"print 1.6",#N/A,FALSE,"Sheet1";"print 2.6",#N/A,FALSE,"Sheet1";"print 3.6",#N/A,FALSE,"Sheet1";"print 4.6",#N/A,FALSE,"Sheet1";"print 5.6",#N/A,FALSE,"Sheet1";"print 6.6",#N/A,FALSE,"Sheet1"}</definedName>
    <definedName name="asss" localSheetId="0" hidden="1">{"rtn",#N/A,FALSE,"RTN";"tables",#N/A,FALSE,"RTN";"cf",#N/A,FALSE,"CF";"stats",#N/A,FALSE,"Stats";"prop",#N/A,FALSE,"Prop"}</definedName>
    <definedName name="asss" hidden="1">{"rtn",#N/A,FALSE,"RTN";"tables",#N/A,FALSE,"RTN";"cf",#N/A,FALSE,"CF";"stats",#N/A,FALSE,"Stats";"prop",#N/A,FALSE,"Prop"}</definedName>
    <definedName name="b" localSheetId="0" hidden="1">{"Assump",#N/A,TRUE,"Proforma";"first",#N/A,TRUE,"Proforma";"second",#N/A,TRUE,"Proforma";"lease1",#N/A,TRUE,"Proforma";"lease2",#N/A,TRUE,"Proforma"}</definedName>
    <definedName name="b" hidden="1">{"Assump",#N/A,TRUE,"Proforma";"first",#N/A,TRUE,"Proforma";"second",#N/A,TRUE,"Proforma";"lease1",#N/A,TRUE,"Proforma";"lease2",#N/A,TRUE,"Proforma"}</definedName>
    <definedName name="BadLink" localSheetId="4" hidden="1">#REF!</definedName>
    <definedName name="BadLink" localSheetId="5" hidden="1">#REF!</definedName>
    <definedName name="BadLink" localSheetId="0" hidden="1">#REF!</definedName>
    <definedName name="BadLink" hidden="1">#REF!</definedName>
    <definedName name="bb" localSheetId="0" hidden="1">{#N/A,#N/A,FALSE,"ExitStratigy"}</definedName>
    <definedName name="bb" hidden="1">{#N/A,#N/A,FALSE,"ExitStratigy"}</definedName>
    <definedName name="bbb" localSheetId="0" hidden="1">{#N/A,#N/A,FALSE,"ExitStratigy"}</definedName>
    <definedName name="bbb" hidden="1">{#N/A,#N/A,FALSE,"ExitStratigy"}</definedName>
    <definedName name="c.LTMYear" localSheetId="4" hidden="1">#REF!</definedName>
    <definedName name="c.LTMYear" localSheetId="5" hidden="1">#REF!</definedName>
    <definedName name="c.LTMYear" localSheetId="0" hidden="1">#REF!</definedName>
    <definedName name="c.LTMYear" hidden="1">#REF!</definedName>
    <definedName name="cc" localSheetId="0" hidden="1">{#N/A,#N/A,FALSE,"LoanAssumptions"}</definedName>
    <definedName name="cc" hidden="1">{#N/A,#N/A,FALSE,"LoanAssumptions"}</definedName>
    <definedName name="ccc" localSheetId="0" hidden="1">{#N/A,#N/A,FALSE,"LoanAssumptions"}</definedName>
    <definedName name="ccc" hidden="1">{#N/A,#N/A,FALSE,"LoanAssumptions"}</definedName>
    <definedName name="COO" localSheetId="0" hidden="1">{#N/A,#N/A,FALSE,"Matrix";#N/A,#N/A,FALSE,"Cash Flow";#N/A,#N/A,FALSE,"10 Year Cost Analysis"}</definedName>
    <definedName name="COO" hidden="1">{#N/A,#N/A,FALSE,"Matrix";#N/A,#N/A,FALSE,"Cash Flow";#N/A,#N/A,FALSE,"10 Year Cost Analysis"}</definedName>
    <definedName name="CreditStats" localSheetId="4" hidden="1">#REF!</definedName>
    <definedName name="CreditStats" localSheetId="5" hidden="1">#REF!</definedName>
    <definedName name="CreditStats" localSheetId="0" hidden="1">#REF!</definedName>
    <definedName name="CreditStats" hidden="1">#REF!</definedName>
    <definedName name="DAFAD" localSheetId="0" hidden="1">{"cap_structure",#N/A,FALSE,"Graph-Mkt Cap";"price",#N/A,FALSE,"Graph-Price";"ebit",#N/A,FALSE,"Graph-EBITDA";"ebitda",#N/A,FALSE,"Graph-EBITDA"}</definedName>
    <definedName name="DAFAD" hidden="1">{"cap_structure",#N/A,FALSE,"Graph-Mkt Cap";"price",#N/A,FALSE,"Graph-Price";"ebit",#N/A,FALSE,"Graph-EBITDA";"ebitda",#N/A,FALSE,"Graph-EBITDA"}</definedName>
    <definedName name="dafgdfg" localSheetId="0" hidden="1">{"inputs raw data",#N/A,TRUE,"INPUT"}</definedName>
    <definedName name="dafgdfg" hidden="1">{"inputs raw data",#N/A,TRUE,"INPUT"}</definedName>
    <definedName name="data" localSheetId="0" hidden="1">{"data",#N/A,FALSE,"INPUT"}</definedName>
    <definedName name="data" hidden="1">{"data",#N/A,FALSE,"INPUT"}</definedName>
    <definedName name="dd" localSheetId="0" hidden="1">{"MonthlyRentRoll",#N/A,FALSE,"RentRoll"}</definedName>
    <definedName name="dd" hidden="1">{"MonthlyRentRoll",#N/A,FALSE,"RentRoll"}</definedName>
    <definedName name="ddd" localSheetId="0" hidden="1">{"MonthlyRentRoll",#N/A,FALSE,"RentRoll"}</definedName>
    <definedName name="ddd" hidden="1">{"MonthlyRentRoll",#N/A,FALSE,"RentRoll"}</definedName>
    <definedName name="dfahgadf"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ahgad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d" localSheetId="0" hidden="1">{"FCB_ALL",#N/A,FALSE,"FCB";"GREY_ALL",#N/A,FALSE,"GREY"}</definedName>
    <definedName name="dfd" hidden="1">{"FCB_ALL",#N/A,FALSE,"FCB";"GREY_ALL",#N/A,FALSE,"GREY"}</definedName>
    <definedName name="dfdas" localSheetId="0" hidden="1">{"FCB_ALL",#N/A,FALSE,"FCB";"GREY_ALL",#N/A,FALSE,"GREY"}</definedName>
    <definedName name="dfdas" hidden="1">{"FCB_ALL",#N/A,FALSE,"FCB";"GREY_ALL",#N/A,FALSE,"GREY"}</definedName>
    <definedName name="dfdfd" localSheetId="0" hidden="1">{"FCB_ALL",#N/A,FALSE,"FCB";"GREY_ALL",#N/A,FALSE,"GREY"}</definedName>
    <definedName name="dfdfd" hidden="1">{"FCB_ALL",#N/A,FALSE,"FCB";"GREY_ALL",#N/A,FALSE,"GREY"}</definedName>
    <definedName name="dfdfdfd" localSheetId="0" hidden="1">{"FCB_ALL",#N/A,FALSE,"FCB"}</definedName>
    <definedName name="dfdfdfd" hidden="1">{"FCB_ALL",#N/A,FALSE,"FCB"}</definedName>
    <definedName name="dfhdfagdf" localSheetId="0" hidden="1">{"cap_structure",#N/A,FALSE,"Graph-Mkt Cap";"price",#N/A,FALSE,"Graph-Price";"ebit",#N/A,FALSE,"Graph-EBITDA";"ebitda",#N/A,FALSE,"Graph-EBITDA"}</definedName>
    <definedName name="dfhdfagdf" hidden="1">{"cap_structure",#N/A,FALSE,"Graph-Mkt Cap";"price",#N/A,FALSE,"Graph-Price";"ebit",#N/A,FALSE,"Graph-EBITDA";"ebitda",#N/A,FALSE,"Graph-EBITDA"}</definedName>
    <definedName name="DHG" localSheetId="0" hidden="1">{"cap_structure",#N/A,FALSE,"Graph-Mkt Cap";"price",#N/A,FALSE,"Graph-Price";"ebit",#N/A,FALSE,"Graph-EBITDA";"ebitda",#N/A,FALSE,"Graph-EBITDA"}</definedName>
    <definedName name="DHG" hidden="1">{"cap_structure",#N/A,FALSE,"Graph-Mkt Cap";"price",#N/A,FALSE,"Graph-Price";"ebit",#N/A,FALSE,"Graph-EBITDA";"ebitda",#N/A,FALSE,"Graph-EBITDA"}</definedName>
    <definedName name="DZ.IndSpec_Left" localSheetId="4" hidden="1">#REF!</definedName>
    <definedName name="DZ.IndSpec_Left" localSheetId="5" hidden="1">#REF!</definedName>
    <definedName name="DZ.IndSpec_Left" localSheetId="0" hidden="1">#REF!</definedName>
    <definedName name="DZ.IndSpec_Left" hidden="1">#REF!</definedName>
    <definedName name="DZ.IndSpec_Right" localSheetId="4" hidden="1">#REF!</definedName>
    <definedName name="DZ.IndSpec_Right" localSheetId="5" hidden="1">#REF!</definedName>
    <definedName name="DZ.IndSpec_Right" localSheetId="0" hidden="1">#REF!</definedName>
    <definedName name="DZ.IndSpec_Right" hidden="1">#REF!</definedName>
    <definedName name="DZ.LTM" localSheetId="4" hidden="1">#REF!</definedName>
    <definedName name="DZ.LTM" localSheetId="5" hidden="1">#REF!</definedName>
    <definedName name="DZ.LTM" localSheetId="0" hidden="1">#REF!</definedName>
    <definedName name="DZ.LTM" hidden="1">#REF!</definedName>
    <definedName name="DZ.LTMPlus" localSheetId="4" hidden="1">#REF!</definedName>
    <definedName name="DZ.LTMPlus" localSheetId="5" hidden="1">#REF!</definedName>
    <definedName name="DZ.LTMPlus" localSheetId="0" hidden="1">#REF!</definedName>
    <definedName name="DZ.LTMPlus" hidden="1">#REF!</definedName>
    <definedName name="earghdfh"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earghdfh"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ee" localSheetId="0" hidden="1">{#N/A,#N/A,FALSE,"OperatingAssumptions"}</definedName>
    <definedName name="ee" hidden="1">{#N/A,#N/A,FALSE,"OperatingAssumptions"}</definedName>
    <definedName name="eee" localSheetId="0" hidden="1">{#N/A,#N/A,FALSE,"OperatingAssumptions"}</definedName>
    <definedName name="eee" hidden="1">{#N/A,#N/A,FALSE,"OperatingAssumptions"}</definedName>
    <definedName name="er"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r"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rtyui" localSheetId="0" hidden="1">{"FCB_ALL",#N/A,FALSE,"FCB";"GREY_ALL",#N/A,FALSE,"GREY"}</definedName>
    <definedName name="ertyui" hidden="1">{"FCB_ALL",#N/A,FALSE,"FCB";"GREY_ALL",#N/A,FALSE,"GREY"}</definedName>
    <definedName name="ev.Calculation" hidden="1">-4135</definedName>
    <definedName name="ev.Initialized" hidden="1">FALSE</definedName>
    <definedName name="EV__LASTREFTIME__" hidden="1">38433.706724537</definedName>
    <definedName name="Exchange_Rates" localSheetId="4" hidden="1">#REF!</definedName>
    <definedName name="Exchange_Rates" localSheetId="5" hidden="1">#REF!</definedName>
    <definedName name="Exchange_Rates" localSheetId="0" hidden="1">#REF!</definedName>
    <definedName name="Exchange_Rates" hidden="1">#REF!</definedName>
    <definedName name="ExRate_Yr1" localSheetId="4" hidden="1">#REF!</definedName>
    <definedName name="ExRate_Yr1" localSheetId="5" hidden="1">#REF!</definedName>
    <definedName name="ExRate_Yr1" localSheetId="0" hidden="1">#REF!</definedName>
    <definedName name="ExRate_Yr1" hidden="1">#REF!</definedName>
    <definedName name="ExRate_Yr2" localSheetId="4" hidden="1">#REF!</definedName>
    <definedName name="ExRate_Yr2" localSheetId="5" hidden="1">#REF!</definedName>
    <definedName name="ExRate_Yr2" localSheetId="0" hidden="1">#REF!</definedName>
    <definedName name="ExRate_Yr2" hidden="1">#REF!</definedName>
    <definedName name="ExRate_Yr3" localSheetId="4" hidden="1">#REF!</definedName>
    <definedName name="ExRate_Yr3" localSheetId="5" hidden="1">#REF!</definedName>
    <definedName name="ExRate_Yr3" localSheetId="0" hidden="1">#REF!</definedName>
    <definedName name="ExRate_Yr3" hidden="1">#REF!</definedName>
    <definedName name="ExRate_Yr4" localSheetId="4" hidden="1">#REF!</definedName>
    <definedName name="ExRate_Yr4" localSheetId="5" hidden="1">#REF!</definedName>
    <definedName name="ExRate_Yr4" localSheetId="0" hidden="1">#REF!</definedName>
    <definedName name="ExRate_Yr4" hidden="1">#REF!</definedName>
    <definedName name="ExRate_Yr5" localSheetId="4" hidden="1">#REF!</definedName>
    <definedName name="ExRate_Yr5" localSheetId="5" hidden="1">#REF!</definedName>
    <definedName name="ExRate_Yr5" localSheetId="0" hidden="1">#REF!</definedName>
    <definedName name="ExRate_Yr5" hidden="1">#REF!</definedName>
    <definedName name="ExRate_Yr6" localSheetId="4" hidden="1">#REF!</definedName>
    <definedName name="ExRate_Yr6" localSheetId="5" hidden="1">#REF!</definedName>
    <definedName name="ExRate_Yr6" localSheetId="0" hidden="1">#REF!</definedName>
    <definedName name="ExRate_Yr6" hidden="1">#REF!</definedName>
    <definedName name="ExRate_Yr7" localSheetId="4" hidden="1">#REF!</definedName>
    <definedName name="ExRate_Yr7" localSheetId="5" hidden="1">#REF!</definedName>
    <definedName name="ExRate_Yr7" localSheetId="0" hidden="1">#REF!</definedName>
    <definedName name="ExRate_Yr7" hidden="1">#REF!</definedName>
    <definedName name="ExRateLTM_Yr1" localSheetId="4" hidden="1">#REF!</definedName>
    <definedName name="ExRateLTM_Yr1" localSheetId="5" hidden="1">#REF!</definedName>
    <definedName name="ExRateLTM_Yr1" localSheetId="0" hidden="1">#REF!</definedName>
    <definedName name="ExRateLTM_Yr1" hidden="1">#REF!</definedName>
    <definedName name="ExRateLTM_Yr2" localSheetId="4" hidden="1">#REF!</definedName>
    <definedName name="ExRateLTM_Yr2" localSheetId="5" hidden="1">#REF!</definedName>
    <definedName name="ExRateLTM_Yr2" localSheetId="0" hidden="1">#REF!</definedName>
    <definedName name="ExRateLTM_Yr2" hidden="1">#REF!</definedName>
    <definedName name="ExRateLTM_Yr3" localSheetId="4" hidden="1">#REF!</definedName>
    <definedName name="ExRateLTM_Yr3" localSheetId="5" hidden="1">#REF!</definedName>
    <definedName name="ExRateLTM_Yr3" localSheetId="0" hidden="1">#REF!</definedName>
    <definedName name="ExRateLTM_Yr3" hidden="1">#REF!</definedName>
    <definedName name="fadsf"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fads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fdgad" localSheetId="0" hidden="1">{"inputs raw data",#N/A,TRUE,"INPUT"}</definedName>
    <definedName name="fdgad" hidden="1">{"inputs raw data",#N/A,TRUE,"INPUT"}</definedName>
    <definedName name="ff" localSheetId="0" hidden="1">{#N/A,#N/A,TRUE,"Summary";"AnnualRentRoll",#N/A,TRUE,"RentRoll";#N/A,#N/A,TRUE,"ExitStratigy";#N/A,#N/A,TRUE,"OperatingAssumptions"}</definedName>
    <definedName name="ff" hidden="1">{#N/A,#N/A,TRUE,"Summary";"AnnualRentRoll",#N/A,TRUE,"RentRoll";#N/A,#N/A,TRUE,"ExitStratigy";#N/A,#N/A,TRUE,"OperatingAssumptions"}</definedName>
    <definedName name="fff" localSheetId="0" hidden="1">{#N/A,#N/A,TRUE,"Summary";"AnnualRentRoll",#N/A,TRUE,"RentRoll";#N/A,#N/A,TRUE,"ExitStratigy";#N/A,#N/A,TRUE,"OperatingAssumptions"}</definedName>
    <definedName name="fff" hidden="1">{#N/A,#N/A,TRUE,"Summary";"AnnualRentRoll",#N/A,TRUE,"RentRoll";#N/A,#N/A,TRUE,"ExitStratigy";#N/A,#N/A,TRUE,"OperatingAssumptions"}</definedName>
    <definedName name="fhg"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fhg"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fhj"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fhj" hidden="1">{TRUE,TRUE,-1.25,-15.5,604.5,369,FALSE,FALSE,TRUE,TRUE,0,1,83,1,38,4,5,4,TRUE,TRUE,3,TRUE,1,TRUE,75,"Swvu.inputs._.raw._.data.","ACwvu.inputs._.raw._.data.",#N/A,FALSE,FALSE,0.5,0.5,0.5,0.5,2,"&amp;F","&amp;A&amp;RPage &amp;P",FALSE,FALSE,FALSE,FALSE,1,60,#N/A,#N/A,"=R1C61:R53C89","=C1:C5",#N/A,#N/A,FALSE,FALSE,FALSE,1,600,600,FALSE,FALSE,TRUE,TRUE,TRUE}</definedName>
    <definedName name="fm" localSheetId="0" hidden="1">{"summary1",#N/A,TRUE,"Comps";"summary2",#N/A,TRUE,"Comps";"summary3",#N/A,TRUE,"Comps"}</definedName>
    <definedName name="fm" hidden="1">{"summary1",#N/A,TRUE,"Comps";"summary2",#N/A,TRUE,"Comps";"summary3",#N/A,TRUE,"Comps"}</definedName>
    <definedName name="fuckface" localSheetId="0" hidden="1">{#N/A,#N/A,FALSE,"Assumptions";#N/A,#N/A,FALSE,"Impact Assumptions";#N/A,#N/A,FALSE,"10-Yr - detail";#N/A,#N/A,FALSE,"1,5,10 yr comp";#N/A,#N/A,FALSE,"Lse-Exp.";#N/A,#N/A,FALSE,"Rent Roll";#N/A,#N/A,FALSE,"Historical (2)";#N/A,#N/A,FALSE,"RET's";#N/A,#N/A,FALSE,"Lease Rollover"}</definedName>
    <definedName name="fuckface" hidden="1">{#N/A,#N/A,FALSE,"Assumptions";#N/A,#N/A,FALSE,"Impact Assumptions";#N/A,#N/A,FALSE,"10-Yr - detail";#N/A,#N/A,FALSE,"1,5,10 yr comp";#N/A,#N/A,FALSE,"Lse-Exp.";#N/A,#N/A,FALSE,"Rent Roll";#N/A,#N/A,FALSE,"Historical (2)";#N/A,#N/A,FALSE,"RET's";#N/A,#N/A,FALSE,"Lease Rollover"}</definedName>
    <definedName name="gfhs" localSheetId="0" hidden="1">{"summary1",#N/A,TRUE,"Comps";"summary2",#N/A,TRUE,"Comps";"summary3",#N/A,TRUE,"Comps"}</definedName>
    <definedName name="gfhs" hidden="1">{"summary1",#N/A,TRUE,"Comps";"summary2",#N/A,TRUE,"Comps";"summary3",#N/A,TRUE,"Comps"}</definedName>
    <definedName name="gg" localSheetId="0" hidden="1">{#N/A,#N/A,FALSE,"PropertyInfo"}</definedName>
    <definedName name="gg" hidden="1">{#N/A,#N/A,FALSE,"PropertyInfo"}</definedName>
    <definedName name="ggg" localSheetId="0" hidden="1">{#N/A,#N/A,FALSE,"PropertyInfo"}</definedName>
    <definedName name="ggg" hidden="1">{#N/A,#N/A,FALSE,"PropertyInfo"}</definedName>
    <definedName name="gh" localSheetId="0" hidden="1">{"FCB_ALL",#N/A,FALSE,"FCB";"GREY_ALL",#N/A,FALSE,"GREY"}</definedName>
    <definedName name="gh" hidden="1">{"FCB_ALL",#N/A,FALSE,"FCB";"GREY_ALL",#N/A,FALSE,"GREY"}</definedName>
    <definedName name="GKUY"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GKUY"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HD"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HD" hidden="1">{TRUE,TRUE,-1.25,-15.5,604.5,369,FALSE,FALSE,TRUE,TRUE,0,1,83,1,38,4,5,4,TRUE,TRUE,3,TRUE,1,TRUE,75,"Swvu.inputs._.raw._.data.","ACwvu.inputs._.raw._.data.",#N/A,FALSE,FALSE,0.5,0.5,0.5,0.5,2,"&amp;F","&amp;A&amp;RPage &amp;P",FALSE,FALSE,FALSE,FALSE,1,60,#N/A,#N/A,"=R1C61:R53C89","=C1:C5",#N/A,#N/A,FALSE,FALSE,FALSE,1,600,600,FALSE,FALSE,TRUE,TRUE,TRUE}</definedName>
    <definedName name="hh" localSheetId="0" hidden="1">{#N/A,#N/A,FALSE,"Summary"}</definedName>
    <definedName name="hh" hidden="1">{#N/A,#N/A,FALSE,"Summary"}</definedName>
    <definedName name="hhh" localSheetId="0" hidden="1">{#N/A,#N/A,FALSE,"Summary"}</definedName>
    <definedName name="hhh" hidden="1">{#N/A,#N/A,FALSE,"Summary"}</definedName>
    <definedName name="hjf"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hj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hn._I006" localSheetId="4" hidden="1">#REF!</definedName>
    <definedName name="hn._I006" localSheetId="5" hidden="1">#REF!</definedName>
    <definedName name="hn._I006" localSheetId="0" hidden="1">#REF!</definedName>
    <definedName name="hn._I006" hidden="1">#REF!</definedName>
    <definedName name="hn._I018" localSheetId="4" hidden="1">#REF!</definedName>
    <definedName name="hn._I018" localSheetId="5" hidden="1">#REF!</definedName>
    <definedName name="hn._I018" localSheetId="0" hidden="1">#REF!</definedName>
    <definedName name="hn._I018" hidden="1">#REF!</definedName>
    <definedName name="hn._I024" localSheetId="4" hidden="1">#REF!</definedName>
    <definedName name="hn._I024" localSheetId="5" hidden="1">#REF!</definedName>
    <definedName name="hn._I024" localSheetId="0" hidden="1">#REF!</definedName>
    <definedName name="hn._I024" hidden="1">#REF!</definedName>
    <definedName name="hn._I028" localSheetId="4" hidden="1">#REF!</definedName>
    <definedName name="hn._I028" localSheetId="5" hidden="1">#REF!</definedName>
    <definedName name="hn._I028" localSheetId="0" hidden="1">#REF!</definedName>
    <definedName name="hn._I028" hidden="1">#REF!</definedName>
    <definedName name="hn._I029" localSheetId="4" hidden="1">#REF!</definedName>
    <definedName name="hn._I029" localSheetId="5" hidden="1">#REF!</definedName>
    <definedName name="hn._I029" localSheetId="0" hidden="1">#REF!</definedName>
    <definedName name="hn._I029" hidden="1">#REF!</definedName>
    <definedName name="hn._I030" localSheetId="4" hidden="1">#REF!</definedName>
    <definedName name="hn._I030" localSheetId="5" hidden="1">#REF!</definedName>
    <definedName name="hn._I030" localSheetId="0" hidden="1">#REF!</definedName>
    <definedName name="hn._I030" hidden="1">#REF!</definedName>
    <definedName name="hn._I031" localSheetId="4" hidden="1">#REF!</definedName>
    <definedName name="hn._I031" localSheetId="5" hidden="1">#REF!</definedName>
    <definedName name="hn._I031" localSheetId="0" hidden="1">#REF!</definedName>
    <definedName name="hn._I031" hidden="1">#REF!</definedName>
    <definedName name="hn._I044" localSheetId="4" hidden="1">#REF!</definedName>
    <definedName name="hn._I044" localSheetId="5" hidden="1">#REF!</definedName>
    <definedName name="hn._I044" localSheetId="0" hidden="1">#REF!</definedName>
    <definedName name="hn._I044" hidden="1">#REF!</definedName>
    <definedName name="hn._I051" localSheetId="4" hidden="1">#REF!</definedName>
    <definedName name="hn._I051" localSheetId="5" hidden="1">#REF!</definedName>
    <definedName name="hn._I051" localSheetId="0" hidden="1">#REF!</definedName>
    <definedName name="hn._I051" hidden="1">#REF!</definedName>
    <definedName name="hn._I059" localSheetId="4" hidden="1">#REF!</definedName>
    <definedName name="hn._I059" localSheetId="5" hidden="1">#REF!</definedName>
    <definedName name="hn._I059" localSheetId="0" hidden="1">#REF!</definedName>
    <definedName name="hn._I059" hidden="1">#REF!</definedName>
    <definedName name="hn._I062" localSheetId="4" hidden="1">#REF!</definedName>
    <definedName name="hn._I062" localSheetId="5" hidden="1">#REF!</definedName>
    <definedName name="hn._I062" localSheetId="0" hidden="1">#REF!</definedName>
    <definedName name="hn._I062" hidden="1">#REF!</definedName>
    <definedName name="hn._I070" localSheetId="4" hidden="1">#REF!</definedName>
    <definedName name="hn._I070" localSheetId="5" hidden="1">#REF!</definedName>
    <definedName name="hn._I070" localSheetId="0" hidden="1">#REF!</definedName>
    <definedName name="hn._I070" hidden="1">#REF!</definedName>
    <definedName name="hn._I071" localSheetId="4" hidden="1">#REF!</definedName>
    <definedName name="hn._I071" localSheetId="5" hidden="1">#REF!</definedName>
    <definedName name="hn._I071" localSheetId="0" hidden="1">#REF!</definedName>
    <definedName name="hn._I071" hidden="1">#REF!</definedName>
    <definedName name="hn._I075" localSheetId="4" hidden="1">#REF!</definedName>
    <definedName name="hn._I075" localSheetId="5" hidden="1">#REF!</definedName>
    <definedName name="hn._I075" localSheetId="0" hidden="1">#REF!</definedName>
    <definedName name="hn._I075" hidden="1">#REF!</definedName>
    <definedName name="hn._I077" localSheetId="4" hidden="1">#REF!</definedName>
    <definedName name="hn._I077" localSheetId="5" hidden="1">#REF!</definedName>
    <definedName name="hn._I077" localSheetId="0" hidden="1">#REF!</definedName>
    <definedName name="hn._I077" hidden="1">#REF!</definedName>
    <definedName name="hn._I083" localSheetId="4" hidden="1">#REF!</definedName>
    <definedName name="hn._I083" localSheetId="5" hidden="1">#REF!</definedName>
    <definedName name="hn._I083" localSheetId="0" hidden="1">#REF!</definedName>
    <definedName name="hn._I083" hidden="1">#REF!</definedName>
    <definedName name="hn._I085" localSheetId="4" hidden="1">#REF!</definedName>
    <definedName name="hn._I085" localSheetId="5" hidden="1">#REF!</definedName>
    <definedName name="hn._I085" localSheetId="0" hidden="1">#REF!</definedName>
    <definedName name="hn._I085" hidden="1">#REF!</definedName>
    <definedName name="hn._P001" localSheetId="4" hidden="1">#REF!</definedName>
    <definedName name="hn._P001" localSheetId="5" hidden="1">#REF!</definedName>
    <definedName name="hn._P001" localSheetId="0" hidden="1">#REF!</definedName>
    <definedName name="hn._P001" hidden="1">#REF!</definedName>
    <definedName name="hn._P002" localSheetId="4" hidden="1">#REF!</definedName>
    <definedName name="hn._P002" localSheetId="5" hidden="1">#REF!</definedName>
    <definedName name="hn._P002" localSheetId="0" hidden="1">#REF!</definedName>
    <definedName name="hn._P002" hidden="1">#REF!</definedName>
    <definedName name="hn._P004" localSheetId="4" hidden="1">#REF!</definedName>
    <definedName name="hn._P004" localSheetId="5" hidden="1">#REF!</definedName>
    <definedName name="hn._P004" localSheetId="0" hidden="1">#REF!</definedName>
    <definedName name="hn._P004" hidden="1">#REF!</definedName>
    <definedName name="hn._P014" localSheetId="4" hidden="1">#REF!</definedName>
    <definedName name="hn._P014" localSheetId="5" hidden="1">#REF!</definedName>
    <definedName name="hn._P014" localSheetId="0" hidden="1">#REF!</definedName>
    <definedName name="hn._P014" hidden="1">#REF!</definedName>
    <definedName name="hn._P016" localSheetId="4" hidden="1">#REF!</definedName>
    <definedName name="hn._P016" localSheetId="5" hidden="1">#REF!</definedName>
    <definedName name="hn._P016" localSheetId="0" hidden="1">#REF!</definedName>
    <definedName name="hn._P016" hidden="1">#REF!</definedName>
    <definedName name="hn._P017" localSheetId="4" hidden="1">#REF!</definedName>
    <definedName name="hn._P017" localSheetId="5" hidden="1">#REF!</definedName>
    <definedName name="hn._P017" localSheetId="0" hidden="1">#REF!</definedName>
    <definedName name="hn._P017" hidden="1">#REF!</definedName>
    <definedName name="hn._P017g" localSheetId="4" hidden="1">#REF!</definedName>
    <definedName name="hn._P017g" localSheetId="5" hidden="1">#REF!</definedName>
    <definedName name="hn._P017g" localSheetId="0" hidden="1">#REF!</definedName>
    <definedName name="hn._P017g" hidden="1">#REF!</definedName>
    <definedName name="hn._P021" localSheetId="4" hidden="1">#REF!</definedName>
    <definedName name="hn._P021" localSheetId="5" hidden="1">#REF!</definedName>
    <definedName name="hn._P021" localSheetId="0" hidden="1">#REF!</definedName>
    <definedName name="hn._P021" hidden="1">#REF!</definedName>
    <definedName name="hn._P024" localSheetId="4" hidden="1">#REF!</definedName>
    <definedName name="hn._P024" localSheetId="5" hidden="1">#REF!</definedName>
    <definedName name="hn._P024" localSheetId="0" hidden="1">#REF!</definedName>
    <definedName name="hn._P024" hidden="1">#REF!</definedName>
    <definedName name="hn.Add015" localSheetId="4" hidden="1">#REF!</definedName>
    <definedName name="hn.Add015" localSheetId="5" hidden="1">#REF!</definedName>
    <definedName name="hn.Add015" localSheetId="0" hidden="1">#REF!</definedName>
    <definedName name="hn.Add015" hidden="1">#REF!</definedName>
    <definedName name="hn.ConvertVal1" localSheetId="4" hidden="1">#REF!</definedName>
    <definedName name="hn.ConvertVal1" localSheetId="5" hidden="1">#REF!</definedName>
    <definedName name="hn.ConvertVal1" localSheetId="0" hidden="1">#REF!</definedName>
    <definedName name="hn.ConvertVal1" hidden="1">#REF!</definedName>
    <definedName name="hn.ConvertZero1" localSheetId="4" hidden="1">#REF!,#REF!,#REF!,#REF!,#REF!,#REF!,#REF!,#REF!,#REF!,#REF!</definedName>
    <definedName name="hn.ConvertZero1" localSheetId="5" hidden="1">#REF!,#REF!,#REF!,#REF!,#REF!,#REF!,#REF!,#REF!,#REF!,#REF!</definedName>
    <definedName name="hn.ConvertZero1" localSheetId="0" hidden="1">#REF!,#REF!,#REF!,#REF!,#REF!,#REF!,#REF!,#REF!,#REF!,#REF!</definedName>
    <definedName name="hn.ConvertZero1" hidden="1">#REF!,#REF!,#REF!,#REF!,#REF!,#REF!,#REF!,#REF!,#REF!,#REF!</definedName>
    <definedName name="hn.ConvertZero2" localSheetId="4" hidden="1">#REF!,#REF!,#REF!,#REF!,#REF!,#REF!,#REF!,#REF!</definedName>
    <definedName name="hn.ConvertZero2" localSheetId="5" hidden="1">#REF!,#REF!,#REF!,#REF!,#REF!,#REF!,#REF!,#REF!</definedName>
    <definedName name="hn.ConvertZero2" localSheetId="0" hidden="1">#REF!,#REF!,#REF!,#REF!,#REF!,#REF!,#REF!,#REF!</definedName>
    <definedName name="hn.ConvertZero2" hidden="1">#REF!,#REF!,#REF!,#REF!,#REF!,#REF!,#REF!,#REF!</definedName>
    <definedName name="hn.ConvertZero3" localSheetId="4" hidden="1">#REF!,#REF!,#REF!,#REF!,#REF!</definedName>
    <definedName name="hn.ConvertZero3" localSheetId="5" hidden="1">#REF!,#REF!,#REF!,#REF!,#REF!</definedName>
    <definedName name="hn.ConvertZero3" localSheetId="0" hidden="1">#REF!,#REF!,#REF!,#REF!,#REF!</definedName>
    <definedName name="hn.ConvertZero3" hidden="1">#REF!,#REF!,#REF!,#REF!,#REF!</definedName>
    <definedName name="hn.ConvertZero4" localSheetId="4" hidden="1">#REF!,#REF!,#REF!,#REF!,#REF!,#REF!,#REF!,#REF!</definedName>
    <definedName name="hn.ConvertZero4" localSheetId="5" hidden="1">#REF!,#REF!,#REF!,#REF!,#REF!,#REF!,#REF!,#REF!</definedName>
    <definedName name="hn.ConvertZero4" localSheetId="0" hidden="1">#REF!,#REF!,#REF!,#REF!,#REF!,#REF!,#REF!,#REF!</definedName>
    <definedName name="hn.ConvertZero4" hidden="1">#REF!,#REF!,#REF!,#REF!,#REF!,#REF!,#REF!,#REF!</definedName>
    <definedName name="hn.ConvertZeroUnhide1" localSheetId="4" hidden="1">#REF!,#REF!,#REF!</definedName>
    <definedName name="hn.ConvertZeroUnhide1" localSheetId="5" hidden="1">#REF!,#REF!,#REF!</definedName>
    <definedName name="hn.ConvertZeroUnhide1" localSheetId="0" hidden="1">#REF!,#REF!,#REF!</definedName>
    <definedName name="hn.ConvertZeroUnhide1" hidden="1">#REF!,#REF!,#REF!</definedName>
    <definedName name="hn.CopyforPR" localSheetId="4" hidden="1">#REF!</definedName>
    <definedName name="hn.CopyforPR" localSheetId="5" hidden="1">#REF!</definedName>
    <definedName name="hn.CopyforPR" localSheetId="0" hidden="1">#REF!</definedName>
    <definedName name="hn.CopyforPR" hidden="1">#REF!</definedName>
    <definedName name="hn.Delete015" localSheetId="4" hidden="1">#REF!,#REF!,#REF!,#REF!</definedName>
    <definedName name="hn.Delete015" localSheetId="5" hidden="1">#REF!,#REF!,#REF!,#REF!</definedName>
    <definedName name="hn.Delete015" localSheetId="0" hidden="1">#REF!,#REF!,#REF!,#REF!</definedName>
    <definedName name="hn.Delete015" hidden="1">#REF!,#REF!,#REF!,#REF!</definedName>
    <definedName name="hn.domestic" localSheetId="4" hidden="1">#REF!</definedName>
    <definedName name="hn.domestic" localSheetId="5" hidden="1">#REF!</definedName>
    <definedName name="hn.domestic" localSheetId="0" hidden="1">#REF!</definedName>
    <definedName name="hn.domestic" hidden="1">#REF!</definedName>
    <definedName name="hn.DZ_MultByFXRates" hidden="1">[3]DropZone!$B$2:$I$118,[3]DropZone!$B$120:$I$132,[3]DropZone!$B$134:$I$136,[3]DropZone!$B$138:$I$146</definedName>
    <definedName name="hn.ExtDb" hidden="1">FALSE</definedName>
    <definedName name="hn.FromMain" localSheetId="4" hidden="1">#REF!</definedName>
    <definedName name="hn.FromMain" localSheetId="5" hidden="1">#REF!</definedName>
    <definedName name="hn.FromMain" localSheetId="0" hidden="1">#REF!</definedName>
    <definedName name="hn.FromMain" hidden="1">#REF!</definedName>
    <definedName name="hn.FromMain1" localSheetId="4" hidden="1">#REF!</definedName>
    <definedName name="hn.FromMain1" localSheetId="5" hidden="1">#REF!</definedName>
    <definedName name="hn.FromMain1" localSheetId="0" hidden="1">#REF!</definedName>
    <definedName name="hn.FromMain1" hidden="1">#REF!</definedName>
    <definedName name="hn.FromMain2" localSheetId="4" hidden="1">#REF!</definedName>
    <definedName name="hn.FromMain2" localSheetId="5" hidden="1">#REF!</definedName>
    <definedName name="hn.FromMain2" localSheetId="0" hidden="1">#REF!</definedName>
    <definedName name="hn.FromMain2" hidden="1">#REF!</definedName>
    <definedName name="hn.FromMain3" localSheetId="4" hidden="1">#REF!</definedName>
    <definedName name="hn.FromMain3" localSheetId="5" hidden="1">#REF!</definedName>
    <definedName name="hn.FromMain3" localSheetId="0" hidden="1">#REF!</definedName>
    <definedName name="hn.FromMain3" hidden="1">#REF!</definedName>
    <definedName name="hn.FromMain4" localSheetId="4" hidden="1">#REF!</definedName>
    <definedName name="hn.FromMain4" localSheetId="5" hidden="1">#REF!</definedName>
    <definedName name="hn.FromMain4" localSheetId="0" hidden="1">#REF!</definedName>
    <definedName name="hn.FromMain4" hidden="1">#REF!</definedName>
    <definedName name="hn.FromMain5" localSheetId="4" hidden="1">#REF!</definedName>
    <definedName name="hn.FromMain5" localSheetId="5" hidden="1">#REF!</definedName>
    <definedName name="hn.FromMain5" localSheetId="0" hidden="1">#REF!</definedName>
    <definedName name="hn.FromMain5" hidden="1">#REF!</definedName>
    <definedName name="hn.Global" localSheetId="4" hidden="1">#REF!</definedName>
    <definedName name="hn.Global" localSheetId="5" hidden="1">#REF!</definedName>
    <definedName name="hn.Global" localSheetId="0" hidden="1">#REF!</definedName>
    <definedName name="hn.Global" hidden="1">#REF!</definedName>
    <definedName name="hn.LTM_MultByFXRates" localSheetId="4" hidden="1">#REF!,#REF!,#REF!,#REF!,#REF!,#REF!,#REF!</definedName>
    <definedName name="hn.LTM_MultByFXRates" localSheetId="5" hidden="1">#REF!,#REF!,#REF!,#REF!,#REF!,#REF!,#REF!</definedName>
    <definedName name="hn.LTM_MultByFXRates" localSheetId="0" hidden="1">#REF!,#REF!,#REF!,#REF!,#REF!,#REF!,#REF!</definedName>
    <definedName name="hn.LTM_MultByFXRates" hidden="1">#REF!,#REF!,#REF!,#REF!,#REF!,#REF!,#REF!</definedName>
    <definedName name="hn.LTMData" localSheetId="4" hidden="1">#REF!</definedName>
    <definedName name="hn.LTMData" localSheetId="5" hidden="1">#REF!</definedName>
    <definedName name="hn.LTMData" localSheetId="0" hidden="1">#REF!</definedName>
    <definedName name="hn.LTMData" hidden="1">#REF!</definedName>
    <definedName name="hn.ModelType" hidden="1">"DEAL"</definedName>
    <definedName name="hn.ModelVersion" hidden="1">1</definedName>
    <definedName name="hn.MultbyFXRates" localSheetId="4" hidden="1">#REF!,#REF!,#REF!,#REF!,#REF!,#REF!,#REF!</definedName>
    <definedName name="hn.MultbyFXRates" localSheetId="5" hidden="1">#REF!,#REF!,#REF!,#REF!,#REF!,#REF!,#REF!</definedName>
    <definedName name="hn.MultbyFXRates" localSheetId="0" hidden="1">#REF!,#REF!,#REF!,#REF!,#REF!,#REF!,#REF!</definedName>
    <definedName name="hn.MultbyFXRates" hidden="1">#REF!,#REF!,#REF!,#REF!,#REF!,#REF!,#REF!</definedName>
    <definedName name="hn.MultByFXRates1" localSheetId="4" hidden="1">#REF!,#REF!,#REF!,#REF!,#REF!</definedName>
    <definedName name="hn.MultByFXRates1" localSheetId="5" hidden="1">#REF!,#REF!,#REF!,#REF!,#REF!</definedName>
    <definedName name="hn.MultByFXRates1" localSheetId="0" hidden="1">#REF!,#REF!,#REF!,#REF!,#REF!</definedName>
    <definedName name="hn.MultByFXRates1" hidden="1">#REF!,#REF!,#REF!,#REF!,#REF!</definedName>
    <definedName name="hn.MultByFXRates2" localSheetId="4" hidden="1">#REF!,#REF!,#REF!,#REF!,#REF!</definedName>
    <definedName name="hn.MultByFXRates2" localSheetId="5" hidden="1">#REF!,#REF!,#REF!,#REF!,#REF!</definedName>
    <definedName name="hn.MultByFXRates2" localSheetId="0" hidden="1">#REF!,#REF!,#REF!,#REF!,#REF!</definedName>
    <definedName name="hn.MultByFXRates2" hidden="1">#REF!,#REF!,#REF!,#REF!,#REF!</definedName>
    <definedName name="hn.MultByFXRates3" localSheetId="4" hidden="1">#REF!,#REF!,#REF!,#REF!,#REF!</definedName>
    <definedName name="hn.MultByFXRates3" localSheetId="5" hidden="1">#REF!,#REF!,#REF!,#REF!,#REF!</definedName>
    <definedName name="hn.MultByFXRates3" localSheetId="0" hidden="1">#REF!,#REF!,#REF!,#REF!,#REF!</definedName>
    <definedName name="hn.MultByFXRates3" hidden="1">#REF!,#REF!,#REF!,#REF!,#REF!</definedName>
    <definedName name="hn.MultbyFxrates4" localSheetId="4" hidden="1">#REF!,#REF!,#REF!,#REF!,#REF!,#REF!,#REF!</definedName>
    <definedName name="hn.MultbyFxrates4" localSheetId="5" hidden="1">#REF!,#REF!,#REF!,#REF!,#REF!,#REF!,#REF!</definedName>
    <definedName name="hn.MultbyFxrates4" localSheetId="0" hidden="1">#REF!,#REF!,#REF!,#REF!,#REF!,#REF!,#REF!</definedName>
    <definedName name="hn.MultbyFxrates4" hidden="1">#REF!,#REF!,#REF!,#REF!,#REF!,#REF!,#REF!</definedName>
    <definedName name="hn.multbyfxrates5" localSheetId="4" hidden="1">#REF!,#REF!,#REF!,#REF!,#REF!</definedName>
    <definedName name="hn.multbyfxrates5" localSheetId="5" hidden="1">#REF!,#REF!,#REF!,#REF!,#REF!</definedName>
    <definedName name="hn.multbyfxrates5" localSheetId="0" hidden="1">#REF!,#REF!,#REF!,#REF!,#REF!</definedName>
    <definedName name="hn.multbyfxrates5" hidden="1">#REF!,#REF!,#REF!,#REF!,#REF!</definedName>
    <definedName name="hn.multbyfxrates6" localSheetId="4" hidden="1">#REF!,#REF!,#REF!,#REF!,#REF!</definedName>
    <definedName name="hn.multbyfxrates6" localSheetId="5" hidden="1">#REF!,#REF!,#REF!,#REF!,#REF!</definedName>
    <definedName name="hn.multbyfxrates6" localSheetId="0" hidden="1">#REF!,#REF!,#REF!,#REF!,#REF!</definedName>
    <definedName name="hn.multbyfxrates6" hidden="1">#REF!,#REF!,#REF!,#REF!,#REF!</definedName>
    <definedName name="hn.multbyfxrates7" localSheetId="4" hidden="1">#REF!,#REF!,#REF!,#REF!,#REF!</definedName>
    <definedName name="hn.multbyfxrates7" localSheetId="5" hidden="1">#REF!,#REF!,#REF!,#REF!,#REF!</definedName>
    <definedName name="hn.multbyfxrates7" localSheetId="0" hidden="1">#REF!,#REF!,#REF!,#REF!,#REF!</definedName>
    <definedName name="hn.multbyfxrates7" hidden="1">#REF!,#REF!,#REF!,#REF!,#REF!</definedName>
    <definedName name="hn.MultByFXRatesBot1" localSheetId="4" hidden="1">#REF!,#REF!,#REF!,#REF!,#REF!,#REF!,#REF!,#REF!,#REF!,#REF!,#REF!,#REF!</definedName>
    <definedName name="hn.MultByFXRatesBot1" localSheetId="5" hidden="1">#REF!,#REF!,#REF!,#REF!,#REF!,#REF!,#REF!,#REF!,#REF!,#REF!,#REF!,#REF!</definedName>
    <definedName name="hn.MultByFXRatesBot1" localSheetId="0" hidden="1">#REF!,#REF!,#REF!,#REF!,#REF!,#REF!,#REF!,#REF!,#REF!,#REF!,#REF!,#REF!</definedName>
    <definedName name="hn.MultByFXRatesBot1" hidden="1">#REF!,#REF!,#REF!,#REF!,#REF!,#REF!,#REF!,#REF!,#REF!,#REF!,#REF!,#REF!</definedName>
    <definedName name="hn.MultByFXRatesBot2" localSheetId="4" hidden="1">#REF!,#REF!,#REF!,#REF!,#REF!,#REF!,#REF!,#REF!,#REF!,#REF!,#REF!,#REF!</definedName>
    <definedName name="hn.MultByFXRatesBot2" localSheetId="5" hidden="1">#REF!,#REF!,#REF!,#REF!,#REF!,#REF!,#REF!,#REF!,#REF!,#REF!,#REF!,#REF!</definedName>
    <definedName name="hn.MultByFXRatesBot2" localSheetId="0" hidden="1">#REF!,#REF!,#REF!,#REF!,#REF!,#REF!,#REF!,#REF!,#REF!,#REF!,#REF!,#REF!</definedName>
    <definedName name="hn.MultByFXRatesBot2" hidden="1">#REF!,#REF!,#REF!,#REF!,#REF!,#REF!,#REF!,#REF!,#REF!,#REF!,#REF!,#REF!</definedName>
    <definedName name="hn.MultByFXRatesBot3" localSheetId="4" hidden="1">#REF!,#REF!,#REF!,#REF!,#REF!,#REF!,#REF!,#REF!,#REF!,#REF!,#REF!,#REF!</definedName>
    <definedName name="hn.MultByFXRatesBot3" localSheetId="5" hidden="1">#REF!,#REF!,#REF!,#REF!,#REF!,#REF!,#REF!,#REF!,#REF!,#REF!,#REF!,#REF!</definedName>
    <definedName name="hn.MultByFXRatesBot3" localSheetId="0" hidden="1">#REF!,#REF!,#REF!,#REF!,#REF!,#REF!,#REF!,#REF!,#REF!,#REF!,#REF!,#REF!</definedName>
    <definedName name="hn.MultByFXRatesBot3" hidden="1">#REF!,#REF!,#REF!,#REF!,#REF!,#REF!,#REF!,#REF!,#REF!,#REF!,#REF!,#REF!</definedName>
    <definedName name="hn.MultByFXRatesBot4" localSheetId="4" hidden="1">#REF!,#REF!,#REF!,#REF!,#REF!,#REF!,#REF!,#REF!,#REF!,#REF!,#REF!,#REF!,#REF!</definedName>
    <definedName name="hn.MultByFXRatesBot4" localSheetId="5" hidden="1">#REF!,#REF!,#REF!,#REF!,#REF!,#REF!,#REF!,#REF!,#REF!,#REF!,#REF!,#REF!,#REF!</definedName>
    <definedName name="hn.MultByFXRatesBot4" localSheetId="0" hidden="1">#REF!,#REF!,#REF!,#REF!,#REF!,#REF!,#REF!,#REF!,#REF!,#REF!,#REF!,#REF!,#REF!</definedName>
    <definedName name="hn.MultByFXRatesBot4" hidden="1">#REF!,#REF!,#REF!,#REF!,#REF!,#REF!,#REF!,#REF!,#REF!,#REF!,#REF!,#REF!,#REF!</definedName>
    <definedName name="hn.MultByFXRatesBot5" localSheetId="4" hidden="1">#REF!,#REF!,#REF!,#REF!,#REF!,#REF!,#REF!,#REF!,#REF!,#REF!,#REF!</definedName>
    <definedName name="hn.MultByFXRatesBot5" localSheetId="5" hidden="1">#REF!,#REF!,#REF!,#REF!,#REF!,#REF!,#REF!,#REF!,#REF!,#REF!,#REF!</definedName>
    <definedName name="hn.MultByFXRatesBot5" localSheetId="0" hidden="1">#REF!,#REF!,#REF!,#REF!,#REF!,#REF!,#REF!,#REF!,#REF!,#REF!,#REF!</definedName>
    <definedName name="hn.MultByFXRatesBot5" hidden="1">#REF!,#REF!,#REF!,#REF!,#REF!,#REF!,#REF!,#REF!,#REF!,#REF!,#REF!</definedName>
    <definedName name="hn.MultByFXRatesBot6" localSheetId="4" hidden="1">#REF!,#REF!,#REF!,#REF!,#REF!,#REF!,#REF!,#REF!,#REF!,#REF!,#REF!</definedName>
    <definedName name="hn.MultByFXRatesBot6" localSheetId="5" hidden="1">#REF!,#REF!,#REF!,#REF!,#REF!,#REF!,#REF!,#REF!,#REF!,#REF!,#REF!</definedName>
    <definedName name="hn.MultByFXRatesBot6" localSheetId="0" hidden="1">#REF!,#REF!,#REF!,#REF!,#REF!,#REF!,#REF!,#REF!,#REF!,#REF!,#REF!</definedName>
    <definedName name="hn.MultByFXRatesBot6" hidden="1">#REF!,#REF!,#REF!,#REF!,#REF!,#REF!,#REF!,#REF!,#REF!,#REF!,#REF!</definedName>
    <definedName name="hn.MultByFXRatesBot7" localSheetId="4" hidden="1">#REF!,#REF!,#REF!,#REF!,#REF!,#REF!,#REF!,#REF!,#REF!,#REF!,#REF!</definedName>
    <definedName name="hn.MultByFXRatesBot7" localSheetId="5" hidden="1">#REF!,#REF!,#REF!,#REF!,#REF!,#REF!,#REF!,#REF!,#REF!,#REF!,#REF!</definedName>
    <definedName name="hn.MultByFXRatesBot7" localSheetId="0" hidden="1">#REF!,#REF!,#REF!,#REF!,#REF!,#REF!,#REF!,#REF!,#REF!,#REF!,#REF!</definedName>
    <definedName name="hn.MultByFXRatesBot7" hidden="1">#REF!,#REF!,#REF!,#REF!,#REF!,#REF!,#REF!,#REF!,#REF!,#REF!,#REF!</definedName>
    <definedName name="hn.MultByFXRatesTop1" localSheetId="4" hidden="1">#REF!,#REF!,#REF!,#REF!,#REF!,#REF!,#REF!,#REF!,#REF!,#REF!,#REF!,#REF!</definedName>
    <definedName name="hn.MultByFXRatesTop1" localSheetId="5" hidden="1">#REF!,#REF!,#REF!,#REF!,#REF!,#REF!,#REF!,#REF!,#REF!,#REF!,#REF!,#REF!</definedName>
    <definedName name="hn.MultByFXRatesTop1" localSheetId="0" hidden="1">#REF!,#REF!,#REF!,#REF!,#REF!,#REF!,#REF!,#REF!,#REF!,#REF!,#REF!,#REF!</definedName>
    <definedName name="hn.MultByFXRatesTop1" hidden="1">#REF!,#REF!,#REF!,#REF!,#REF!,#REF!,#REF!,#REF!,#REF!,#REF!,#REF!,#REF!</definedName>
    <definedName name="hn.MultByFXRatesTop2" localSheetId="4" hidden="1">#REF!,#REF!,#REF!,#REF!,#REF!,#REF!,#REF!,#REF!,#REF!,#REF!,#REF!,#REF!,#REF!,#REF!,#REF!</definedName>
    <definedName name="hn.MultByFXRatesTop2" localSheetId="5" hidden="1">#REF!,#REF!,#REF!,#REF!,#REF!,#REF!,#REF!,#REF!,#REF!,#REF!,#REF!,#REF!,#REF!,#REF!,#REF!</definedName>
    <definedName name="hn.MultByFXRatesTop2" localSheetId="0" hidden="1">#REF!,#REF!,#REF!,#REF!,#REF!,#REF!,#REF!,#REF!,#REF!,#REF!,#REF!,#REF!,#REF!,#REF!,#REF!</definedName>
    <definedName name="hn.MultByFXRatesTop2" hidden="1">#REF!,#REF!,#REF!,#REF!,#REF!,#REF!,#REF!,#REF!,#REF!,#REF!,#REF!,#REF!,#REF!,#REF!,#REF!</definedName>
    <definedName name="hn.MultByFXRatesTop3" localSheetId="4" hidden="1">#REF!,#REF!,#REF!,#REF!,#REF!,#REF!,#REF!,#REF!,#REF!,#REF!,#REF!,#REF!,#REF!,#REF!,#REF!</definedName>
    <definedName name="hn.MultByFXRatesTop3" localSheetId="5" hidden="1">#REF!,#REF!,#REF!,#REF!,#REF!,#REF!,#REF!,#REF!,#REF!,#REF!,#REF!,#REF!,#REF!,#REF!,#REF!</definedName>
    <definedName name="hn.MultByFXRatesTop3" localSheetId="0" hidden="1">#REF!,#REF!,#REF!,#REF!,#REF!,#REF!,#REF!,#REF!,#REF!,#REF!,#REF!,#REF!,#REF!,#REF!,#REF!</definedName>
    <definedName name="hn.MultByFXRatesTop3" hidden="1">#REF!,#REF!,#REF!,#REF!,#REF!,#REF!,#REF!,#REF!,#REF!,#REF!,#REF!,#REF!,#REF!,#REF!,#REF!</definedName>
    <definedName name="hn.MultByFXRatesTop4" localSheetId="4" hidden="1">#REF!,#REF!,#REF!,#REF!,#REF!,#REF!,#REF!,#REF!,#REF!,#REF!,#REF!,#REF!,#REF!,#REF!,#REF!</definedName>
    <definedName name="hn.MultByFXRatesTop4" localSheetId="5" hidden="1">#REF!,#REF!,#REF!,#REF!,#REF!,#REF!,#REF!,#REF!,#REF!,#REF!,#REF!,#REF!,#REF!,#REF!,#REF!</definedName>
    <definedName name="hn.MultByFXRatesTop4" localSheetId="0" hidden="1">#REF!,#REF!,#REF!,#REF!,#REF!,#REF!,#REF!,#REF!,#REF!,#REF!,#REF!,#REF!,#REF!,#REF!,#REF!</definedName>
    <definedName name="hn.MultByFXRatesTop4" hidden="1">#REF!,#REF!,#REF!,#REF!,#REF!,#REF!,#REF!,#REF!,#REF!,#REF!,#REF!,#REF!,#REF!,#REF!,#REF!</definedName>
    <definedName name="hn.MultByFXRatesTop5" localSheetId="4" hidden="1">#REF!,#REF!,#REF!,#REF!,#REF!,#REF!,#REF!,#REF!,#REF!,#REF!,#REF!,#REF!</definedName>
    <definedName name="hn.MultByFXRatesTop5" localSheetId="5" hidden="1">#REF!,#REF!,#REF!,#REF!,#REF!,#REF!,#REF!,#REF!,#REF!,#REF!,#REF!,#REF!</definedName>
    <definedName name="hn.MultByFXRatesTop5" localSheetId="0" hidden="1">#REF!,#REF!,#REF!,#REF!,#REF!,#REF!,#REF!,#REF!,#REF!,#REF!,#REF!,#REF!</definedName>
    <definedName name="hn.MultByFXRatesTop5" hidden="1">#REF!,#REF!,#REF!,#REF!,#REF!,#REF!,#REF!,#REF!,#REF!,#REF!,#REF!,#REF!</definedName>
    <definedName name="hn.MultByFXRatesTop6" localSheetId="4" hidden="1">#REF!,#REF!,#REF!,#REF!,#REF!,#REF!,#REF!,#REF!,#REF!,#REF!,#REF!,#REF!,#REF!,#REF!,#REF!</definedName>
    <definedName name="hn.MultByFXRatesTop6" localSheetId="5" hidden="1">#REF!,#REF!,#REF!,#REF!,#REF!,#REF!,#REF!,#REF!,#REF!,#REF!,#REF!,#REF!,#REF!,#REF!,#REF!</definedName>
    <definedName name="hn.MultByFXRatesTop6" localSheetId="0" hidden="1">#REF!,#REF!,#REF!,#REF!,#REF!,#REF!,#REF!,#REF!,#REF!,#REF!,#REF!,#REF!,#REF!,#REF!,#REF!</definedName>
    <definedName name="hn.MultByFXRatesTop6" hidden="1">#REF!,#REF!,#REF!,#REF!,#REF!,#REF!,#REF!,#REF!,#REF!,#REF!,#REF!,#REF!,#REF!,#REF!,#REF!</definedName>
    <definedName name="hn.MultByFXRatesTop7" localSheetId="4" hidden="1">#REF!,#REF!,#REF!,#REF!,#REF!,#REF!,#REF!,#REF!,#REF!,#REF!,#REF!,#REF!,#REF!,#REF!,#REF!</definedName>
    <definedName name="hn.MultByFXRatesTop7" localSheetId="5" hidden="1">#REF!,#REF!,#REF!,#REF!,#REF!,#REF!,#REF!,#REF!,#REF!,#REF!,#REF!,#REF!,#REF!,#REF!,#REF!</definedName>
    <definedName name="hn.MultByFXRatesTop7" localSheetId="0" hidden="1">#REF!,#REF!,#REF!,#REF!,#REF!,#REF!,#REF!,#REF!,#REF!,#REF!,#REF!,#REF!,#REF!,#REF!,#REF!</definedName>
    <definedName name="hn.MultByFXRatesTop7" hidden="1">#REF!,#REF!,#REF!,#REF!,#REF!,#REF!,#REF!,#REF!,#REF!,#REF!,#REF!,#REF!,#REF!,#REF!,#REF!</definedName>
    <definedName name="hn.NoUpload" hidden="1">0</definedName>
    <definedName name="hn.ParityCheck" localSheetId="4" hidden="1">#REF!</definedName>
    <definedName name="hn.ParityCheck" localSheetId="5" hidden="1">#REF!</definedName>
    <definedName name="hn.ParityCheck" localSheetId="0" hidden="1">#REF!</definedName>
    <definedName name="hn.ParityCheck" hidden="1">#REF!</definedName>
    <definedName name="hn.PrivateLTMYear" localSheetId="4" hidden="1">#REF!</definedName>
    <definedName name="hn.PrivateLTMYear" localSheetId="5" hidden="1">#REF!</definedName>
    <definedName name="hn.PrivateLTMYear" localSheetId="0" hidden="1">#REF!</definedName>
    <definedName name="hn.PrivateLTMYear" hidden="1">#REF!</definedName>
    <definedName name="hn.USLast" localSheetId="4" hidden="1">#REF!</definedName>
    <definedName name="hn.USLast" localSheetId="5" hidden="1">#REF!</definedName>
    <definedName name="hn.USLast" localSheetId="0" hidden="1">#REF!</definedName>
    <definedName name="hn.USLast" hidden="1">#REF!</definedName>
    <definedName name="hn.YearLabel" localSheetId="4" hidden="1">#REF!</definedName>
    <definedName name="hn.YearLabel" localSheetId="5" hidden="1">#REF!</definedName>
    <definedName name="hn.YearLabel" localSheetId="0" hidden="1">#REF!</definedName>
    <definedName name="hn.YearLabel" hidden="1">#REF!</definedName>
    <definedName name="huh" localSheetId="0" hidden="1">{#N/A,#N/A,FALSE,"Assumptions";#N/A,#N/A,FALSE,"Impact Assumptions";#N/A,#N/A,FALSE,"10-Yr - detail";#N/A,#N/A,FALSE,"1,5,10 yr comp";#N/A,#N/A,FALSE,"Lse-Exp.";#N/A,#N/A,FALSE,"Rent Roll";#N/A,#N/A,FALSE,"Historical (2)";#N/A,#N/A,FALSE,"RET's";#N/A,#N/A,FALSE,"Lease Rollover"}</definedName>
    <definedName name="huh" hidden="1">{#N/A,#N/A,FALSE,"Assumptions";#N/A,#N/A,FALSE,"Impact Assumptions";#N/A,#N/A,FALSE,"10-Yr - detail";#N/A,#N/A,FALSE,"1,5,10 yr comp";#N/A,#N/A,FALSE,"Lse-Exp.";#N/A,#N/A,FALSE,"Rent Roll";#N/A,#N/A,FALSE,"Historical (2)";#N/A,#N/A,FALSE,"RET's";#N/A,#N/A,FALSE,"Lease Rollover"}</definedName>
    <definedName name="IsColHidden" hidden="1">FALSE</definedName>
    <definedName name="IsLTMColHidden" hidden="1">FALSE</definedName>
    <definedName name="jb" localSheetId="0" hidden="1">{"summary1",#N/A,TRUE,"Comps";"summary2",#N/A,TRUE,"Comps";"summary3",#N/A,TRUE,"Comps"}</definedName>
    <definedName name="jb" hidden="1">{"summary1",#N/A,TRUE,"Comps";"summary2",#N/A,TRUE,"Comps";"summary3",#N/A,TRUE,"Comps"}</definedName>
    <definedName name="jk"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jk"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k" localSheetId="0" hidden="1">{#N/A,#N/A,FALSE,"Assumptions";#N/A,#N/A,FALSE,"Consol CF";#N/A,#N/A,FALSE,"matx B4 DS";#N/A,#N/A,FALSE,"Hacienda CF";#N/A,#N/A,FALSE,"matx B4 DS Hac";#N/A,#N/A,FALSE,"Chabot CF";#N/A,#N/A,FALSE,"matx B4 DS Chabot";#N/A,#N/A,FALSE,"Diablo CF";#N/A,#N/A,FALSE,"matx B4 DS Diablo"}</definedName>
    <definedName name="k" hidden="1">{#N/A,#N/A,FALSE,"Assumptions";#N/A,#N/A,FALSE,"Consol CF";#N/A,#N/A,FALSE,"matx B4 DS";#N/A,#N/A,FALSE,"Hacienda CF";#N/A,#N/A,FALSE,"matx B4 DS Hac";#N/A,#N/A,FALSE,"Chabot CF";#N/A,#N/A,FALSE,"matx B4 DS Chabot";#N/A,#N/A,FALSE,"Diablo CF";#N/A,#N/A,FALSE,"matx B4 DS Diablo"}</definedName>
    <definedName name="KGKHJ"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KGKHJ"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lll" localSheetId="0" hidden="1">{"Outflow 1",#N/A,FALSE,"Outflows-Inflows";"Outflow 2",#N/A,FALSE,"Outflows-Inflows";"Inflow 1",#N/A,FALSE,"Outflows-Inflows";"Inflow 2",#N/A,FALSE,"Outflows-Inflows"}</definedName>
    <definedName name="lll" hidden="1">{"Outflow 1",#N/A,FALSE,"Outflows-Inflows";"Outflow 2",#N/A,FALSE,"Outflows-Inflows";"Inflow 1",#N/A,FALSE,"Outflows-Inflows";"Inflow 2",#N/A,FALSE,"Outflows-Inflows"}</definedName>
    <definedName name="ltm_BalanceSheet" localSheetId="4" hidden="1">#REF!</definedName>
    <definedName name="ltm_BalanceSheet" localSheetId="5" hidden="1">#REF!</definedName>
    <definedName name="ltm_BalanceSheet" localSheetId="0" hidden="1">#REF!</definedName>
    <definedName name="ltm_BalanceSheet" hidden="1">#REF!</definedName>
    <definedName name="ltm_IncomeStatement" localSheetId="4" hidden="1">#REF!</definedName>
    <definedName name="ltm_IncomeStatement" localSheetId="5" hidden="1">#REF!</definedName>
    <definedName name="ltm_IncomeStatement" localSheetId="0" hidden="1">#REF!</definedName>
    <definedName name="ltm_IncomeStatement" hidden="1">#REF!</definedName>
    <definedName name="MGHM"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GHM"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hj"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hj"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o"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o" hidden="1">{TRUE,TRUE,-1.25,-15.5,604.5,369,FALSE,FALSE,TRUE,TRUE,0,1,83,1,38,4,5,4,TRUE,TRUE,3,TRUE,1,TRUE,75,"Swvu.inputs._.raw._.data.","ACwvu.inputs._.raw._.data.",#N/A,FALSE,FALSE,0.5,0.5,0.5,0.5,2,"&amp;F","&amp;A&amp;RPage &amp;P",FALSE,FALSE,FALSE,FALSE,1,60,#N/A,#N/A,"=R1C61:R53C89","=C1:C5",#N/A,#N/A,FALSE,FALSE,FALSE,1,600,600,FALSE,FALSE,TRUE,TRUE,TRUE}</definedName>
    <definedName name="p.Covenants" localSheetId="4" hidden="1">#REF!</definedName>
    <definedName name="p.Covenants" localSheetId="5" hidden="1">#REF!</definedName>
    <definedName name="p.Covenants" localSheetId="0" hidden="1">#REF!</definedName>
    <definedName name="p.Covenants" hidden="1">#REF!</definedName>
    <definedName name="p.Covenants_Titles" localSheetId="4" hidden="1">#REF!</definedName>
    <definedName name="p.Covenants_Titles" localSheetId="5" hidden="1">#REF!</definedName>
    <definedName name="p.Covenants_Titles" localSheetId="0" hidden="1">#REF!</definedName>
    <definedName name="p.Covenants_Titles" hidden="1">#REF!</definedName>
    <definedName name="p.CreditStats" localSheetId="4" hidden="1">#REF!</definedName>
    <definedName name="p.CreditStats" localSheetId="5" hidden="1">#REF!</definedName>
    <definedName name="p.CreditStats" localSheetId="0" hidden="1">#REF!</definedName>
    <definedName name="p.CreditStats" hidden="1">#REF!</definedName>
    <definedName name="p.LTM_BS" localSheetId="4" hidden="1">#REF!</definedName>
    <definedName name="p.LTM_BS" localSheetId="5" hidden="1">#REF!</definedName>
    <definedName name="p.LTM_BS" localSheetId="0" hidden="1">#REF!</definedName>
    <definedName name="p.LTM_BS" hidden="1">#REF!</definedName>
    <definedName name="p.LTM_IS" localSheetId="4" hidden="1">#REF!</definedName>
    <definedName name="p.LTM_IS" localSheetId="5" hidden="1">#REF!</definedName>
    <definedName name="p.LTM_IS" localSheetId="0" hidden="1">#REF!</definedName>
    <definedName name="p.LTM_IS" hidden="1">#REF!</definedName>
    <definedName name="p.Summary" localSheetId="4" hidden="1">#REF!</definedName>
    <definedName name="p.Summary" localSheetId="5" hidden="1">#REF!</definedName>
    <definedName name="p.Summary" localSheetId="0" hidden="1">#REF!</definedName>
    <definedName name="p.Summary" hidden="1">#REF!</definedName>
    <definedName name="p.Summary_Titles" localSheetId="4" hidden="1">#REF!</definedName>
    <definedName name="p.Summary_Titles" localSheetId="5" hidden="1">#REF!</definedName>
    <definedName name="p.Summary_Titles" localSheetId="0" hidden="1">#REF!</definedName>
    <definedName name="p.Summary_Titles" hidden="1">#REF!</definedName>
    <definedName name="_xlnm.Print_Area" localSheetId="0">'Read Me First'!$A$1:$N$34</definedName>
    <definedName name="q" localSheetId="0" hidden="1">{"summary1",#N/A,TRUE,"Comps";"summary2",#N/A,TRUE,"Comps";"summary3",#N/A,TRUE,"Comps"}</definedName>
    <definedName name="q" hidden="1">{"summary1",#N/A,TRUE,"Comps";"summary2",#N/A,TRUE,"Comps";"summary3",#N/A,TRUE,"Comps"}</definedName>
    <definedName name="qre"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qre" hidden="1">{TRUE,TRUE,-1.25,-15.5,604.5,369,FALSE,FALSE,TRUE,TRUE,0,1,83,1,38,4,5,4,TRUE,TRUE,3,TRUE,1,TRUE,75,"Swvu.inputs._.raw._.data.","ACwvu.inputs._.raw._.data.",#N/A,FALSE,FALSE,0.5,0.5,0.5,0.5,2,"&amp;F","&amp;A&amp;RPage &amp;P",FALSE,FALSE,FALSE,FALSE,1,60,#N/A,#N/A,"=R1C61:R53C89","=C1:C5",#N/A,#N/A,FALSE,FALSE,FALSE,1,600,600,FALSE,FALSE,TRUE,TRUE,TRUE}</definedName>
    <definedName name="qwert"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qwert"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r.CashFlow" localSheetId="4" hidden="1">#REF!</definedName>
    <definedName name="r.CashFlow" localSheetId="5" hidden="1">#REF!</definedName>
    <definedName name="r.CashFlow" localSheetId="0" hidden="1">#REF!</definedName>
    <definedName name="r.CashFlow" hidden="1">#REF!</definedName>
    <definedName name="r.Leverage" localSheetId="4" hidden="1">#REF!</definedName>
    <definedName name="r.Leverage" localSheetId="5" hidden="1">#REF!</definedName>
    <definedName name="r.Leverage" localSheetId="0" hidden="1">#REF!</definedName>
    <definedName name="r.Leverage" hidden="1">#REF!</definedName>
    <definedName name="r.Liquidity" localSheetId="4" hidden="1">#REF!</definedName>
    <definedName name="r.Liquidity" localSheetId="5" hidden="1">#REF!</definedName>
    <definedName name="r.Liquidity" localSheetId="0" hidden="1">#REF!</definedName>
    <definedName name="r.Liquidity" hidden="1">#REF!</definedName>
    <definedName name="r.LTM" localSheetId="4" hidden="1">#REF!</definedName>
    <definedName name="r.LTM" localSheetId="5" hidden="1">#REF!</definedName>
    <definedName name="r.LTM" localSheetId="0" hidden="1">#REF!</definedName>
    <definedName name="r.LTM" hidden="1">#REF!</definedName>
    <definedName name="r.LTMInterim" localSheetId="4" hidden="1">#REF!</definedName>
    <definedName name="r.LTMInterim" localSheetId="5" hidden="1">#REF!</definedName>
    <definedName name="r.LTMInterim" localSheetId="0" hidden="1">#REF!</definedName>
    <definedName name="r.LTMInterim" hidden="1">#REF!</definedName>
    <definedName name="r.Market" localSheetId="4" hidden="1">#REF!</definedName>
    <definedName name="r.Market" localSheetId="5" hidden="1">#REF!</definedName>
    <definedName name="r.Market" localSheetId="0" hidden="1">#REF!</definedName>
    <definedName name="r.Market" hidden="1">#REF!</definedName>
    <definedName name="r.Profitability" localSheetId="4" hidden="1">#REF!</definedName>
    <definedName name="r.Profitability" localSheetId="5" hidden="1">#REF!</definedName>
    <definedName name="r.Profitability" localSheetId="0" hidden="1">#REF!</definedName>
    <definedName name="r.Profitability" hidden="1">#REF!</definedName>
    <definedName name="r.Summary" localSheetId="4" hidden="1">#REF!</definedName>
    <definedName name="r.Summary" localSheetId="5" hidden="1">#REF!</definedName>
    <definedName name="r.Summary" localSheetId="0" hidden="1">#REF!</definedName>
    <definedName name="r.Summary" hidden="1">#REF!</definedName>
    <definedName name="report" localSheetId="0" hidden="1">{#N/A,#N/A,FALSE,"Summary";#N/A,#N/A,FALSE,"Assumptions";#N/A,#N/A,FALSE,"Cash Flow";#N/A,#N/A,FALSE,"Residual Calculation";#N/A,#N/A,FALSE,"Pricing Matrix";#N/A,#N/A,FALSE,"Pricing Matrix II";#N/A,#N/A,FALSE,"Expiration Schedule"}</definedName>
    <definedName name="report" hidden="1">{#N/A,#N/A,FALSE,"Summary";#N/A,#N/A,FALSE,"Assumptions";#N/A,#N/A,FALSE,"Cash Flow";#N/A,#N/A,FALSE,"Residual Calculation";#N/A,#N/A,FALSE,"Pricing Matrix";#N/A,#N/A,FALSE,"Pricing Matrix II";#N/A,#N/A,FALSE,"Expiration Schedule"}</definedName>
    <definedName name="report1" localSheetId="0" hidden="1">{#N/A,#N/A,FALSE,"Summary";#N/A,#N/A,FALSE,"Assumptions";#N/A,#N/A,FALSE,"Cash Flow";#N/A,#N/A,FALSE,"Residual Calculation";#N/A,#N/A,FALSE,"Pricing Matrix";#N/A,#N/A,FALSE,"Pricing Matrix II";#N/A,#N/A,FALSE,"Expiration Schedule"}</definedName>
    <definedName name="report1" hidden="1">{#N/A,#N/A,FALSE,"Summary";#N/A,#N/A,FALSE,"Assumptions";#N/A,#N/A,FALSE,"Cash Flow";#N/A,#N/A,FALSE,"Residual Calculation";#N/A,#N/A,FALSE,"Pricing Matrix";#N/A,#N/A,FALSE,"Pricing Matrix II";#N/A,#N/A,FALSE,"Expiration Schedule"}</definedName>
    <definedName name="report5" localSheetId="0" hidden="1">{#N/A,#N/A,FALSE,"Summary";#N/A,#N/A,FALSE,"Assumptions";#N/A,#N/A,FALSE,"Cash Flow";#N/A,#N/A,FALSE,"Residual Calculation";#N/A,#N/A,FALSE,"Pricing Matrix";#N/A,#N/A,FALSE,"Pricing Matrix II";#N/A,#N/A,FALSE,"Expiration Schedule"}</definedName>
    <definedName name="report5" hidden="1">{#N/A,#N/A,FALSE,"Summary";#N/A,#N/A,FALSE,"Assumptions";#N/A,#N/A,FALSE,"Cash Flow";#N/A,#N/A,FALSE,"Residual Calculation";#N/A,#N/A,FALSE,"Pricing Matrix";#N/A,#N/A,FALSE,"Pricing Matrix II";#N/A,#N/A,FALSE,"Expiration Schedule"}</definedName>
    <definedName name="rt" localSheetId="0" hidden="1">{"inputs raw data",#N/A,TRUE,"INPUT"}</definedName>
    <definedName name="rt" hidden="1">{"inputs raw data",#N/A,TRUE,"INPUT"}</definedName>
    <definedName name="sa" localSheetId="0" hidden="1">{"cap_structure",#N/A,FALSE,"Graph-Mkt Cap";"price",#N/A,FALSE,"Graph-Price";"ebit",#N/A,FALSE,"Graph-EBITDA";"ebitda",#N/A,FALSE,"Graph-EBITDA"}</definedName>
    <definedName name="sa" hidden="1">{"cap_structure",#N/A,FALSE,"Graph-Mkt Cap";"price",#N/A,FALSE,"Graph-Price";"ebit",#N/A,FALSE,"Graph-EBITDA";"ebitda",#N/A,FALSE,"Graph-EBITDA"}</definedName>
    <definedName name="saa" localSheetId="0" hidden="1">{"rtn",#N/A,FALSE,"RTN";"tables",#N/A,FALSE,"RTN";"cf",#N/A,FALSE,"CF";"stats",#N/A,FALSE,"Stats";"prop",#N/A,FALSE,"Prop"}</definedName>
    <definedName name="saa" hidden="1">{"rtn",#N/A,FALSE,"RTN";"tables",#N/A,FALSE,"RTN";"cf",#N/A,FALSE,"CF";"stats",#N/A,FALSE,"Stats";"prop",#N/A,FALSE,"Prop"}</definedName>
    <definedName name="sagf"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sagf" hidden="1">{TRUE,TRUE,-1.25,-15.5,604.5,369,FALSE,FALSE,TRUE,TRUE,0,1,83,1,38,4,5,4,TRUE,TRUE,3,TRUE,1,TRUE,75,"Swvu.inputs._.raw._.data.","ACwvu.inputs._.raw._.data.",#N/A,FALSE,FALSE,0.5,0.5,0.5,0.5,2,"&amp;F","&amp;A&amp;RPage &amp;P",FALSE,FALSE,FALSE,FALSE,1,60,#N/A,#N/A,"=R1C61:R53C89","=C1:C5",#N/A,#N/A,FALSE,FALSE,FALSE,1,600,600,FALSE,FALSE,TRUE,TRUE,TRUE}</definedName>
    <definedName name="sas" localSheetId="0" hidden="1">{"Outflow 1",#N/A,FALSE,"Outflows-Inflows";"Outflow 2",#N/A,FALSE,"Outflows-Inflows";"Inflow 1",#N/A,FALSE,"Outflows-Inflows";"Inflow 2",#N/A,FALSE,"Outflows-Inflows"}</definedName>
    <definedName name="sas" hidden="1">{"Outflow 1",#N/A,FALSE,"Outflows-Inflows";"Outflow 2",#N/A,FALSE,"Outflows-Inflows";"Inflow 1",#N/A,FALSE,"Outflows-Inflows";"Inflow 2",#N/A,FALSE,"Outflows-Inflows"}</definedName>
    <definedName name="sdfass" localSheetId="0" hidden="1">{"Outflow 1",#N/A,FALSE,"Outflows-Inflows";"Outflow 2",#N/A,FALSE,"Outflows-Inflows";"Inflow 1",#N/A,FALSE,"Outflows-Inflows";"Inflow 2",#N/A,FALSE,"Outflows-Inflows"}</definedName>
    <definedName name="sdfass" hidden="1">{"Outflow 1",#N/A,FALSE,"Outflows-Inflows";"Outflow 2",#N/A,FALSE,"Outflows-Inflows";"Inflow 1",#N/A,FALSE,"Outflows-Inflows";"Inflow 2",#N/A,FALSE,"Outflows-Inflows"}</definedName>
    <definedName name="sdfg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sdfga" hidden="1">{TRUE,TRUE,-1.25,-15.5,604.5,369,FALSE,FALSE,TRUE,TRUE,0,1,83,1,38,4,5,4,TRUE,TRUE,3,TRUE,1,TRUE,75,"Swvu.inputs._.raw._.data.","ACwvu.inputs._.raw._.data.",#N/A,FALSE,FALSE,0.5,0.5,0.5,0.5,2,"&amp;F","&amp;A&amp;RPage &amp;P",FALSE,FALSE,FALSE,FALSE,1,60,#N/A,#N/A,"=R1C61:R53C89","=C1:C5",#N/A,#N/A,FALSE,FALSE,FALSE,1,600,600,FALSE,FALSE,TRUE,TRUE,TRUE}</definedName>
    <definedName name="SSO" localSheetId="0" hidden="1">{#N/A,#N/A,FALSE,"CF Consolidated 2";#N/A,#N/A,FALSE,"Retail Assump";#N/A,#N/A,FALSE,"CF Retail";#N/A,#N/A,FALSE,"Garage Assumpt 1";#N/A,#N/A,FALSE,"Garage Op Proj";#N/A,#N/A,FALSE,"Hist I&amp;E";#N/A,#N/A,FALSE,"Rent Roll";#N/A,#N/A,FALSE,"RE Taxes";#N/A,#N/A,FALSE,"CAM - BH";#N/A,#N/A,FALSE,"Comm.Condo CAM"}</definedName>
    <definedName name="SSO" hidden="1">{#N/A,#N/A,FALSE,"CF Consolidated 2";#N/A,#N/A,FALSE,"Retail Assump";#N/A,#N/A,FALSE,"CF Retail";#N/A,#N/A,FALSE,"Garage Assumpt 1";#N/A,#N/A,FALSE,"Garage Op Proj";#N/A,#N/A,FALSE,"Hist I&amp;E";#N/A,#N/A,FALSE,"Rent Roll";#N/A,#N/A,FALSE,"RE Taxes";#N/A,#N/A,FALSE,"CAM - BH";#N/A,#N/A,FALSE,"Comm.Condo CAM"}</definedName>
    <definedName name="st" localSheetId="0"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st"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trial" localSheetId="0" hidden="1">{"Outflow 1",#N/A,FALSE,"Outflows-Inflows";"Outflow 2",#N/A,FALSE,"Outflows-Inflows";"Inflow 1",#N/A,FALSE,"Outflows-Inflows";"Inflow 2",#N/A,FALSE,"Outflows-Inflows"}</definedName>
    <definedName name="trial" hidden="1">{"Outflow 1",#N/A,FALSE,"Outflows-Inflows";"Outflow 2",#N/A,FALSE,"Outflows-Inflows";"Inflow 1",#N/A,FALSE,"Outflows-Inflows";"Inflow 2",#N/A,FALSE,"Outflows-Inflows"}</definedName>
    <definedName name="USDollar" localSheetId="4" hidden="1">#REF!</definedName>
    <definedName name="USDollar" localSheetId="5" hidden="1">#REF!</definedName>
    <definedName name="USDollar" localSheetId="0" hidden="1">#REF!</definedName>
    <definedName name="USDollar" hidden="1">#REF!</definedName>
    <definedName name="uyfkf"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uyfkf"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UYR"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UYR"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vj" localSheetId="0" hidden="1">{#N/A,#N/A,FALSE,"Assumptions";#N/A,#N/A,FALSE,"10-Yr - detail";#N/A,#N/A,FALSE,"Rent Roll";#N/A,#N/A,FALSE,"Historical (2)";#N/A,#N/A,FALSE,"RET's";#N/A,#N/A,FALSE,"Lse-Exp.";#N/A,#N/A,FALSE,"Lease Rollover";#N/A,#N/A,FALSE,"Service Contracts"}</definedName>
    <definedName name="vj" hidden="1">{#N/A,#N/A,FALSE,"Assumptions";#N/A,#N/A,FALSE,"10-Yr - detail";#N/A,#N/A,FALSE,"Rent Roll";#N/A,#N/A,FALSE,"Historical (2)";#N/A,#N/A,FALSE,"RET's";#N/A,#N/A,FALSE,"Lse-Exp.";#N/A,#N/A,FALSE,"Lease Rollover";#N/A,#N/A,FALSE,"Service Contracts"}</definedName>
    <definedName name="w" localSheetId="0" hidden="1">{"cap_structure",#N/A,FALSE,"Graph-Mkt Cap";"price",#N/A,FALSE,"Graph-Price";"ebit",#N/A,FALSE,"Graph-EBITDA";"ebitda",#N/A,FALSE,"Graph-EBITDA"}</definedName>
    <definedName name="w" hidden="1">{"cap_structure",#N/A,FALSE,"Graph-Mkt Cap";"price",#N/A,FALSE,"Graph-Price";"ebit",#N/A,FALSE,"Graph-EBITDA";"ebitda",#N/A,FALSE,"Graph-EBITDA"}</definedName>
    <definedName name="wafe" localSheetId="0" hidden="1">{"summary1",#N/A,TRUE,"Comps";"summary2",#N/A,TRUE,"Comps";"summary3",#N/A,TRUE,"Comps"}</definedName>
    <definedName name="wafe" hidden="1">{"summary1",#N/A,TRUE,"Comps";"summary2",#N/A,TRUE,"Comps";"summary3",#N/A,TRUE,"Comps"}</definedName>
    <definedName name="WEA"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A"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faf"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fa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QQE" localSheetId="0" hidden="1">{"summary1",#N/A,TRUE,"Comps";"summary2",#N/A,TRUE,"Comps";"summary3",#N/A,TRUE,"Comps"}</definedName>
    <definedName name="WEQQE" hidden="1">{"summary1",#N/A,TRUE,"Comps";"summary2",#N/A,TRUE,"Comps";"summary3",#N/A,TRUE,"Comps"}</definedName>
    <definedName name="wetrwergfwer" localSheetId="0" hidden="1">{"cap_structure",#N/A,FALSE,"Graph-Mkt Cap";"price",#N/A,FALSE,"Graph-Price";"ebit",#N/A,FALSE,"Graph-EBITDA";"ebitda",#N/A,FALSE,"Graph-EBITDA"}</definedName>
    <definedName name="wetrwergfwer" hidden="1">{"cap_structure",#N/A,FALSE,"Graph-Mkt Cap";"price",#N/A,FALSE,"Graph-Price";"ebit",#N/A,FALSE,"Graph-EBITDA";"ebitda",#N/A,FALSE,"Graph-EBITDA"}</definedName>
    <definedName name="WQE"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QE"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r"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r"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rn.275PricingBook." localSheetId="0" hidden="1">{#N/A,#N/A,FALSE,"Assumptions";#N/A,#N/A,FALSE,"Impact Assumptions";#N/A,#N/A,FALSE,"10-Yr - detail";#N/A,#N/A,FALSE,"1,5,10 yr comp";#N/A,#N/A,FALSE,"Lse-Exp.";#N/A,#N/A,FALSE,"Rent Roll";#N/A,#N/A,FALSE,"Historical (2)";#N/A,#N/A,FALSE,"RET's";#N/A,#N/A,FALSE,"Lease Rollover"}</definedName>
    <definedName name="wrn.275PricingBook." hidden="1">{#N/A,#N/A,FALSE,"Assumptions";#N/A,#N/A,FALSE,"Impact Assumptions";#N/A,#N/A,FALSE,"10-Yr - detail";#N/A,#N/A,FALSE,"1,5,10 yr comp";#N/A,#N/A,FALSE,"Lse-Exp.";#N/A,#N/A,FALSE,"Rent Roll";#N/A,#N/A,FALSE,"Historical (2)";#N/A,#N/A,FALSE,"RET's";#N/A,#N/A,FALSE,"Lease Rollover"}</definedName>
    <definedName name="wrn.275Schedulles." localSheetId="0" hidden="1">{#N/A,#N/A,FALSE,"Assumptions";#N/A,#N/A,FALSE,"10-Yr - detail";#N/A,#N/A,FALSE,"Rent Roll";#N/A,#N/A,FALSE,"Historical (2)";#N/A,#N/A,FALSE,"RET's";#N/A,#N/A,FALSE,"Lse-Exp.";#N/A,#N/A,FALSE,"Lease Rollover";#N/A,#N/A,FALSE,"Service Contracts"}</definedName>
    <definedName name="wrn.275Schedulles." hidden="1">{#N/A,#N/A,FALSE,"Assumptions";#N/A,#N/A,FALSE,"10-Yr - detail";#N/A,#N/A,FALSE,"Rent Roll";#N/A,#N/A,FALSE,"Historical (2)";#N/A,#N/A,FALSE,"RET's";#N/A,#N/A,FALSE,"Lse-Exp.";#N/A,#N/A,FALSE,"Lease Rollover";#N/A,#N/A,FALSE,"Service Contracts"}</definedName>
    <definedName name="wrn.Accretion." localSheetId="0" hidden="1">{"Accretion",#N/A,FALSE,"Assum"}</definedName>
    <definedName name="wrn.Accretion." hidden="1">{"Accretion",#N/A,FALSE,"Assum"}</definedName>
    <definedName name="wrn.Acq._.Model." localSheetId="0" hidden="1">{"RTN",#N/A,FALSE,"RTN";"Inc Stmt",#N/A,FALSE,"Inc Stmt";"Stats",#N/A,FALSE,"Stats";"Rnds",#N/A,FALSE,"Rnds";"Capx",#N/A,FALSE,"CapX";"Dues",#N/A,FALSE,"Dues";"Hist",#N/A,FALSE,"Hist";"Rev1",#N/A,FALSE,"Rev";"Rev2",#N/A,FALSE,"Rev";"Exp",#N/A,FALSE,"Exp";"Rounds",#N/A,FALSE,"Rounds";"Cap Imp",#N/A,FALSE,"Cap Imp"}</definedName>
    <definedName name="wrn.Acq._.Model." hidden="1">{"RTN",#N/A,FALSE,"RTN";"Inc Stmt",#N/A,FALSE,"Inc Stmt";"Stats",#N/A,FALSE,"Stats";"Rnds",#N/A,FALSE,"Rnds";"Capx",#N/A,FALSE,"CapX";"Dues",#N/A,FALSE,"Dues";"Hist",#N/A,FALSE,"Hist";"Rev1",#N/A,FALSE,"Rev";"Rev2",#N/A,FALSE,"Rev";"Exp",#N/A,FALSE,"Exp";"Rounds",#N/A,FALSE,"Rounds";"Cap Imp",#N/A,FALSE,"Cap Imp"}</definedName>
    <definedName name="wrn.Acquisition._.Model." localSheetId="0" hidden="1">{"Return",#N/A,FALSE,"RTN";"Inc Stmt",#N/A,FALSE,"Inc Stmt";"Stats",#N/A,FALSE,"Stats";"Rnds",#N/A,FALSE,"Rnds";"Dues",#N/A,FALSE,"Dues";"Capx",#N/A,FALSE,"CapX";"History",#N/A,FALSE,"Hist";"Rev",#N/A,FALSE,"Rev";"Expenses",#N/A,FALSE,"Exp";"Rounds",#N/A,FALSE,"Rounds";"Capex",#N/A,FALSE,"Capex"}</definedName>
    <definedName name="wrn.Acquisition._.Model." hidden="1">{"Return",#N/A,FALSE,"RTN";"Inc Stmt",#N/A,FALSE,"Inc Stmt";"Stats",#N/A,FALSE,"Stats";"Rnds",#N/A,FALSE,"Rnds";"Dues",#N/A,FALSE,"Dues";"Capx",#N/A,FALSE,"CapX";"History",#N/A,FALSE,"Hist";"Rev",#N/A,FALSE,"Rev";"Expenses",#N/A,FALSE,"Exp";"Rounds",#N/A,FALSE,"Rounds";"Capex",#N/A,FALSE,"Capex"}</definedName>
    <definedName name="wrn.All._.Schedules." localSheetId="0" hidden="1">{#N/A,#N/A,FALSE,"CF Consolidated 2";#N/A,#N/A,FALSE,"Retail Assump";#N/A,#N/A,FALSE,"CF Retail";#N/A,#N/A,FALSE,"Garage Assumpt 1";#N/A,#N/A,FALSE,"Garage Op Proj";#N/A,#N/A,FALSE,"Hist I&amp;E";#N/A,#N/A,FALSE,"Rent Roll";#N/A,#N/A,FALSE,"RE Taxes";#N/A,#N/A,FALSE,"CAM - BH";#N/A,#N/A,FALSE,"Comm.Condo CAM"}</definedName>
    <definedName name="wrn.All._.Schedules." hidden="1">{#N/A,#N/A,FALSE,"CF Consolidated 2";#N/A,#N/A,FALSE,"Retail Assump";#N/A,#N/A,FALSE,"CF Retail";#N/A,#N/A,FALSE,"Garage Assumpt 1";#N/A,#N/A,FALSE,"Garage Op Proj";#N/A,#N/A,FALSE,"Hist I&amp;E";#N/A,#N/A,FALSE,"Rent Roll";#N/A,#N/A,FALSE,"RE Taxes";#N/A,#N/A,FALSE,"CAM - BH";#N/A,#N/A,FALSE,"Comm.Condo CAM"}</definedName>
    <definedName name="wrn.All._.Stock_10_12_14." localSheetId="0"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All._.Stock_10_12_14."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AnnualRentRoll." localSheetId="0" hidden="1">{"AnnualRentRoll",#N/A,FALSE,"RentRoll"}</definedName>
    <definedName name="wrn.AnnualRentRoll." hidden="1">{"AnnualRentRoll",#N/A,FALSE,"RentRoll"}</definedName>
    <definedName name="wrn.Assumptions." localSheetId="0" hidden="1">{"Assumptions",#N/A,FALSE,"Assum"}</definedName>
    <definedName name="wrn.Assumptions." hidden="1">{"Assumptions",#N/A,FALSE,"Assum"}</definedName>
    <definedName name="wrn.Basic." localSheetId="0" hidden="1">{#N/A,#N/A,FALSE,"Cover";#N/A,#N/A,FALSE,"Assumptions";#N/A,#N/A,FALSE,"Acquirer";#N/A,#N/A,FALSE,"Target";#N/A,#N/A,FALSE,"Income Statement";#N/A,#N/A,FALSE,"Summary Tables"}</definedName>
    <definedName name="wrn.Basic." hidden="1">{#N/A,#N/A,FALSE,"Cover";#N/A,#N/A,FALSE,"Assumptions";#N/A,#N/A,FALSE,"Acquirer";#N/A,#N/A,FALSE,"Target";#N/A,#N/A,FALSE,"Income Statement";#N/A,#N/A,FALSE,"Summary Tables"}</definedName>
    <definedName name="wrn.BlackWhite." localSheetId="0" hidden="1">{#N/A,#N/A,FALSE,"NNN sum";#N/A,#N/A,FALSE,"10-yr Opt. A Sum";#N/A,#N/A,FALSE,"10-yr Opt A Other Costs";#N/A,#N/A,FALSE,"Purchase Sum";#N/A,#N/A,FALSE,"Purchase Other Costs"}</definedName>
    <definedName name="wrn.BlackWhite." hidden="1">{#N/A,#N/A,FALSE,"NNN sum";#N/A,#N/A,FALSE,"10-yr Opt. A Sum";#N/A,#N/A,FALSE,"10-yr Opt A Other Costs";#N/A,#N/A,FALSE,"Purchase Sum";#N/A,#N/A,FALSE,"Purchase Other Costs"}</definedName>
    <definedName name="wrn.BlackWhite5" localSheetId="0" hidden="1">{#N/A,#N/A,FALSE,"NNN sum";#N/A,#N/A,FALSE,"10-yr Opt. A Sum";#N/A,#N/A,FALSE,"10-yr Opt A Other Costs";#N/A,#N/A,FALSE,"Purchase Sum";#N/A,#N/A,FALSE,"Purchase Other Costs"}</definedName>
    <definedName name="wrn.BlackWhite5" hidden="1">{#N/A,#N/A,FALSE,"NNN sum";#N/A,#N/A,FALSE,"10-yr Opt. A Sum";#N/A,#N/A,FALSE,"10-yr Opt A Other Costs";#N/A,#N/A,FALSE,"Purchase Sum";#N/A,#N/A,FALSE,"Purchase Other Costs"}</definedName>
    <definedName name="wrn.Bonds." localSheetId="0" hidden="1">{#N/A,#N/A,FALSE,"Bonds - Consol";#N/A,#N/A,FALSE,"Bonds - Lakes";#N/A,#N/A,FALSE,"Bonds - Chabot";#N/A,#N/A,FALSE,"Bonds - Diablo"}</definedName>
    <definedName name="wrn.Bonds." hidden="1">{#N/A,#N/A,FALSE,"Bonds - Consol";#N/A,#N/A,FALSE,"Bonds - Lakes";#N/A,#N/A,FALSE,"Bonds - Chabot";#N/A,#N/A,FALSE,"Bonds - Diablo"}</definedName>
    <definedName name="wrn.Capx." localSheetId="0" hidden="1">{"Capx/exp",#N/A,FALSE,"CapX"}</definedName>
    <definedName name="wrn.Capx." hidden="1">{"Capx/exp",#N/A,FALSE,"CapX"}</definedName>
    <definedName name="wrn.Cash._.Flow._.and._.Matrix." localSheetId="0" hidden="1">{#N/A,#N/A,FALSE,"Matrix";#N/A,#N/A,FALSE,"Cash Flow";#N/A,#N/A,FALSE,"10 Year Cost Analysis"}</definedName>
    <definedName name="wrn.Cash._.Flow._.and._.Matrix." hidden="1">{#N/A,#N/A,FALSE,"Matrix";#N/A,#N/A,FALSE,"Cash Flow";#N/A,#N/A,FALSE,"10 Year Cost Analysis"}</definedName>
    <definedName name="wrn.CASH._.FLOWS._.ONLY." localSheetId="0" hidden="1">{#N/A,#N/A,FALSE,"Assumptions";#N/A,#N/A,FALSE,"Consol CF";#N/A,#N/A,FALSE,"Hacienda CF";#N/A,#N/A,FALSE,"Chabot CF";#N/A,#N/A,FALSE,"Diablo CF"}</definedName>
    <definedName name="wrn.CASH._.FLOWS._.ONLY." hidden="1">{#N/A,#N/A,FALSE,"Assumptions";#N/A,#N/A,FALSE,"Consol CF";#N/A,#N/A,FALSE,"Hacienda CF";#N/A,#N/A,FALSE,"Chabot CF";#N/A,#N/A,FALSE,"Diablo CF"}</definedName>
    <definedName name="wrn.CF._.Print." localSheetId="0" hidden="1">{#N/A,#N/A,FALSE,"Cash Flow";#N/A,#N/A,FALSE,"FFO";#N/A,#N/A,FALSE,"Dvlpt Assumptions";#N/A,#N/A,FALSE,"Equity &amp; Constr Financing";#N/A,#N/A,FALSE,"JV Fee Analysis - cash";#N/A,#N/A,FALSE,"JV Fee Analysis - GAAP";#N/A,#N/A,FALSE,"Prop CF Adj";#N/A,#N/A,FALSE,"Land Sales";#N/A,#N/A,FALSE,"Capex, existing";#N/A,#N/A,FALSE,"Capex,97 Budget";#N/A,#N/A,FALSE,"Capex, dvlpt";#N/A,#N/A,FALSE,"Cap overhead";#N/A,#N/A,FALSE,"Project Equity";#N/A,#N/A,FALSE,"Leasing Fees";#N/A,#N/A,FALSE,"Debt";#N/A,#N/A,FALSE,"Capitalized Interest";#N/A,#N/A,FALSE,"FF&amp; E Loan";#N/A,#N/A,FALSE,"Strip loan";#N/A,#N/A,FALSE,"Franklin Loan";#N/A,#N/A,FALSE,"Poto_Gurn Amortiz";#N/A,#N/A,FALSE,"Dividend Distr";#N/A,#N/A,FALSE,"Investment in Partnerships";#N/A,#N/A,FALSE,"JV Ops Cash Flow Adj.";#N/A,#N/A,FALSE,"Ontario";#N/A,#N/A,FALSE,"Ontario-Proj";#N/A,#N/A,FALSE,"Ont Debt";#N/A,#N/A,FALSE,"Grapevine";#N/A,#N/A,FALSE,"Grapevine-Proj";#N/A,#N/A,FALSE,"Arizona";#N/A,#N/A,FALSE,"Arizona - Proj";#N/A,#N/A,FALSE,"Sawgrass Ph III";#N/A,#N/A,FALSE,"Saw Phase III-Proj";#N/A,#N/A,FALSE,"City Center";#N/A,#N/A,FALSE,"City Center-Proj";#N/A,#N/A,FALSE,"Columbus";#N/A,#N/A,FALSE,"Columbus-Proj";#N/A,#N/A,FALSE,"Atlanta";#N/A,#N/A,FALSE,"Atlanta-Proj";#N/A,#N/A,FALSE,"Monee";#N/A,#N/A,FALSE,"Monee-Proj";#N/A,#N/A,FALSE,"Houston";#N/A,#N/A,FALSE,"Houston-Proj";#N/A,#N/A,FALSE,"San Francisco";#N/A,#N/A,FALSE,"San Francisco-Proj";#N/A,#N/A,FALSE,"Meadowlands";#N/A,#N/A,FALSE,"Meadowlands-Proj";#N/A,#N/A,FALSE,"Toronto";#N/A,#N/A,FALSE,"Toronto-Proj"}</definedName>
    <definedName name="wrn.CF._.Print." hidden="1">{#N/A,#N/A,FALSE,"Cash Flow";#N/A,#N/A,FALSE,"FFO";#N/A,#N/A,FALSE,"Dvlpt Assumptions";#N/A,#N/A,FALSE,"Equity &amp; Constr Financing";#N/A,#N/A,FALSE,"JV Fee Analysis - cash";#N/A,#N/A,FALSE,"JV Fee Analysis - GAAP";#N/A,#N/A,FALSE,"Prop CF Adj";#N/A,#N/A,FALSE,"Land Sales";#N/A,#N/A,FALSE,"Capex, existing";#N/A,#N/A,FALSE,"Capex,97 Budget";#N/A,#N/A,FALSE,"Capex, dvlpt";#N/A,#N/A,FALSE,"Cap overhead";#N/A,#N/A,FALSE,"Project Equity";#N/A,#N/A,FALSE,"Leasing Fees";#N/A,#N/A,FALSE,"Debt";#N/A,#N/A,FALSE,"Capitalized Interest";#N/A,#N/A,FALSE,"FF&amp; E Loan";#N/A,#N/A,FALSE,"Strip loan";#N/A,#N/A,FALSE,"Franklin Loan";#N/A,#N/A,FALSE,"Poto_Gurn Amortiz";#N/A,#N/A,FALSE,"Dividend Distr";#N/A,#N/A,FALSE,"Investment in Partnerships";#N/A,#N/A,FALSE,"JV Ops Cash Flow Adj.";#N/A,#N/A,FALSE,"Ontario";#N/A,#N/A,FALSE,"Ontario-Proj";#N/A,#N/A,FALSE,"Ont Debt";#N/A,#N/A,FALSE,"Grapevine";#N/A,#N/A,FALSE,"Grapevine-Proj";#N/A,#N/A,FALSE,"Arizona";#N/A,#N/A,FALSE,"Arizona - Proj";#N/A,#N/A,FALSE,"Sawgrass Ph III";#N/A,#N/A,FALSE,"Saw Phase III-Proj";#N/A,#N/A,FALSE,"City Center";#N/A,#N/A,FALSE,"City Center-Proj";#N/A,#N/A,FALSE,"Columbus";#N/A,#N/A,FALSE,"Columbus-Proj";#N/A,#N/A,FALSE,"Atlanta";#N/A,#N/A,FALSE,"Atlanta-Proj";#N/A,#N/A,FALSE,"Monee";#N/A,#N/A,FALSE,"Monee-Proj";#N/A,#N/A,FALSE,"Houston";#N/A,#N/A,FALSE,"Houston-Proj";#N/A,#N/A,FALSE,"San Francisco";#N/A,#N/A,FALSE,"San Francisco-Proj";#N/A,#N/A,FALSE,"Meadowlands";#N/A,#N/A,FALSE,"Meadowlands-Proj";#N/A,#N/A,FALSE,"Toronto";#N/A,#N/A,FALSE,"Toronto-Proj"}</definedName>
    <definedName name="wrn.data." localSheetId="0" hidden="1">{"data",#N/A,FALSE,"INPUT"}</definedName>
    <definedName name="wrn.data." hidden="1">{"data",#N/A,FALSE,"INPUT"}</definedName>
    <definedName name="wrn.data5" localSheetId="0" hidden="1">{"data",#N/A,FALSE,"INPUT"}</definedName>
    <definedName name="wrn.data5" hidden="1">{"data",#N/A,FALSE,"INPUT"}</definedName>
    <definedName name="wrn.detail." localSheetId="0" hidden="1">{"detail1",#N/A,FALSE,"Sheet1";"detail2",#N/A,FALSE,"Sheet1";"detail3",#N/A,FALSE,"Sheet1";"detail4",#N/A,FALSE,"Sheet1";"detail5",#N/A,FALSE,"Sheet1";"detail6",#N/A,FALSE,"Sheet1";"detail7",#N/A,FALSE,"Sheet1";"detail8",#N/A,FALSE,"Sheet1";"detail9",#N/A,FALSE,"Sheet1"}</definedName>
    <definedName name="wrn.detail." hidden="1">{"detail1",#N/A,FALSE,"Sheet1";"detail2",#N/A,FALSE,"Sheet1";"detail3",#N/A,FALSE,"Sheet1";"detail4",#N/A,FALSE,"Sheet1";"detail5",#N/A,FALSE,"Sheet1";"detail6",#N/A,FALSE,"Sheet1";"detail7",#N/A,FALSE,"Sheet1";"detail8",#N/A,FALSE,"Sheet1";"detail9",#N/A,FALSE,"Sheet1"}</definedName>
    <definedName name="wrn.Development._.Budget." localSheetId="0" hidden="1">{"Year 1",#N/A,FALSE,"Budget";"Year 2",#N/A,FALSE,"Budget";"Year 3",#N/A,FALSE,"Budget";"Year 4",#N/A,FALSE,"Budget"}</definedName>
    <definedName name="wrn.Development._.Budget." hidden="1">{"Year 1",#N/A,FALSE,"Budget";"Year 2",#N/A,FALSE,"Budget";"Year 3",#N/A,FALSE,"Budget";"Year 4",#N/A,FALSE,"Budget"}</definedName>
    <definedName name="wrn.Earnings._.Model." localSheetId="0"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ntire._.Package." localSheetId="0" hidden="1">{"Summary",#N/A,FALSE,"Assumptions";"Development 1 2",#N/A,FALSE,"Budget";"Operating Income",#N/A,FALSE,"Budget"}</definedName>
    <definedName name="wrn.Entire._.Package." hidden="1">{"Summary",#N/A,FALSE,"Assumptions";"Development 1 2",#N/A,FALSE,"Budget";"Operating Income",#N/A,FALSE,"Budget"}</definedName>
    <definedName name="wrn.Exhibits." localSheetId="0" hidden="1">{#N/A,#N/A,FALSE,"Historical";#N/A,#N/A,FALSE,"Adjusted";#N/A,#N/A,FALSE,"CAM Alloc.";#N/A,#N/A,FALSE,"Projected CAM"}</definedName>
    <definedName name="wrn.Exhibits." hidden="1">{#N/A,#N/A,FALSE,"Historical";#N/A,#N/A,FALSE,"Adjusted";#N/A,#N/A,FALSE,"CAM Alloc.";#N/A,#N/A,FALSE,"Projected CAM"}</definedName>
    <definedName name="wrn.ExitAndSalesAssumptions." localSheetId="0" hidden="1">{#N/A,#N/A,FALSE,"ExitStratigy"}</definedName>
    <definedName name="wrn.ExitAndSalesAssumptions." hidden="1">{#N/A,#N/A,FALSE,"ExitStratigy"}</definedName>
    <definedName name="wrn.FCB." localSheetId="0" hidden="1">{"FCB_ALL",#N/A,FALSE,"FCB"}</definedName>
    <definedName name="wrn.FCB." hidden="1">{"FCB_ALL",#N/A,FALSE,"FCB"}</definedName>
    <definedName name="wrn.fcb2" localSheetId="0" hidden="1">{"FCB_ALL",#N/A,FALSE,"FCB"}</definedName>
    <definedName name="wrn.fcb2" hidden="1">{"FCB_ALL",#N/A,FALSE,"FCB"}</definedName>
    <definedName name="wrn.FOschedules." localSheetId="0" hidden="1">{"FOschedule1",#N/A,FALSE,"Sheet1";"FOschedule2",#N/A,FALSE,"Sheet1";"FOschedule3",#N/A,FALSE,"Sheet1"}</definedName>
    <definedName name="wrn.FOschedules." hidden="1">{"FOschedule1",#N/A,FALSE,"Sheet1";"FOschedule2",#N/A,FALSE,"Sheet1";"FOschedule3",#N/A,FALSE,"Sheet1"}</definedName>
    <definedName name="wrn.Garage." localSheetId="0" hidden="1">{#N/A,#N/A,FALSE,"Garage Assumpt 1";#N/A,#N/A,FALSE,"Garage Op Proj";#N/A,#N/A,FALSE,"Hist I&amp;E";#N/A,#N/A,FALSE,"Garage Lease"}</definedName>
    <definedName name="wrn.Garage." hidden="1">{#N/A,#N/A,FALSE,"Garage Assumpt 1";#N/A,#N/A,FALSE,"Garage Op Proj";#N/A,#N/A,FALSE,"Hist I&amp;E";#N/A,#N/A,FALSE,"Garage Lease"}</definedName>
    <definedName name="wrn.GSA._.PRINT." localSheetId="0" hidden="1">{#N/A,#N/A,FALSE,"DEV COSTS";#N/A,#N/A,FALSE,"10-YR C. F."}</definedName>
    <definedName name="wrn.GSA._.PRINT." hidden="1">{#N/A,#N/A,FALSE,"DEV COSTS";#N/A,#N/A,FALSE,"10-YR C. F."}</definedName>
    <definedName name="wrn.gsa._PRINT5" localSheetId="0" hidden="1">{#N/A,#N/A,FALSE,"DEV COSTS";#N/A,#N/A,FALSE,"10-YR C. F."}</definedName>
    <definedName name="wrn.gsa._PRINT5" hidden="1">{#N/A,#N/A,FALSE,"DEV COSTS";#N/A,#N/A,FALSE,"10-YR C. F."}</definedName>
    <definedName name="wrn.Hist._.InE." localSheetId="0" hidden="1">{#N/A,#N/A,FALSE,"Hist I&amp;E - Consol";#N/A,#N/A,FALSE,"Hist I&amp;E - Lakes";#N/A,#N/A,FALSE,"Hist I&amp;E - Chabot";#N/A,#N/A,FALSE,"Hist I&amp;E - Diablo"}</definedName>
    <definedName name="wrn.Hist._.InE." hidden="1">{#N/A,#N/A,FALSE,"Hist I&amp;E - Consol";#N/A,#N/A,FALSE,"Hist I&amp;E - Lakes";#N/A,#N/A,FALSE,"Hist I&amp;E - Chabot";#N/A,#N/A,FALSE,"Hist I&amp;E - Diablo"}</definedName>
    <definedName name="wrn.Hist._.InE2." localSheetId="0" hidden="1">{#N/A,#N/A,FALSE,"Hist I&amp;E - #2";#N/A,#N/A,FALSE,"Hist I&amp;E - #3";#N/A,#N/A,FALSE,"Hist I&amp;E - #4";#N/A,#N/A,FALSE,"Hist I&amp;E - #5";#N/A,#N/A,FALSE,"Hist I&amp;E - #6";#N/A,#N/A,FALSE,"Hist I&amp;E - #8";#N/A,#N/A,FALSE,"Hist I&amp;E - #9";#N/A,#N/A,FALSE,"Hist I&amp;E - #10"}</definedName>
    <definedName name="wrn.Hist._.InE2." hidden="1">{#N/A,#N/A,FALSE,"Hist I&amp;E - #2";#N/A,#N/A,FALSE,"Hist I&amp;E - #3";#N/A,#N/A,FALSE,"Hist I&amp;E - #4";#N/A,#N/A,FALSE,"Hist I&amp;E - #5";#N/A,#N/A,FALSE,"Hist I&amp;E - #6";#N/A,#N/A,FALSE,"Hist I&amp;E - #8";#N/A,#N/A,FALSE,"Hist I&amp;E - #9";#N/A,#N/A,FALSE,"Hist I&amp;E - #10"}</definedName>
    <definedName name="wrn.Income._.Statements." localSheetId="0" hidden="1">{"Annual Income",#N/A,FALSE,"Revenues";"Quarter Income",#N/A,FALSE,"Revenues"}</definedName>
    <definedName name="wrn.Income._.Statements." hidden="1">{"Annual Income",#N/A,FALSE,"Revenues";"Quarter Income",#N/A,FALSE,"Revenues"}</definedName>
    <definedName name="wrn.LoanInformation." localSheetId="0" hidden="1">{#N/A,#N/A,FALSE,"LoanAssumptions"}</definedName>
    <definedName name="wrn.LoanInformation." hidden="1">{#N/A,#N/A,FALSE,"LoanAssumptions"}</definedName>
    <definedName name="wrn.MATRICES._.and._.CFs." localSheetId="0" hidden="1">{#N/A,#N/A,FALSE,"Assumptions";#N/A,#N/A,FALSE,"Consol CF";#N/A,#N/A,FALSE,"matx B4 DS";#N/A,#N/A,FALSE,"Hacienda CF";#N/A,#N/A,FALSE,"matx B4 DS Hac";#N/A,#N/A,FALSE,"Chabot CF";#N/A,#N/A,FALSE,"matx B4 DS Chabot";#N/A,#N/A,FALSE,"Diablo CF";#N/A,#N/A,FALSE,"matx B4 DS Diablo"}</definedName>
    <definedName name="wrn.MATRICES._.and._.CFs." hidden="1">{#N/A,#N/A,FALSE,"Assumptions";#N/A,#N/A,FALSE,"Consol CF";#N/A,#N/A,FALSE,"matx B4 DS";#N/A,#N/A,FALSE,"Hacienda CF";#N/A,#N/A,FALSE,"matx B4 DS Hac";#N/A,#N/A,FALSE,"Chabot CF";#N/A,#N/A,FALSE,"matx B4 DS Chabot";#N/A,#N/A,FALSE,"Diablo CF";#N/A,#N/A,FALSE,"matx B4 DS Diablo"}</definedName>
    <definedName name="wrn.MATRICIES._.ONLY." localSheetId="0" hidden="1">{#N/A,#N/A,FALSE,"matx B4 DS";#N/A,#N/A,FALSE,"matx B4 DS Hac";#N/A,#N/A,FALSE,"matx B4 DS Chabot";#N/A,#N/A,FALSE,"matx B4 DS Diablo"}</definedName>
    <definedName name="wrn.MATRICIES._.ONLY." hidden="1">{#N/A,#N/A,FALSE,"matx B4 DS";#N/A,#N/A,FALSE,"matx B4 DS Hac";#N/A,#N/A,FALSE,"matx B4 DS Chabot";#N/A,#N/A,FALSE,"matx B4 DS Diablo"}</definedName>
    <definedName name="wrn.MODEL." localSheetId="0" hidden="1">{"IS",#N/A,FALSE,"Income Statement";"ISR",#N/A,FALSE,"Income Statement Ratios";"BS",#N/A,FALSE,"Balance Sheet";"BSR",#N/A,FALSE,"Balance Sheet Ratios";"CF",#N/A,FALSE,"Cash Flow";"SALES",#N/A,FALSE,"Sales Analysis";"RR",#N/A,FALSE,"Recent Results"}</definedName>
    <definedName name="wrn.MODEL." hidden="1">{"IS",#N/A,FALSE,"Income Statement";"ISR",#N/A,FALSE,"Income Statement Ratios";"BS",#N/A,FALSE,"Balance Sheet";"BSR",#N/A,FALSE,"Balance Sheet Ratios";"CF",#N/A,FALSE,"Cash Flow";"SALES",#N/A,FALSE,"Sales Analysis";"RR",#N/A,FALSE,"Recent Results"}</definedName>
    <definedName name="wrn.MODEL5" localSheetId="0" hidden="1">{"IS",#N/A,FALSE,"Income Statement";"ISR",#N/A,FALSE,"Income Statement Ratios";"BS",#N/A,FALSE,"Balance Sheet";"BSR",#N/A,FALSE,"Balance Sheet Ratios";"CF",#N/A,FALSE,"Cash Flow";"SALES",#N/A,FALSE,"Sales Analysis";"RR",#N/A,FALSE,"Recent Results"}</definedName>
    <definedName name="wrn.MODEL5" hidden="1">{"IS",#N/A,FALSE,"Income Statement";"ISR",#N/A,FALSE,"Income Statement Ratios";"BS",#N/A,FALSE,"Balance Sheet";"BSR",#N/A,FALSE,"Balance Sheet Ratios";"CF",#N/A,FALSE,"Cash Flow";"SALES",#N/A,FALSE,"Sales Analysis";"RR",#N/A,FALSE,"Recent Results"}</definedName>
    <definedName name="wrn.MonthlyRentRoll." localSheetId="0" hidden="1">{"MonthlyRentRoll",#N/A,FALSE,"RentRoll"}</definedName>
    <definedName name="wrn.MonthlyRentRoll." hidden="1">{"MonthlyRentRoll",#N/A,FALSE,"RentRoll"}</definedName>
    <definedName name="wrn.OperatingAssumtions." localSheetId="0" hidden="1">{#N/A,#N/A,FALSE,"OperatingAssumptions"}</definedName>
    <definedName name="wrn.OperatingAssumtions." hidden="1">{#N/A,#N/A,FALSE,"OperatingAssumptions"}</definedName>
    <definedName name="wrn.PR_TRIAL_BALANCE." localSheetId="0" hidden="1">{"TB_PR","50",FALSE,"PR_TRIAL_BALANCE";"TB_PR","51",FALSE,"PR_TRIAL_BALANCE";"TB_PR","52",FALSE,"PR_TRIAL_BALANCE";"TB_PR","53",FALSE,"PR_TRIAL_BALANCE";"TB_PR","54",FALSE,"PR_TRIAL_BALANCE";"TB_PR","55",FALSE,"PR_TRIAL_BALANCE";"TB_PR","56",FALSE,"PR_TRIAL_BALANCE";"TB_PR","57",FALSE,"PR_TRIAL_BALANCE";"TB_PR","61",FALSE,"PR_TRIAL_BALANCE";"TB_PR","63",FALSE,"PR_TRIAL_BALANCE";"TB_PR","65",FALSE,"PR_TRIAL_BALANCE";"TB_PR","66",FALSE,"PR_TRIAL_BALANCE"}</definedName>
    <definedName name="wrn.PR_TRIAL_BALANCE." hidden="1">{"TB_PR","50",FALSE,"PR_TRIAL_BALANCE";"TB_PR","51",FALSE,"PR_TRIAL_BALANCE";"TB_PR","52",FALSE,"PR_TRIAL_BALANCE";"TB_PR","53",FALSE,"PR_TRIAL_BALANCE";"TB_PR","54",FALSE,"PR_TRIAL_BALANCE";"TB_PR","55",FALSE,"PR_TRIAL_BALANCE";"TB_PR","56",FALSE,"PR_TRIAL_BALANCE";"TB_PR","57",FALSE,"PR_TRIAL_BALANCE";"TB_PR","61",FALSE,"PR_TRIAL_BALANCE";"TB_PR","63",FALSE,"PR_TRIAL_BALANCE";"TB_PR","65",FALSE,"PR_TRIAL_BALANCE";"TB_PR","66",FALSE,"PR_TRIAL_BALANCE"}</definedName>
    <definedName name="wrn.Presentation." localSheetId="0" hidden="1">{#N/A,#N/A,TRUE,"Summary";"AnnualRentRoll",#N/A,TRUE,"RentRoll";#N/A,#N/A,TRUE,"ExitStratigy";#N/A,#N/A,TRUE,"OperatingAssumptions"}</definedName>
    <definedName name="wrn.Presentation." hidden="1">{#N/A,#N/A,TRUE,"Summary";"AnnualRentRoll",#N/A,TRUE,"RentRoll";#N/A,#N/A,TRUE,"ExitStratigy";#N/A,#N/A,TRUE,"OperatingAssumptions"}</definedName>
    <definedName name="wrn.print." localSheetId="0" hidden="1">{"Assump",#N/A,TRUE,"Proforma";"first",#N/A,TRUE,"Proforma";"second",#N/A,TRUE,"Proforma";"lease1",#N/A,TRUE,"Proforma";"lease2",#N/A,TRUE,"Proforma"}</definedName>
    <definedName name="wrn.print." hidden="1">{"Assump",#N/A,TRUE,"Proforma";"first",#N/A,TRUE,"Proforma";"second",#N/A,TRUE,"Proforma";"lease1",#N/A,TRUE,"Proforma";"lease2",#N/A,TRUE,"Proforma"}</definedName>
    <definedName name="wrn.Print._.4." localSheetId="0" hidden="1">{"Outflow 1",#N/A,FALSE,"Outflows-Inflows";"Outflow 2",#N/A,FALSE,"Outflows-Inflows";"Inflow 1",#N/A,FALSE,"Outflows-Inflows";"Inflow 2",#N/A,FALSE,"Outflows-Inflows"}</definedName>
    <definedName name="wrn.Print._.4." hidden="1">{"Outflow 1",#N/A,FALSE,"Outflows-Inflows";"Outflow 2",#N/A,FALSE,"Outflows-Inflows";"Inflow 1",#N/A,FALSE,"Outflows-Inflows";"Inflow 2",#N/A,FALSE,"Outflows-Inflows"}</definedName>
    <definedName name="wrn.Print._.6." localSheetId="0" hidden="1">{"print 1.6",#N/A,FALSE,"Sheet1";"print 2.6",#N/A,FALSE,"Sheet1";"print 3.6",#N/A,FALSE,"Sheet1";"print 4.6",#N/A,FALSE,"Sheet1";"print 5.6",#N/A,FALSE,"Sheet1";"print 6.6",#N/A,FALSE,"Sheet1"}</definedName>
    <definedName name="wrn.Print._.6." hidden="1">{"print 1.6",#N/A,FALSE,"Sheet1";"print 2.6",#N/A,FALSE,"Sheet1";"print 3.6",#N/A,FALSE,"Sheet1";"print 4.6",#N/A,FALSE,"Sheet1";"print 5.6",#N/A,FALSE,"Sheet1";"print 6.6",#N/A,FALSE,"Sheet1"}</definedName>
    <definedName name="wrn.print._.graphs." localSheetId="0"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raw._.data._.entry." localSheetId="0" hidden="1">{"inputs raw data",#N/A,TRUE,"INPUT"}</definedName>
    <definedName name="wrn.print._.raw._.data._.entry." hidden="1">{"inputs raw data",#N/A,TRUE,"INPUT"}</definedName>
    <definedName name="wrn.print._.summary._.sheets." localSheetId="0" hidden="1">{"summary1",#N/A,TRUE,"Comps";"summary2",#N/A,TRUE,"Comps";"summary3",#N/A,TRUE,"Comps"}</definedName>
    <definedName name="wrn.print._.summary._.sheets." hidden="1">{"summary1",#N/A,TRUE,"Comps";"summary2",#N/A,TRUE,"Comps";"summary3",#N/A,TRUE,"Comps"}</definedName>
    <definedName name="wrn.print2." localSheetId="0" hidden="1">{"Assump",#N/A,TRUE,"Proforma";"first",#N/A,TRUE,"Proforma";"second",#N/A,TRUE,"Proforma";"lease1",#N/A,TRUE,"Proforma";"lease2",#N/A,TRUE,"Proforma"}</definedName>
    <definedName name="wrn.print2." hidden="1">{"Assump",#N/A,TRUE,"Proforma";"first",#N/A,TRUE,"Proforma";"second",#N/A,TRUE,"Proforma";"lease1",#N/A,TRUE,"Proforma";"lease2",#N/A,TRUE,"Proforma"}</definedName>
    <definedName name="wrn.print5" localSheetId="0" hidden="1">{"Assump",#N/A,TRUE,"Proforma";"first",#N/A,TRUE,"Proforma";"second",#N/A,TRUE,"Proforma";"lease1",#N/A,TRUE,"Proforma";"lease2",#N/A,TRUE,"Proforma"}</definedName>
    <definedName name="wrn.print5" hidden="1">{"Assump",#N/A,TRUE,"Proforma";"first",#N/A,TRUE,"Proforma";"second",#N/A,TRUE,"Proforma";"lease1",#N/A,TRUE,"Proforma";"lease2",#N/A,TRUE,"Proforma"}</definedName>
    <definedName name="wrn.PropertyInformation." localSheetId="0" hidden="1">{#N/A,#N/A,FALSE,"PropertyInfo"}</definedName>
    <definedName name="wrn.PropertyInformation." hidden="1">{#N/A,#N/A,FALSE,"PropertyInfo"}</definedName>
    <definedName name="wrn.Report." localSheetId="0" hidden="1">{#N/A,#N/A,FALSE,"Summary";#N/A,#N/A,FALSE,"Assumptions";#N/A,#N/A,FALSE,"Cash Flow";#N/A,#N/A,FALSE,"Residual Calculation";#N/A,#N/A,FALSE,"Pricing Matrix";#N/A,#N/A,FALSE,"Pricing Matrix II";#N/A,#N/A,FALSE,"Expiration Schedule"}</definedName>
    <definedName name="wrn.Report." hidden="1">{#N/A,#N/A,FALSE,"Summary";#N/A,#N/A,FALSE,"Assumptions";#N/A,#N/A,FALSE,"Cash Flow";#N/A,#N/A,FALSE,"Residual Calculation";#N/A,#N/A,FALSE,"Pricing Matrix";#N/A,#N/A,FALSE,"Pricing Matrix II";#N/A,#N/A,FALSE,"Expiration Schedule"}</definedName>
    <definedName name="wrn.Report1." localSheetId="0" hidden="1">{#N/A,#N/A,FALSE,"Summary";#N/A,#N/A,FALSE,"Assumptions";#N/A,#N/A,FALSE,"Cash Flow";#N/A,#N/A,FALSE,"Residual Calculation";#N/A,#N/A,FALSE,"Pricing Matrix";#N/A,#N/A,FALSE,"Pricing Matrix II";#N/A,#N/A,FALSE,"Expiration Schedule"}</definedName>
    <definedName name="wrn.Report1." hidden="1">{#N/A,#N/A,FALSE,"Summary";#N/A,#N/A,FALSE,"Assumptions";#N/A,#N/A,FALSE,"Cash Flow";#N/A,#N/A,FALSE,"Residual Calculation";#N/A,#N/A,FALSE,"Pricing Matrix";#N/A,#N/A,FALSE,"Pricing Matrix II";#N/A,#N/A,FALSE,"Expiration Schedule"}</definedName>
    <definedName name="wrn.Report5" localSheetId="0" hidden="1">{#N/A,#N/A,FALSE,"Summary";#N/A,#N/A,FALSE,"Assumptions";#N/A,#N/A,FALSE,"Cash Flow";#N/A,#N/A,FALSE,"Residual Calculation";#N/A,#N/A,FALSE,"Pricing Matrix";#N/A,#N/A,FALSE,"Pricing Matrix II";#N/A,#N/A,FALSE,"Expiration Schedule"}</definedName>
    <definedName name="wrn.Report5" hidden="1">{#N/A,#N/A,FALSE,"Summary";#N/A,#N/A,FALSE,"Assumptions";#N/A,#N/A,FALSE,"Cash Flow";#N/A,#N/A,FALSE,"Residual Calculation";#N/A,#N/A,FALSE,"Pricing Matrix";#N/A,#N/A,FALSE,"Pricing Matrix II";#N/A,#N/A,FALSE,"Expiration Schedule"}</definedName>
    <definedName name="wrn.schedules." localSheetId="0" hidden="1">{"schedule1",#N/A,FALSE,"Sheet1";"schedule2",#N/A,FALSE,"Sheet1";"schedule3",#N/A,FALSE,"Sheet1";"schedule4",#N/A,FALSE,"Sheet1";"schedule5",#N/A,FALSE,"Sheet1";"schedule6",#N/A,FALSE,"Sheet1"}</definedName>
    <definedName name="wrn.schedules." hidden="1">{"schedule1",#N/A,FALSE,"Sheet1";"schedule2",#N/A,FALSE,"Sheet1";"schedule3",#N/A,FALSE,"Sheet1";"schedule4",#N/A,FALSE,"Sheet1";"schedule5",#N/A,FALSE,"Sheet1";"schedule6",#N/A,FALSE,"Sheet1"}</definedName>
    <definedName name="wrn.Short._.Print." localSheetId="0" hidden="1">{#N/A,#N/A,FALSE,"Cover";#N/A,#N/A,FALSE,"Stack";#N/A,#N/A,FALSE,"Cost S";#N/A,#N/A,FALSE," CF";#N/A,#N/A,FALSE,"Investor"}</definedName>
    <definedName name="wrn.Short._.Print." hidden="1">{#N/A,#N/A,FALSE,"Cover";#N/A,#N/A,FALSE,"Stack";#N/A,#N/A,FALSE,"Cost S";#N/A,#N/A,FALSE," CF";#N/A,#N/A,FALSE,"Investor"}</definedName>
    <definedName name="wrn.Side._.by._.Side." localSheetId="0" hidden="1">{"Side 99",#N/A,FALSE,"S&amp;U Side by Side"}</definedName>
    <definedName name="wrn.Side._.by._.Side." hidden="1">{"Side 99",#N/A,FALSE,"S&amp;U Side by Side"}</definedName>
    <definedName name="wrn.STAND_ALONE_BOTH." localSheetId="0" hidden="1">{"FCB_ALL",#N/A,FALSE,"FCB";"GREY_ALL",#N/A,FALSE,"GREY"}</definedName>
    <definedName name="wrn.STAND_ALONE_BOTH." hidden="1">{"FCB_ALL",#N/A,FALSE,"FCB";"GREY_ALL",#N/A,FALSE,"GREY"}</definedName>
    <definedName name="wrn.Summary." localSheetId="0" hidden="1">{#N/A,#N/A,FALSE,"Summary"}</definedName>
    <definedName name="wrn.Summary." hidden="1">{#N/A,#N/A,FALSE,"Summary"}</definedName>
    <definedName name="wrn.Total." localSheetId="0" hidden="1">{#N/A,#N/A,FALSE,"Exec Sum";#N/A,#N/A,FALSE,"Rent Rate Comp";#N/A,#N/A,FALSE,"Rate, NPV Comp";#N/A,#N/A,FALSE,"Opt A NNN";#N/A,#N/A,FALSE,"15-yr Opt. A Sum";#N/A,#N/A,FALSE,"15-yr Opt A Other Costs";#N/A,#N/A,FALSE,"10-yr Opt. A Sum";#N/A,#N/A,FALSE,"10-yr Opt A Other Costs";#N/A,#N/A,FALSE,"NPV Calc"}</definedName>
    <definedName name="wrn.Total." hidden="1">{#N/A,#N/A,FALSE,"Exec Sum";#N/A,#N/A,FALSE,"Rent Rate Comp";#N/A,#N/A,FALSE,"Rate, NPV Comp";#N/A,#N/A,FALSE,"Opt A NNN";#N/A,#N/A,FALSE,"15-yr Opt. A Sum";#N/A,#N/A,FALSE,"15-yr Opt A Other Costs";#N/A,#N/A,FALSE,"10-yr Opt. A Sum";#N/A,#N/A,FALSE,"10-yr Opt A Other Costs";#N/A,#N/A,FALSE,"NPV Calc"}</definedName>
    <definedName name="wrn.TOTAL._.SHEETS." localSheetId="0" hidden="1">{#N/A,#N/A,FALSE,"DEV COSTS";#N/A,#N/A,FALSE,"10-YR C. F."}</definedName>
    <definedName name="wrn.TOTAL._.SHEETS." hidden="1">{#N/A,#N/A,FALSE,"DEV COSTS";#N/A,#N/A,FALSE,"10-YR C. F."}</definedName>
    <definedName name="wrn.TOTAL._.SHEETS5" localSheetId="0" hidden="1">{#N/A,#N/A,FALSE,"DEV COSTS";#N/A,#N/A,FALSE,"10-YR C. F."}</definedName>
    <definedName name="wrn.TOTAL._.SHEETS5" hidden="1">{#N/A,#N/A,FALSE,"DEV COSTS";#N/A,#N/A,FALSE,"10-YR C. F."}</definedName>
    <definedName name="wrn.Total5" localSheetId="0" hidden="1">{#N/A,#N/A,FALSE,"Exec Sum";#N/A,#N/A,FALSE,"Rent Rate Comp";#N/A,#N/A,FALSE,"Rate, NPV Comp";#N/A,#N/A,FALSE,"Opt A NNN";#N/A,#N/A,FALSE,"15-yr Opt. A Sum";#N/A,#N/A,FALSE,"15-yr Opt A Other Costs";#N/A,#N/A,FALSE,"10-yr Opt. A Sum";#N/A,#N/A,FALSE,"10-yr Opt A Other Costs";#N/A,#N/A,FALSE,"NPV Calc"}</definedName>
    <definedName name="wrn.Total5" hidden="1">{#N/A,#N/A,FALSE,"Exec Sum";#N/A,#N/A,FALSE,"Rent Rate Comp";#N/A,#N/A,FALSE,"Rate, NPV Comp";#N/A,#N/A,FALSE,"Opt A NNN";#N/A,#N/A,FALSE,"15-yr Opt. A Sum";#N/A,#N/A,FALSE,"15-yr Opt A Other Costs";#N/A,#N/A,FALSE,"10-yr Opt. A Sum";#N/A,#N/A,FALSE,"10-yr Opt A Other Costs";#N/A,#N/A,FALSE,"NPV Calc"}</definedName>
    <definedName name="wrn.Tycon._.Model." localSheetId="0" hidden="1">{"rtn",#N/A,FALSE,"RTN";"tables",#N/A,FALSE,"RTN";"cf",#N/A,FALSE,"CF";"stats",#N/A,FALSE,"Stats";"prop",#N/A,FALSE,"Prop"}</definedName>
    <definedName name="wrn.Tycon._.Model." hidden="1">{"rtn",#N/A,FALSE,"RTN";"tables",#N/A,FALSE,"RTN";"cf",#N/A,FALSE,"CF";"stats",#N/A,FALSE,"Stats";"prop",#N/A,FALSE,"Prop"}</definedName>
    <definedName name="wt"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t"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inputs._.raw._.dat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lg" localSheetId="0" hidden="1">{"schedule1",#N/A,FALSE,"Sheet1";"schedule2",#N/A,FALSE,"Sheet1";"schedule3",#N/A,FALSE,"Sheet1";"schedule4",#N/A,FALSE,"Sheet1";"schedule5",#N/A,FALSE,"Sheet1";"schedule6",#N/A,FALSE,"Sheet1"}</definedName>
    <definedName name="xlg" hidden="1">{"schedule1",#N/A,FALSE,"Sheet1";"schedule2",#N/A,FALSE,"Sheet1";"schedule3",#N/A,FALSE,"Sheet1";"schedule4",#N/A,FALSE,"Sheet1";"schedule5",#N/A,FALSE,"Sheet1";"schedule6",#N/A,FALSE,"Sheet1"}</definedName>
    <definedName name="xlg1" localSheetId="0" hidden="1">{"Year 1",#N/A,FALSE,"Budget";"Year 2",#N/A,FALSE,"Budget";"Year 3",#N/A,FALSE,"Budget";"Year 4",#N/A,FALSE,"Budget"}</definedName>
    <definedName name="xlg1" hidden="1">{"Year 1",#N/A,FALSE,"Budget";"Year 2",#N/A,FALSE,"Budget";"Year 3",#N/A,FALSE,"Budget";"Year 4",#N/A,FALSE,"Budget"}</definedName>
    <definedName name="YGJ"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YGJ" hidden="1">{TRUE,TRUE,-1.25,-15.5,604.5,369,FALSE,FALSE,TRUE,TRUE,0,1,83,1,38,4,5,4,TRUE,TRUE,3,TRUE,1,TRUE,75,"Swvu.inputs._.raw._.data.","ACwvu.inputs._.raw._.data.",#N/A,FALSE,FALSE,0.5,0.5,0.5,0.5,2,"&amp;F","&amp;A&amp;RPage &amp;P",FALSE,FALSE,FALSE,FALSE,1,60,#N/A,#N/A,"=R1C61:R53C89","=C1:C5",#N/A,#N/A,FALSE,FALSE,FALSE,1,600,600,FALSE,FALSE,TRUE,TRUE,TRUE}</definedName>
  </definedNames>
  <calcPr calcId="162913"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63" l="1"/>
  <c r="G361" i="62"/>
  <c r="G360" i="62"/>
  <c r="G359" i="62"/>
  <c r="G358" i="62"/>
  <c r="G357" i="62"/>
  <c r="G356" i="62"/>
  <c r="G355" i="62"/>
  <c r="G354" i="62"/>
  <c r="G353" i="62"/>
  <c r="G352" i="62"/>
  <c r="G351" i="62"/>
  <c r="G350" i="62"/>
  <c r="G349" i="62"/>
  <c r="G348" i="62"/>
  <c r="G347" i="62"/>
  <c r="G346" i="62"/>
  <c r="G345" i="62"/>
  <c r="G344" i="62"/>
  <c r="G343" i="62"/>
  <c r="G342" i="62"/>
  <c r="G341" i="62"/>
  <c r="G340" i="62"/>
  <c r="G339" i="62"/>
  <c r="G338" i="62"/>
  <c r="G337" i="62"/>
  <c r="G336" i="62"/>
  <c r="G335" i="62"/>
  <c r="G334" i="62"/>
  <c r="G333" i="62"/>
  <c r="G332" i="62"/>
  <c r="G331" i="62"/>
  <c r="G330" i="62"/>
  <c r="G329" i="62"/>
  <c r="G328" i="62"/>
  <c r="G327" i="62"/>
  <c r="G326" i="62"/>
  <c r="G325" i="62"/>
  <c r="G324" i="62"/>
  <c r="G323" i="62"/>
  <c r="G322" i="62"/>
  <c r="G321" i="62"/>
  <c r="G320" i="62"/>
  <c r="G319" i="62"/>
  <c r="G318" i="62"/>
  <c r="G317" i="62"/>
  <c r="G316" i="62"/>
  <c r="G315" i="62"/>
  <c r="G314" i="62"/>
  <c r="G313" i="62"/>
  <c r="G312" i="62"/>
  <c r="G311" i="62"/>
  <c r="G310" i="62"/>
  <c r="G309" i="62"/>
  <c r="G308" i="62"/>
  <c r="G307" i="62"/>
  <c r="G306" i="62"/>
  <c r="G305" i="62"/>
  <c r="G304" i="62"/>
  <c r="G303" i="62"/>
  <c r="G302" i="62"/>
  <c r="G301" i="62"/>
  <c r="G300" i="62"/>
  <c r="G299" i="62"/>
  <c r="G298" i="62"/>
  <c r="G297" i="62"/>
  <c r="G296" i="62"/>
  <c r="G295" i="62"/>
  <c r="G294" i="62"/>
  <c r="G293" i="62"/>
  <c r="G292" i="62"/>
  <c r="G291" i="62"/>
  <c r="G290" i="62"/>
  <c r="G289" i="62"/>
  <c r="G288" i="62"/>
  <c r="G287" i="62"/>
  <c r="G286" i="62"/>
  <c r="G285" i="62"/>
  <c r="G284" i="62"/>
  <c r="G283" i="62"/>
  <c r="G282" i="62"/>
  <c r="G281" i="62"/>
  <c r="G280" i="62"/>
  <c r="G279" i="62"/>
  <c r="G278" i="62"/>
  <c r="G277" i="62"/>
  <c r="G276" i="62"/>
  <c r="G275" i="62"/>
  <c r="G274" i="62"/>
  <c r="G273" i="62"/>
  <c r="G272" i="62"/>
  <c r="G271" i="62"/>
  <c r="G270" i="62"/>
  <c r="G269" i="62"/>
  <c r="G268" i="62"/>
  <c r="G267" i="62"/>
  <c r="G266" i="62"/>
  <c r="G265" i="62"/>
  <c r="G264" i="62"/>
  <c r="G263" i="62"/>
  <c r="G262" i="62"/>
  <c r="G261" i="62"/>
  <c r="G260" i="62"/>
  <c r="G259" i="62"/>
  <c r="G258" i="62"/>
  <c r="G257" i="62"/>
  <c r="G256" i="62"/>
  <c r="G255" i="62"/>
  <c r="G254" i="62"/>
  <c r="G253" i="62"/>
  <c r="G252" i="62"/>
  <c r="G251" i="62"/>
  <c r="G250" i="62"/>
  <c r="G249" i="62"/>
  <c r="G248" i="62"/>
  <c r="G247" i="62"/>
  <c r="G246" i="62"/>
  <c r="G245" i="62"/>
  <c r="G244" i="62"/>
  <c r="G243" i="62"/>
  <c r="G242" i="62"/>
  <c r="G241" i="62"/>
  <c r="G240" i="62"/>
  <c r="G239" i="62"/>
  <c r="G238" i="62"/>
  <c r="G237" i="62"/>
  <c r="G236" i="62"/>
  <c r="G235" i="62"/>
  <c r="G234" i="62"/>
  <c r="G233" i="62"/>
  <c r="G232" i="62"/>
  <c r="G231" i="62"/>
  <c r="G230" i="62"/>
  <c r="G229" i="62"/>
  <c r="G228" i="62"/>
  <c r="G227" i="62"/>
  <c r="G226" i="62"/>
  <c r="G225" i="62"/>
  <c r="G224" i="62"/>
  <c r="G223" i="62"/>
  <c r="G222" i="62"/>
  <c r="G221" i="62"/>
  <c r="G220" i="62"/>
  <c r="G219" i="62"/>
  <c r="G218" i="62"/>
  <c r="G217" i="62"/>
  <c r="G216" i="62"/>
  <c r="G215" i="62"/>
  <c r="G214" i="62"/>
  <c r="G213" i="62"/>
  <c r="G212" i="62"/>
  <c r="G211" i="62"/>
  <c r="G210" i="62"/>
  <c r="G209" i="62"/>
  <c r="G208" i="62"/>
  <c r="G207" i="62"/>
  <c r="G206" i="62"/>
  <c r="G205" i="62"/>
  <c r="G204" i="62"/>
  <c r="G203" i="62"/>
  <c r="G202" i="62"/>
  <c r="G201" i="62"/>
  <c r="G200" i="62"/>
  <c r="G199" i="62"/>
  <c r="G198" i="62"/>
  <c r="G197" i="62"/>
  <c r="G196" i="62"/>
  <c r="G195" i="62"/>
  <c r="G194" i="62"/>
  <c r="G193" i="62"/>
  <c r="G192" i="62"/>
  <c r="G191" i="62"/>
  <c r="G190" i="62"/>
  <c r="G189" i="62"/>
  <c r="G188" i="62"/>
  <c r="G187" i="62"/>
  <c r="G186" i="62"/>
  <c r="G185" i="62"/>
  <c r="G184" i="62"/>
  <c r="G183" i="62"/>
  <c r="G182" i="62"/>
  <c r="G181" i="62"/>
  <c r="G180" i="62"/>
  <c r="G179" i="62"/>
  <c r="G178" i="62"/>
  <c r="G177" i="62"/>
  <c r="G176" i="62"/>
  <c r="G175" i="62"/>
  <c r="G174" i="62"/>
  <c r="G173" i="62"/>
  <c r="G172" i="62"/>
  <c r="G171" i="62"/>
  <c r="G170" i="62"/>
  <c r="G169" i="62"/>
  <c r="G168" i="62"/>
  <c r="G167" i="62"/>
  <c r="G166" i="62"/>
  <c r="G165" i="62"/>
  <c r="G164" i="62"/>
  <c r="G163" i="62"/>
  <c r="G162" i="62"/>
  <c r="G161" i="62"/>
  <c r="G160" i="62"/>
  <c r="G159" i="62"/>
  <c r="G158" i="62"/>
  <c r="G157" i="62"/>
  <c r="G156" i="62"/>
  <c r="G155" i="62"/>
  <c r="G154" i="62"/>
  <c r="G153" i="62"/>
  <c r="G152" i="62"/>
  <c r="G151" i="62"/>
  <c r="G150" i="62"/>
  <c r="G149" i="62"/>
  <c r="G148" i="62"/>
  <c r="G147" i="62"/>
  <c r="G146" i="62"/>
  <c r="G145" i="62"/>
  <c r="G144" i="62"/>
  <c r="G143" i="62"/>
  <c r="G142" i="62"/>
  <c r="G141" i="62"/>
  <c r="G140" i="62"/>
  <c r="G139" i="62"/>
  <c r="G138" i="62"/>
  <c r="G137" i="62"/>
  <c r="G136" i="62"/>
  <c r="G135" i="62"/>
  <c r="G134" i="62"/>
  <c r="G133" i="62"/>
  <c r="G132" i="62"/>
  <c r="G131" i="62"/>
  <c r="G130" i="62"/>
  <c r="G129" i="62"/>
  <c r="G128" i="62"/>
  <c r="G127" i="62"/>
  <c r="G126" i="62"/>
  <c r="G125" i="62"/>
  <c r="G124" i="62"/>
  <c r="G123" i="62"/>
  <c r="G122" i="62"/>
  <c r="G121" i="62"/>
  <c r="G120" i="62"/>
  <c r="G119" i="62"/>
  <c r="G118" i="62"/>
  <c r="G117" i="62"/>
  <c r="G116" i="62"/>
  <c r="G115" i="62"/>
  <c r="G114" i="62"/>
  <c r="G113" i="62"/>
  <c r="G112" i="62"/>
  <c r="G111" i="62"/>
  <c r="G110" i="62"/>
  <c r="G109" i="62"/>
  <c r="G108" i="62"/>
  <c r="G107" i="62"/>
  <c r="G106" i="62"/>
  <c r="G105" i="62"/>
  <c r="G104" i="62"/>
  <c r="G103" i="62"/>
  <c r="G102" i="62"/>
  <c r="G101" i="62"/>
  <c r="G100" i="62"/>
  <c r="G99" i="62"/>
  <c r="G98" i="62"/>
  <c r="G97" i="62"/>
  <c r="G96" i="62"/>
  <c r="G95" i="62"/>
  <c r="G94" i="62"/>
  <c r="G93" i="62"/>
  <c r="G92" i="62"/>
  <c r="G91" i="62"/>
  <c r="G90" i="62"/>
  <c r="G89" i="62"/>
  <c r="G88" i="62"/>
  <c r="G87" i="62"/>
  <c r="G86" i="62"/>
  <c r="G85" i="62"/>
  <c r="G84" i="62"/>
  <c r="G83" i="62"/>
  <c r="G82" i="62"/>
  <c r="G81" i="62"/>
  <c r="G80" i="62"/>
  <c r="G79" i="62"/>
  <c r="G78" i="62"/>
  <c r="G77" i="62"/>
  <c r="G76" i="62"/>
  <c r="G75" i="62"/>
  <c r="G74" i="62"/>
  <c r="G73" i="62"/>
  <c r="G72" i="62"/>
  <c r="G71" i="62"/>
  <c r="G70" i="62"/>
  <c r="G69" i="62"/>
  <c r="G68" i="62"/>
  <c r="G67" i="62"/>
  <c r="G66" i="62"/>
  <c r="G65" i="62"/>
  <c r="G64" i="62"/>
  <c r="G63" i="62"/>
  <c r="G62" i="62"/>
  <c r="G61" i="62"/>
  <c r="G60" i="62"/>
  <c r="G59" i="62"/>
  <c r="G58" i="62"/>
  <c r="G57" i="62"/>
  <c r="G56" i="62"/>
  <c r="G55" i="62"/>
  <c r="G54" i="62"/>
  <c r="G53" i="62"/>
  <c r="G52" i="62"/>
  <c r="G51" i="62"/>
  <c r="G50" i="62"/>
  <c r="G49" i="62"/>
  <c r="G48" i="62"/>
  <c r="G47" i="62"/>
  <c r="G46" i="62"/>
  <c r="G45" i="62"/>
  <c r="G44" i="62"/>
  <c r="G43" i="62"/>
  <c r="G42" i="62"/>
  <c r="G41" i="62"/>
  <c r="G40" i="62"/>
  <c r="G39" i="62"/>
  <c r="G38" i="62"/>
  <c r="G37" i="62"/>
  <c r="G36" i="62"/>
  <c r="G35" i="62"/>
  <c r="G34" i="62"/>
  <c r="G33" i="62"/>
  <c r="G32" i="62"/>
  <c r="G31" i="62"/>
  <c r="G30" i="62"/>
  <c r="G29" i="62"/>
  <c r="G28" i="62"/>
  <c r="G27" i="62"/>
  <c r="G26" i="62"/>
  <c r="G25" i="62"/>
  <c r="G24" i="62"/>
  <c r="G23" i="62"/>
  <c r="G22" i="62"/>
  <c r="G21" i="62"/>
  <c r="G20" i="62"/>
  <c r="G19" i="62"/>
  <c r="G18" i="62"/>
  <c r="G17" i="62"/>
  <c r="G16" i="62"/>
  <c r="G15" i="62"/>
  <c r="G14" i="62"/>
  <c r="G13" i="62"/>
  <c r="G12" i="62"/>
  <c r="G11" i="62"/>
  <c r="G10" i="62"/>
  <c r="G9" i="62"/>
  <c r="G8" i="62"/>
  <c r="G7" i="62"/>
  <c r="G6" i="62"/>
  <c r="G5" i="62"/>
  <c r="G4" i="62"/>
  <c r="G3" i="62"/>
  <c r="G2" i="62"/>
  <c r="E2" i="62"/>
  <c r="I2" i="62" s="1"/>
  <c r="E3" i="62" s="1"/>
  <c r="H3" i="62" s="1"/>
  <c r="D12" i="61"/>
  <c r="F5" i="61"/>
  <c r="F6" i="61"/>
  <c r="F3" i="61"/>
  <c r="F4" i="61"/>
  <c r="F2" i="61"/>
  <c r="D13" i="58"/>
  <c r="D8" i="58"/>
  <c r="H29" i="60"/>
  <c r="G29" i="60"/>
  <c r="F29" i="60"/>
  <c r="E29" i="60"/>
  <c r="D29" i="60"/>
  <c r="D28" i="60"/>
  <c r="D27" i="60"/>
  <c r="D26" i="60"/>
  <c r="H25" i="60"/>
  <c r="G25" i="60"/>
  <c r="F25" i="60"/>
  <c r="E25" i="60"/>
  <c r="D25" i="60"/>
  <c r="F22" i="60"/>
  <c r="F21" i="60"/>
  <c r="F20" i="60"/>
  <c r="F19" i="60"/>
  <c r="D14" i="60"/>
  <c r="D6" i="60"/>
  <c r="D27" i="57"/>
  <c r="D29" i="57" s="1"/>
  <c r="D28" i="57"/>
  <c r="D20" i="57"/>
  <c r="D18" i="57"/>
  <c r="D15" i="57"/>
  <c r="D13" i="57"/>
  <c r="D9" i="57"/>
  <c r="D7" i="57"/>
  <c r="D4" i="57"/>
  <c r="B20" i="56"/>
  <c r="B14" i="56"/>
  <c r="B13" i="56"/>
  <c r="B9" i="56"/>
  <c r="B12" i="56" s="1"/>
  <c r="B8" i="56"/>
  <c r="B7" i="56"/>
  <c r="B4" i="56"/>
  <c r="F6" i="55"/>
  <c r="E5" i="55"/>
  <c r="D4" i="55"/>
  <c r="C3" i="55"/>
  <c r="B2" i="55"/>
  <c r="C30" i="53"/>
  <c r="C29" i="53"/>
  <c r="C28" i="53"/>
  <c r="C24" i="53"/>
  <c r="C23" i="53"/>
  <c r="C22" i="53"/>
  <c r="C12" i="53"/>
  <c r="C2" i="53"/>
  <c r="C4" i="52"/>
  <c r="C3" i="52"/>
  <c r="C2" i="52"/>
  <c r="C18" i="51"/>
  <c r="C17" i="51"/>
  <c r="C14" i="51"/>
  <c r="C13" i="51"/>
  <c r="C10" i="51"/>
  <c r="C9" i="51"/>
  <c r="C6" i="51"/>
  <c r="C5" i="51"/>
  <c r="C2" i="51"/>
  <c r="G15" i="30"/>
  <c r="F15" i="30"/>
  <c r="H12" i="43"/>
  <c r="G9" i="43"/>
  <c r="H8" i="43"/>
  <c r="G8" i="43"/>
  <c r="G7" i="43"/>
  <c r="H6" i="43"/>
  <c r="G6" i="43"/>
  <c r="G4" i="43"/>
  <c r="G5" i="43"/>
  <c r="H4" i="43"/>
  <c r="G3" i="43"/>
  <c r="G2" i="43"/>
  <c r="H2" i="43"/>
  <c r="F3" i="62" l="1"/>
  <c r="H2" i="62"/>
  <c r="F2" i="62" s="1"/>
  <c r="I3" i="62"/>
  <c r="E4" i="62" s="1"/>
  <c r="O45" i="92"/>
  <c r="O45" i="70"/>
  <c r="H44" i="70"/>
  <c r="I44" i="70" s="1"/>
  <c r="J44" i="70" s="1"/>
  <c r="K44" i="70" s="1"/>
  <c r="L44" i="70" s="1"/>
  <c r="M44" i="70" s="1"/>
  <c r="N44" i="70" s="1"/>
  <c r="O44" i="70" s="1"/>
  <c r="G44" i="70"/>
  <c r="H44" i="92"/>
  <c r="I44" i="92" s="1"/>
  <c r="J44" i="92" s="1"/>
  <c r="K44" i="92" s="1"/>
  <c r="L44" i="92" s="1"/>
  <c r="M44" i="92" s="1"/>
  <c r="N44" i="92" s="1"/>
  <c r="O44" i="92" s="1"/>
  <c r="G44" i="92"/>
  <c r="I4" i="62" l="1"/>
  <c r="E5" i="62" s="1"/>
  <c r="H4" i="62"/>
  <c r="F4" i="62" s="1"/>
  <c r="E46" i="92"/>
  <c r="B46" i="92"/>
  <c r="B45" i="92"/>
  <c r="B44" i="92"/>
  <c r="F44" i="92" s="1"/>
  <c r="E43" i="92"/>
  <c r="G42" i="92"/>
  <c r="H42" i="92" s="1"/>
  <c r="I42" i="92" s="1"/>
  <c r="J42" i="92" s="1"/>
  <c r="K42" i="92" s="1"/>
  <c r="L42" i="92" s="1"/>
  <c r="M42" i="92" s="1"/>
  <c r="N42" i="92" s="1"/>
  <c r="O42" i="92" s="1"/>
  <c r="F34" i="92"/>
  <c r="G32" i="92"/>
  <c r="H32" i="92" s="1"/>
  <c r="F32" i="92"/>
  <c r="E31" i="92"/>
  <c r="E34" i="92" s="1"/>
  <c r="G30" i="92"/>
  <c r="H30" i="92" s="1"/>
  <c r="I30" i="92" s="1"/>
  <c r="J30" i="92" s="1"/>
  <c r="K30" i="92" s="1"/>
  <c r="L30" i="92" s="1"/>
  <c r="M30" i="92" s="1"/>
  <c r="N30" i="92" s="1"/>
  <c r="O30" i="92" s="1"/>
  <c r="F6" i="92"/>
  <c r="G4" i="92"/>
  <c r="G6" i="92" s="1"/>
  <c r="F4" i="92"/>
  <c r="E3" i="92"/>
  <c r="E6" i="92" s="1"/>
  <c r="G2" i="92"/>
  <c r="H2" i="92" s="1"/>
  <c r="I2" i="92" s="1"/>
  <c r="J2" i="92" s="1"/>
  <c r="K2" i="92" s="1"/>
  <c r="L2" i="92" s="1"/>
  <c r="M2" i="92" s="1"/>
  <c r="N2" i="92" s="1"/>
  <c r="O2" i="92" s="1"/>
  <c r="B17" i="91"/>
  <c r="E16" i="91"/>
  <c r="E11" i="91"/>
  <c r="E10" i="91"/>
  <c r="E7" i="91"/>
  <c r="F3" i="91"/>
  <c r="F9" i="91" s="1"/>
  <c r="F2" i="91"/>
  <c r="G2" i="91" s="1"/>
  <c r="H2" i="91" s="1"/>
  <c r="I2" i="91" s="1"/>
  <c r="J2" i="91" s="1"/>
  <c r="K2" i="91" s="1"/>
  <c r="L2" i="91" s="1"/>
  <c r="M2" i="91" s="1"/>
  <c r="N2" i="91" s="1"/>
  <c r="O2" i="91" s="1"/>
  <c r="P2" i="91" s="1"/>
  <c r="Q2" i="91" s="1"/>
  <c r="R2" i="91" s="1"/>
  <c r="S2" i="91" s="1"/>
  <c r="T2" i="91" s="1"/>
  <c r="U2" i="91" s="1"/>
  <c r="V2" i="91" s="1"/>
  <c r="W2" i="91" s="1"/>
  <c r="X2" i="91" s="1"/>
  <c r="Y2" i="91" s="1"/>
  <c r="Z2" i="91" s="1"/>
  <c r="AA2" i="91" s="1"/>
  <c r="AB2" i="91" s="1"/>
  <c r="AC2" i="91" s="1"/>
  <c r="AD2" i="91" s="1"/>
  <c r="AE2" i="91" s="1"/>
  <c r="AF2" i="91" s="1"/>
  <c r="AG2" i="91" s="1"/>
  <c r="AH2" i="91" s="1"/>
  <c r="AI2" i="91" s="1"/>
  <c r="AJ2" i="91" s="1"/>
  <c r="AK2" i="91" s="1"/>
  <c r="AL2" i="91" s="1"/>
  <c r="AM2" i="91" s="1"/>
  <c r="AN2" i="91" s="1"/>
  <c r="AO2" i="91" s="1"/>
  <c r="AP2" i="91" s="1"/>
  <c r="AQ2" i="91" s="1"/>
  <c r="AR2" i="91" s="1"/>
  <c r="AS2" i="91" s="1"/>
  <c r="AT2" i="91" s="1"/>
  <c r="AU2" i="91" s="1"/>
  <c r="AV2" i="91" s="1"/>
  <c r="AW2" i="91" s="1"/>
  <c r="AX2" i="91" s="1"/>
  <c r="AY2" i="91" s="1"/>
  <c r="AZ2" i="91" s="1"/>
  <c r="BA2" i="91" s="1"/>
  <c r="BB2" i="91" s="1"/>
  <c r="BC2" i="91" s="1"/>
  <c r="BD2" i="91" s="1"/>
  <c r="BE2" i="91" s="1"/>
  <c r="BF2" i="91" s="1"/>
  <c r="BG2" i="91" s="1"/>
  <c r="BH2" i="91" s="1"/>
  <c r="BI2" i="91" s="1"/>
  <c r="BJ2" i="91" s="1"/>
  <c r="BK2" i="91" s="1"/>
  <c r="BL2" i="91" s="1"/>
  <c r="BM2" i="91" s="1"/>
  <c r="BN2" i="91" s="1"/>
  <c r="BO2" i="91" s="1"/>
  <c r="BP2" i="91" s="1"/>
  <c r="BQ2" i="91" s="1"/>
  <c r="BR2" i="91" s="1"/>
  <c r="BS2" i="91" s="1"/>
  <c r="BT2" i="91" s="1"/>
  <c r="BU2" i="91" s="1"/>
  <c r="BV2" i="91" s="1"/>
  <c r="BW2" i="91" s="1"/>
  <c r="BX2" i="91" s="1"/>
  <c r="BY2" i="91" s="1"/>
  <c r="E2" i="91"/>
  <c r="E15" i="90"/>
  <c r="B13" i="90"/>
  <c r="E10" i="90"/>
  <c r="F8" i="90"/>
  <c r="F7" i="90"/>
  <c r="F5" i="90"/>
  <c r="G5" i="90" s="1"/>
  <c r="H5" i="90" s="1"/>
  <c r="I5" i="90" s="1"/>
  <c r="J5" i="90" s="1"/>
  <c r="F4" i="90"/>
  <c r="G3" i="90"/>
  <c r="G7" i="90" s="1"/>
  <c r="F2" i="90"/>
  <c r="G2" i="90" s="1"/>
  <c r="H2" i="90" s="1"/>
  <c r="I2" i="90" s="1"/>
  <c r="J2" i="90" s="1"/>
  <c r="E14" i="89"/>
  <c r="B13" i="89"/>
  <c r="E9" i="89"/>
  <c r="E10" i="89" s="1"/>
  <c r="E13" i="89" s="1"/>
  <c r="F7" i="89"/>
  <c r="F6" i="89"/>
  <c r="F4" i="89"/>
  <c r="G4" i="89" s="1"/>
  <c r="H4" i="89" s="1"/>
  <c r="I4" i="89" s="1"/>
  <c r="J4" i="89" s="1"/>
  <c r="F3" i="89"/>
  <c r="F5" i="89" s="1"/>
  <c r="G2" i="89"/>
  <c r="G7" i="89" s="1"/>
  <c r="B20" i="88"/>
  <c r="B14" i="88"/>
  <c r="B9" i="88"/>
  <c r="B4" i="88"/>
  <c r="B14" i="87"/>
  <c r="B13" i="87"/>
  <c r="E8" i="87" s="1"/>
  <c r="E9" i="87" s="1"/>
  <c r="B12" i="87"/>
  <c r="B11" i="87"/>
  <c r="B28" i="86"/>
  <c r="B29" i="86" s="1"/>
  <c r="B22" i="86"/>
  <c r="B17" i="86"/>
  <c r="B12" i="86"/>
  <c r="B4" i="86"/>
  <c r="D3" i="85"/>
  <c r="G2" i="85"/>
  <c r="E2" i="85"/>
  <c r="F6" i="84"/>
  <c r="F5" i="84"/>
  <c r="F4" i="84"/>
  <c r="F3" i="84"/>
  <c r="F2" i="84"/>
  <c r="D13" i="83"/>
  <c r="H2" i="83"/>
  <c r="I2" i="83" s="1"/>
  <c r="G2" i="83"/>
  <c r="I1" i="83"/>
  <c r="I3" i="83" s="1"/>
  <c r="H1" i="83"/>
  <c r="H3" i="83" s="1"/>
  <c r="E24" i="82"/>
  <c r="F24" i="82" s="1"/>
  <c r="G24" i="82" s="1"/>
  <c r="H24" i="82" s="1"/>
  <c r="E18" i="82"/>
  <c r="F22" i="82" s="1"/>
  <c r="D12" i="82"/>
  <c r="D14" i="82" s="1"/>
  <c r="D6" i="82"/>
  <c r="D27" i="81"/>
  <c r="D19" i="81"/>
  <c r="D13" i="81"/>
  <c r="D15" i="81" s="1"/>
  <c r="D2" i="81"/>
  <c r="D18" i="81" s="1"/>
  <c r="D20" i="81" s="1"/>
  <c r="B20" i="80"/>
  <c r="B4" i="80"/>
  <c r="B7" i="80" s="1"/>
  <c r="F6" i="78"/>
  <c r="E5" i="78"/>
  <c r="D4" i="78"/>
  <c r="C3" i="78"/>
  <c r="B2" i="78"/>
  <c r="C30" i="77"/>
  <c r="C29" i="77"/>
  <c r="C28" i="77"/>
  <c r="C24" i="77"/>
  <c r="C23" i="77"/>
  <c r="C22" i="77"/>
  <c r="C12" i="77"/>
  <c r="C2" i="77"/>
  <c r="G2" i="76"/>
  <c r="H2" i="76" s="1"/>
  <c r="C2" i="76"/>
  <c r="C18" i="75"/>
  <c r="C17" i="75"/>
  <c r="C14" i="75"/>
  <c r="C13" i="75"/>
  <c r="C10" i="75"/>
  <c r="C9" i="75"/>
  <c r="C6" i="75"/>
  <c r="C5" i="75"/>
  <c r="E3" i="75"/>
  <c r="E4" i="75" s="1"/>
  <c r="E5" i="75" s="1"/>
  <c r="E6" i="75" s="1"/>
  <c r="E7" i="75" s="1"/>
  <c r="E8" i="75" s="1"/>
  <c r="E9" i="75" s="1"/>
  <c r="E10" i="75" s="1"/>
  <c r="E11" i="75" s="1"/>
  <c r="E12" i="75" s="1"/>
  <c r="E13" i="75" s="1"/>
  <c r="E14" i="75" s="1"/>
  <c r="E15" i="75" s="1"/>
  <c r="E16" i="75" s="1"/>
  <c r="E17" i="75" s="1"/>
  <c r="E18" i="75" s="1"/>
  <c r="E19" i="75" s="1"/>
  <c r="E20" i="75" s="1"/>
  <c r="E21" i="75" s="1"/>
  <c r="E22" i="75" s="1"/>
  <c r="E23" i="75" s="1"/>
  <c r="E24" i="75" s="1"/>
  <c r="E25" i="75" s="1"/>
  <c r="E26" i="75" s="1"/>
  <c r="E27" i="75" s="1"/>
  <c r="E28" i="75" s="1"/>
  <c r="E29" i="75" s="1"/>
  <c r="E30" i="75" s="1"/>
  <c r="E31" i="75" s="1"/>
  <c r="E32" i="75" s="1"/>
  <c r="E33" i="75" s="1"/>
  <c r="E34" i="75" s="1"/>
  <c r="K2" i="75"/>
  <c r="C2" i="75"/>
  <c r="B4" i="30"/>
  <c r="H5" i="62" l="1"/>
  <c r="F5" i="62" s="1"/>
  <c r="I5" i="62"/>
  <c r="E6" i="62" s="1"/>
  <c r="H4" i="83"/>
  <c r="F4" i="91"/>
  <c r="G8" i="90"/>
  <c r="H3" i="90"/>
  <c r="H8" i="90" s="1"/>
  <c r="F6" i="90"/>
  <c r="I2" i="85"/>
  <c r="E3" i="85" s="1"/>
  <c r="H2" i="85"/>
  <c r="F2" i="85" s="1"/>
  <c r="F46" i="92"/>
  <c r="H34" i="92"/>
  <c r="I32" i="92"/>
  <c r="G34" i="92"/>
  <c r="H4" i="92"/>
  <c r="F5" i="91"/>
  <c r="F7" i="91" s="1"/>
  <c r="F6" i="91"/>
  <c r="F8" i="91"/>
  <c r="F17" i="91"/>
  <c r="G3" i="91"/>
  <c r="E12" i="91"/>
  <c r="E18" i="91" s="1"/>
  <c r="E15" i="91"/>
  <c r="F13" i="91"/>
  <c r="F14" i="91" s="1"/>
  <c r="F14" i="90"/>
  <c r="F17" i="90" s="1"/>
  <c r="F9" i="90"/>
  <c r="I3" i="90"/>
  <c r="E11" i="90"/>
  <c r="E14" i="90" s="1"/>
  <c r="E17" i="90" s="1"/>
  <c r="G4" i="90"/>
  <c r="E16" i="89"/>
  <c r="F13" i="89"/>
  <c r="F16" i="89" s="1"/>
  <c r="F19" i="89"/>
  <c r="F8" i="89"/>
  <c r="F20" i="89" s="1"/>
  <c r="G6" i="89"/>
  <c r="G3" i="89"/>
  <c r="H2" i="89"/>
  <c r="G3" i="85"/>
  <c r="D4" i="85"/>
  <c r="I4" i="83"/>
  <c r="J2" i="83"/>
  <c r="J1" i="83"/>
  <c r="G3" i="83"/>
  <c r="G4" i="83" s="1"/>
  <c r="F20" i="82"/>
  <c r="F21" i="82"/>
  <c r="D28" i="82" s="1"/>
  <c r="F19" i="82"/>
  <c r="D4" i="81"/>
  <c r="D7" i="81" s="1"/>
  <c r="D9" i="81" s="1"/>
  <c r="D28" i="81"/>
  <c r="D29" i="81" s="1"/>
  <c r="B8" i="80"/>
  <c r="B9" i="80" s="1"/>
  <c r="B12" i="80" s="1"/>
  <c r="C3" i="76"/>
  <c r="C4" i="76"/>
  <c r="I2" i="76"/>
  <c r="J2" i="76" s="1"/>
  <c r="K2" i="76" s="1"/>
  <c r="L2" i="76" s="1"/>
  <c r="M2" i="76" s="1"/>
  <c r="I6" i="62" l="1"/>
  <c r="E7" i="62" s="1"/>
  <c r="H6" i="62"/>
  <c r="F6" i="62" s="1"/>
  <c r="F10" i="91"/>
  <c r="F18" i="91" s="1"/>
  <c r="H7" i="90"/>
  <c r="I34" i="92"/>
  <c r="J32" i="92"/>
  <c r="G46" i="92"/>
  <c r="I4" i="92"/>
  <c r="H6" i="92"/>
  <c r="F15" i="91"/>
  <c r="G17" i="91"/>
  <c r="G13" i="91"/>
  <c r="G14" i="91" s="1"/>
  <c r="G8" i="91"/>
  <c r="G9" i="91"/>
  <c r="H3" i="91"/>
  <c r="G4" i="91"/>
  <c r="I7" i="90"/>
  <c r="I8" i="90"/>
  <c r="J3" i="90"/>
  <c r="G6" i="90"/>
  <c r="H4" i="90"/>
  <c r="F21" i="89"/>
  <c r="H7" i="89"/>
  <c r="I2" i="89"/>
  <c r="H6" i="89"/>
  <c r="G5" i="89"/>
  <c r="H3" i="89"/>
  <c r="D5" i="85"/>
  <c r="G4" i="85"/>
  <c r="I3" i="85"/>
  <c r="E4" i="85" s="1"/>
  <c r="H3" i="85"/>
  <c r="F3" i="85" s="1"/>
  <c r="K2" i="83"/>
  <c r="K1" i="83"/>
  <c r="J3" i="83"/>
  <c r="J4" i="83" s="1"/>
  <c r="G25" i="82"/>
  <c r="G29" i="82" s="1"/>
  <c r="F25" i="82"/>
  <c r="F29" i="82" s="1"/>
  <c r="D25" i="82"/>
  <c r="D27" i="82" s="1"/>
  <c r="E25" i="82"/>
  <c r="E29" i="82" s="1"/>
  <c r="H25" i="82"/>
  <c r="H29" i="82" s="1"/>
  <c r="B13" i="80"/>
  <c r="B14" i="80" s="1"/>
  <c r="H7" i="62" l="1"/>
  <c r="F7" i="62" s="1"/>
  <c r="I7" i="62"/>
  <c r="E8" i="62" s="1"/>
  <c r="H46" i="92"/>
  <c r="J4" i="92"/>
  <c r="I6" i="92"/>
  <c r="J34" i="92"/>
  <c r="K32" i="92"/>
  <c r="G5" i="91"/>
  <c r="G6" i="91"/>
  <c r="H17" i="91"/>
  <c r="H13" i="91"/>
  <c r="H14" i="91" s="1"/>
  <c r="H9" i="91"/>
  <c r="H8" i="91"/>
  <c r="H4" i="91"/>
  <c r="I3" i="91"/>
  <c r="J7" i="90"/>
  <c r="J16" i="90" s="1"/>
  <c r="J8" i="90"/>
  <c r="H6" i="90"/>
  <c r="I4" i="90"/>
  <c r="G14" i="90"/>
  <c r="G17" i="90" s="1"/>
  <c r="G9" i="90"/>
  <c r="I3" i="89"/>
  <c r="H5" i="89"/>
  <c r="G13" i="89"/>
  <c r="G19" i="89"/>
  <c r="G8" i="89"/>
  <c r="G20" i="89" s="1"/>
  <c r="I7" i="89"/>
  <c r="J2" i="89"/>
  <c r="I6" i="89"/>
  <c r="I4" i="85"/>
  <c r="E5" i="85" s="1"/>
  <c r="H4" i="85"/>
  <c r="F4" i="85" s="1"/>
  <c r="D6" i="85"/>
  <c r="G5" i="85"/>
  <c r="L1" i="83"/>
  <c r="K3" i="83"/>
  <c r="L2" i="83"/>
  <c r="K4" i="83"/>
  <c r="D26" i="82"/>
  <c r="D29" i="82" s="1"/>
  <c r="H8" i="62" l="1"/>
  <c r="F8" i="62" s="1"/>
  <c r="I8" i="62"/>
  <c r="E9" i="62" s="1"/>
  <c r="K34" i="92"/>
  <c r="L32" i="92"/>
  <c r="K4" i="92"/>
  <c r="J6" i="92"/>
  <c r="I46" i="92"/>
  <c r="I13" i="91"/>
  <c r="I14" i="91" s="1"/>
  <c r="I17" i="91"/>
  <c r="J3" i="91"/>
  <c r="I9" i="91"/>
  <c r="I8" i="91"/>
  <c r="I4" i="91"/>
  <c r="G7" i="91"/>
  <c r="H6" i="91"/>
  <c r="H5" i="91"/>
  <c r="J4" i="90"/>
  <c r="I6" i="90"/>
  <c r="H9" i="90"/>
  <c r="H14" i="90"/>
  <c r="H17" i="90" s="1"/>
  <c r="J6" i="89"/>
  <c r="J15" i="89" s="1"/>
  <c r="J7" i="89"/>
  <c r="G21" i="89"/>
  <c r="G16" i="89"/>
  <c r="H13" i="89"/>
  <c r="H16" i="89" s="1"/>
  <c r="H8" i="89"/>
  <c r="H20" i="89" s="1"/>
  <c r="H19" i="89"/>
  <c r="I5" i="89"/>
  <c r="J3" i="89"/>
  <c r="I5" i="85"/>
  <c r="H5" i="85"/>
  <c r="F5" i="85" s="1"/>
  <c r="G6" i="85"/>
  <c r="E6" i="85"/>
  <c r="D7" i="85"/>
  <c r="M2" i="83"/>
  <c r="L3" i="83"/>
  <c r="L4" i="83" s="1"/>
  <c r="M1" i="83"/>
  <c r="I9" i="62" l="1"/>
  <c r="E10" i="62" s="1"/>
  <c r="H9" i="62"/>
  <c r="F9" i="62" s="1"/>
  <c r="H7" i="91"/>
  <c r="H21" i="89"/>
  <c r="J46" i="92"/>
  <c r="K6" i="92"/>
  <c r="L4" i="92"/>
  <c r="L34" i="92"/>
  <c r="M32" i="92"/>
  <c r="H10" i="91"/>
  <c r="H18" i="91" s="1"/>
  <c r="H15" i="91"/>
  <c r="I5" i="91"/>
  <c r="I6" i="91"/>
  <c r="J13" i="91"/>
  <c r="J14" i="91" s="1"/>
  <c r="J9" i="91"/>
  <c r="J8" i="91"/>
  <c r="J17" i="91"/>
  <c r="J4" i="91"/>
  <c r="K3" i="91"/>
  <c r="G10" i="91"/>
  <c r="G18" i="91" s="1"/>
  <c r="G15" i="91"/>
  <c r="I9" i="90"/>
  <c r="I14" i="90"/>
  <c r="I17" i="90" s="1"/>
  <c r="J12" i="90"/>
  <c r="J6" i="90"/>
  <c r="J9" i="90" s="1"/>
  <c r="I13" i="89"/>
  <c r="I19" i="89"/>
  <c r="I8" i="89"/>
  <c r="I20" i="89" s="1"/>
  <c r="J5" i="89"/>
  <c r="J11" i="89"/>
  <c r="H6" i="85"/>
  <c r="I6" i="85"/>
  <c r="F6" i="85"/>
  <c r="G7" i="85"/>
  <c r="E7" i="85"/>
  <c r="D8" i="85"/>
  <c r="N2" i="83"/>
  <c r="N1" i="83"/>
  <c r="M3" i="83"/>
  <c r="M4" i="83" s="1"/>
  <c r="I10" i="62" l="1"/>
  <c r="E11" i="62" s="1"/>
  <c r="H10" i="62"/>
  <c r="F10" i="62" s="1"/>
  <c r="I7" i="91"/>
  <c r="I10" i="91" s="1"/>
  <c r="I18" i="91" s="1"/>
  <c r="L6" i="92"/>
  <c r="M4" i="92"/>
  <c r="N32" i="92"/>
  <c r="M34" i="92"/>
  <c r="K46" i="92"/>
  <c r="I15" i="91"/>
  <c r="K9" i="91"/>
  <c r="K8" i="91"/>
  <c r="K17" i="91"/>
  <c r="K13" i="91"/>
  <c r="K14" i="91" s="1"/>
  <c r="L3" i="91"/>
  <c r="K4" i="91"/>
  <c r="J6" i="91"/>
  <c r="J5" i="91"/>
  <c r="J13" i="90"/>
  <c r="J14" i="90" s="1"/>
  <c r="J17" i="90" s="1"/>
  <c r="I21" i="89"/>
  <c r="I16" i="89"/>
  <c r="J12" i="89"/>
  <c r="J13" i="89" s="1"/>
  <c r="J19" i="89"/>
  <c r="J8" i="89"/>
  <c r="J20" i="89" s="1"/>
  <c r="B26" i="89" s="1"/>
  <c r="D9" i="85"/>
  <c r="G8" i="85"/>
  <c r="H7" i="85"/>
  <c r="F7" i="85" s="1"/>
  <c r="I7" i="85"/>
  <c r="E8" i="85" s="1"/>
  <c r="O2" i="83"/>
  <c r="N3" i="83"/>
  <c r="N4" i="83" s="1"/>
  <c r="O1" i="83"/>
  <c r="I11" i="62" l="1"/>
  <c r="E12" i="62" s="1"/>
  <c r="H11" i="62"/>
  <c r="F11" i="62" s="1"/>
  <c r="B22" i="90"/>
  <c r="B20" i="90"/>
  <c r="L46" i="92"/>
  <c r="M6" i="92"/>
  <c r="N4" i="92"/>
  <c r="O32" i="92"/>
  <c r="N34" i="92"/>
  <c r="K6" i="91"/>
  <c r="K5" i="91"/>
  <c r="J7" i="91"/>
  <c r="L9" i="91"/>
  <c r="L8" i="91"/>
  <c r="L17" i="91"/>
  <c r="M3" i="91"/>
  <c r="L13" i="91"/>
  <c r="L14" i="91" s="1"/>
  <c r="L4" i="91"/>
  <c r="B19" i="90"/>
  <c r="B21" i="90"/>
  <c r="J16" i="89"/>
  <c r="B22" i="89" s="1"/>
  <c r="B19" i="89"/>
  <c r="B21" i="89"/>
  <c r="B23" i="89"/>
  <c r="B24" i="89"/>
  <c r="B20" i="89"/>
  <c r="J21" i="89"/>
  <c r="B25" i="89"/>
  <c r="D10" i="85"/>
  <c r="G9" i="85"/>
  <c r="I8" i="85"/>
  <c r="E9" i="85" s="1"/>
  <c r="H8" i="85"/>
  <c r="F8" i="85" s="1"/>
  <c r="P1" i="83"/>
  <c r="P3" i="83" s="1"/>
  <c r="O3" i="83"/>
  <c r="O4" i="83"/>
  <c r="P2" i="83"/>
  <c r="I12" i="62" l="1"/>
  <c r="E13" i="62" s="1"/>
  <c r="H12" i="62"/>
  <c r="F12" i="62" s="1"/>
  <c r="P4" i="83"/>
  <c r="D8" i="83" s="1"/>
  <c r="M46" i="92"/>
  <c r="O33" i="92"/>
  <c r="O34" i="92" s="1"/>
  <c r="B35" i="92" s="1"/>
  <c r="N6" i="92"/>
  <c r="O4" i="92"/>
  <c r="L6" i="91"/>
  <c r="L5" i="91"/>
  <c r="J10" i="91"/>
  <c r="J18" i="91" s="1"/>
  <c r="J15" i="91"/>
  <c r="K7" i="91"/>
  <c r="M9" i="91"/>
  <c r="M8" i="91"/>
  <c r="M17" i="91"/>
  <c r="M13" i="91"/>
  <c r="M14" i="91" s="1"/>
  <c r="M4" i="91"/>
  <c r="N3" i="91"/>
  <c r="H9" i="85"/>
  <c r="I9" i="85"/>
  <c r="F9" i="85"/>
  <c r="E10" i="85"/>
  <c r="D11" i="85"/>
  <c r="G10" i="85"/>
  <c r="I13" i="62" l="1"/>
  <c r="E14" i="62" s="1"/>
  <c r="H13" i="62"/>
  <c r="F13" i="62" s="1"/>
  <c r="N46" i="92"/>
  <c r="O5" i="92"/>
  <c r="O6" i="92" s="1"/>
  <c r="M6" i="91"/>
  <c r="M5" i="91"/>
  <c r="N17" i="91"/>
  <c r="N13" i="91"/>
  <c r="N14" i="91" s="1"/>
  <c r="N9" i="91"/>
  <c r="N4" i="91"/>
  <c r="N8" i="91"/>
  <c r="O3" i="91"/>
  <c r="K10" i="91"/>
  <c r="K18" i="91" s="1"/>
  <c r="K15" i="91"/>
  <c r="L7" i="91"/>
  <c r="I10" i="85"/>
  <c r="E11" i="85" s="1"/>
  <c r="H10" i="85"/>
  <c r="F10" i="85" s="1"/>
  <c r="G11" i="85"/>
  <c r="D12" i="85"/>
  <c r="I14" i="62" l="1"/>
  <c r="E15" i="62" s="1"/>
  <c r="H14" i="62"/>
  <c r="F14" i="62" s="1"/>
  <c r="D10" i="92"/>
  <c r="D13" i="92"/>
  <c r="D22" i="92"/>
  <c r="O46" i="92"/>
  <c r="B54" i="92" s="1"/>
  <c r="L10" i="91"/>
  <c r="L18" i="91" s="1"/>
  <c r="L15" i="91"/>
  <c r="O17" i="91"/>
  <c r="O13" i="91"/>
  <c r="O14" i="91" s="1"/>
  <c r="O8" i="91"/>
  <c r="P3" i="91"/>
  <c r="O4" i="91"/>
  <c r="O9" i="91"/>
  <c r="M7" i="91"/>
  <c r="N6" i="91"/>
  <c r="N5" i="91"/>
  <c r="D13" i="85"/>
  <c r="G12" i="85"/>
  <c r="H11" i="85"/>
  <c r="F11" i="85" s="1"/>
  <c r="I11" i="85"/>
  <c r="E12" i="85" s="1"/>
  <c r="H15" i="62" l="1"/>
  <c r="F15" i="62" s="1"/>
  <c r="I15" i="62"/>
  <c r="E16" i="62" s="1"/>
  <c r="N7" i="91"/>
  <c r="M10" i="91"/>
  <c r="M18" i="91" s="1"/>
  <c r="M15" i="91"/>
  <c r="O5" i="91"/>
  <c r="O6" i="91"/>
  <c r="P17" i="91"/>
  <c r="P13" i="91"/>
  <c r="P14" i="91" s="1"/>
  <c r="P9" i="91"/>
  <c r="P8" i="91"/>
  <c r="P4" i="91"/>
  <c r="Q3" i="91"/>
  <c r="I12" i="85"/>
  <c r="H12" i="85"/>
  <c r="F12" i="85"/>
  <c r="D14" i="85"/>
  <c r="E13" i="85"/>
  <c r="G13" i="85"/>
  <c r="H16" i="62" l="1"/>
  <c r="F16" i="62" s="1"/>
  <c r="I16" i="62"/>
  <c r="E17" i="62" s="1"/>
  <c r="N10" i="91"/>
  <c r="N18" i="91" s="1"/>
  <c r="N15" i="91"/>
  <c r="Q13" i="91"/>
  <c r="Q14" i="91" s="1"/>
  <c r="R3" i="91"/>
  <c r="Q4" i="91"/>
  <c r="Q9" i="91"/>
  <c r="Q17" i="91"/>
  <c r="Q8" i="91"/>
  <c r="O7" i="91"/>
  <c r="P6" i="91"/>
  <c r="P5" i="91"/>
  <c r="I13" i="85"/>
  <c r="E14" i="85" s="1"/>
  <c r="H13" i="85"/>
  <c r="F13" i="85"/>
  <c r="D15" i="85"/>
  <c r="G14" i="85"/>
  <c r="I17" i="62" l="1"/>
  <c r="E18" i="62" s="1"/>
  <c r="H17" i="62"/>
  <c r="F17" i="62" s="1"/>
  <c r="P7" i="91"/>
  <c r="Q5" i="91"/>
  <c r="Q6" i="91"/>
  <c r="P10" i="91"/>
  <c r="P18" i="91" s="1"/>
  <c r="P15" i="91"/>
  <c r="R13" i="91"/>
  <c r="R14" i="91" s="1"/>
  <c r="R9" i="91"/>
  <c r="R8" i="91"/>
  <c r="R17" i="91"/>
  <c r="R4" i="91"/>
  <c r="S3" i="91"/>
  <c r="O10" i="91"/>
  <c r="O18" i="91" s="1"/>
  <c r="O15" i="91"/>
  <c r="I14" i="85"/>
  <c r="E15" i="85" s="1"/>
  <c r="H14" i="85"/>
  <c r="F14" i="85" s="1"/>
  <c r="G15" i="85"/>
  <c r="D16" i="85"/>
  <c r="I18" i="62" l="1"/>
  <c r="E19" i="62" s="1"/>
  <c r="H18" i="62"/>
  <c r="F18" i="62" s="1"/>
  <c r="Q7" i="91"/>
  <c r="R6" i="91"/>
  <c r="R5" i="91"/>
  <c r="S9" i="91"/>
  <c r="S8" i="91"/>
  <c r="S13" i="91"/>
  <c r="S14" i="91" s="1"/>
  <c r="S17" i="91"/>
  <c r="T3" i="91"/>
  <c r="S4" i="91"/>
  <c r="Q10" i="91"/>
  <c r="Q18" i="91" s="1"/>
  <c r="Q15" i="91"/>
  <c r="H15" i="85"/>
  <c r="F15" i="85" s="1"/>
  <c r="I15" i="85"/>
  <c r="E16" i="85" s="1"/>
  <c r="D17" i="85"/>
  <c r="G16" i="85"/>
  <c r="I19" i="62" l="1"/>
  <c r="E20" i="62" s="1"/>
  <c r="H19" i="62"/>
  <c r="F19" i="62" s="1"/>
  <c r="T9" i="91"/>
  <c r="T8" i="91"/>
  <c r="T17" i="91"/>
  <c r="U3" i="91"/>
  <c r="T13" i="91"/>
  <c r="T14" i="91" s="1"/>
  <c r="T4" i="91"/>
  <c r="S5" i="91"/>
  <c r="S6" i="91"/>
  <c r="R7" i="91"/>
  <c r="I16" i="85"/>
  <c r="H16" i="85"/>
  <c r="F16" i="85" s="1"/>
  <c r="D18" i="85"/>
  <c r="G17" i="85"/>
  <c r="E17" i="85"/>
  <c r="H20" i="62" l="1"/>
  <c r="F20" i="62" s="1"/>
  <c r="I20" i="62"/>
  <c r="E21" i="62" s="1"/>
  <c r="S7" i="91"/>
  <c r="T5" i="91"/>
  <c r="T6" i="91"/>
  <c r="U9" i="91"/>
  <c r="U8" i="91"/>
  <c r="U17" i="91"/>
  <c r="U13" i="91"/>
  <c r="U14" i="91" s="1"/>
  <c r="U4" i="91"/>
  <c r="V3" i="91"/>
  <c r="R10" i="91"/>
  <c r="R18" i="91" s="1"/>
  <c r="R15" i="91"/>
  <c r="S10" i="91"/>
  <c r="S18" i="91" s="1"/>
  <c r="S15" i="91"/>
  <c r="I17" i="85"/>
  <c r="E18" i="85" s="1"/>
  <c r="H17" i="85"/>
  <c r="F17" i="85" s="1"/>
  <c r="D19" i="85"/>
  <c r="G18" i="85"/>
  <c r="I21" i="62" l="1"/>
  <c r="E22" i="62" s="1"/>
  <c r="H21" i="62"/>
  <c r="F21" i="62" s="1"/>
  <c r="U6" i="91"/>
  <c r="U5" i="91"/>
  <c r="U7" i="91" s="1"/>
  <c r="V17" i="91"/>
  <c r="V13" i="91"/>
  <c r="V14" i="91" s="1"/>
  <c r="V9" i="91"/>
  <c r="V8" i="91"/>
  <c r="W3" i="91"/>
  <c r="V4" i="91"/>
  <c r="T7" i="91"/>
  <c r="G19" i="85"/>
  <c r="D20" i="85"/>
  <c r="H18" i="85"/>
  <c r="F18" i="85" s="1"/>
  <c r="I18" i="85"/>
  <c r="E19" i="85" s="1"/>
  <c r="I22" i="62" l="1"/>
  <c r="E23" i="62" s="1"/>
  <c r="H22" i="62"/>
  <c r="F22" i="62" s="1"/>
  <c r="T10" i="91"/>
  <c r="T18" i="91" s="1"/>
  <c r="T15" i="91"/>
  <c r="V5" i="91"/>
  <c r="V6" i="91"/>
  <c r="U10" i="91"/>
  <c r="U18" i="91" s="1"/>
  <c r="U15" i="91"/>
  <c r="W17" i="91"/>
  <c r="W13" i="91"/>
  <c r="W14" i="91" s="1"/>
  <c r="X3" i="91"/>
  <c r="W4" i="91"/>
  <c r="W9" i="91"/>
  <c r="W8" i="91"/>
  <c r="H19" i="85"/>
  <c r="F19" i="85" s="1"/>
  <c r="I19" i="85"/>
  <c r="E20" i="85" s="1"/>
  <c r="D21" i="85"/>
  <c r="G20" i="85"/>
  <c r="H23" i="62" l="1"/>
  <c r="F23" i="62" s="1"/>
  <c r="I23" i="62"/>
  <c r="E24" i="62" s="1"/>
  <c r="V7" i="91"/>
  <c r="V10" i="91"/>
  <c r="V18" i="91" s="1"/>
  <c r="V15" i="91"/>
  <c r="W5" i="91"/>
  <c r="W6" i="91"/>
  <c r="X17" i="91"/>
  <c r="X13" i="91"/>
  <c r="X14" i="91" s="1"/>
  <c r="X9" i="91"/>
  <c r="X8" i="91"/>
  <c r="X4" i="91"/>
  <c r="Y3" i="91"/>
  <c r="D22" i="85"/>
  <c r="G21" i="85"/>
  <c r="I20" i="85"/>
  <c r="E21" i="85" s="1"/>
  <c r="H20" i="85"/>
  <c r="F20" i="85" s="1"/>
  <c r="I24" i="62" l="1"/>
  <c r="E25" i="62" s="1"/>
  <c r="H24" i="62"/>
  <c r="F24" i="62" s="1"/>
  <c r="Y13" i="91"/>
  <c r="Y14" i="91" s="1"/>
  <c r="Z3" i="91"/>
  <c r="Y17" i="91"/>
  <c r="Y9" i="91"/>
  <c r="Y8" i="91"/>
  <c r="Y4" i="91"/>
  <c r="X6" i="91"/>
  <c r="X5" i="91"/>
  <c r="X7" i="91" s="1"/>
  <c r="W7" i="91"/>
  <c r="D23" i="85"/>
  <c r="G22" i="85"/>
  <c r="I21" i="85"/>
  <c r="E22" i="85" s="1"/>
  <c r="H21" i="85"/>
  <c r="F21" i="85" s="1"/>
  <c r="I25" i="62" l="1"/>
  <c r="E26" i="62" s="1"/>
  <c r="H25" i="62"/>
  <c r="F25" i="62" s="1"/>
  <c r="Z13" i="91"/>
  <c r="Z14" i="91" s="1"/>
  <c r="Z9" i="91"/>
  <c r="Z8" i="91"/>
  <c r="Z17" i="91"/>
  <c r="Z4" i="91"/>
  <c r="AA3" i="91"/>
  <c r="X10" i="91"/>
  <c r="X18" i="91" s="1"/>
  <c r="X15" i="91"/>
  <c r="Y6" i="91"/>
  <c r="Y5" i="91"/>
  <c r="W10" i="91"/>
  <c r="W18" i="91" s="1"/>
  <c r="W15" i="91"/>
  <c r="I22" i="85"/>
  <c r="H22" i="85"/>
  <c r="F22" i="85" s="1"/>
  <c r="G23" i="85"/>
  <c r="E23" i="85"/>
  <c r="D24" i="85"/>
  <c r="I26" i="62" l="1"/>
  <c r="E27" i="62" s="1"/>
  <c r="H26" i="62"/>
  <c r="F26" i="62" s="1"/>
  <c r="Y7" i="91"/>
  <c r="Y10" i="91" s="1"/>
  <c r="Y18" i="91" s="1"/>
  <c r="Z6" i="91"/>
  <c r="Z5" i="91"/>
  <c r="Z7" i="91" s="1"/>
  <c r="AA9" i="91"/>
  <c r="AA8" i="91"/>
  <c r="AA17" i="91"/>
  <c r="AA13" i="91"/>
  <c r="AA14" i="91" s="1"/>
  <c r="AA4" i="91"/>
  <c r="AB3" i="91"/>
  <c r="D25" i="85"/>
  <c r="G24" i="85"/>
  <c r="H23" i="85"/>
  <c r="I23" i="85"/>
  <c r="E24" i="85" s="1"/>
  <c r="F23" i="85"/>
  <c r="H27" i="62" l="1"/>
  <c r="F27" i="62" s="1"/>
  <c r="I27" i="62"/>
  <c r="E28" i="62" s="1"/>
  <c r="Y15" i="91"/>
  <c r="AB9" i="91"/>
  <c r="AB8" i="91"/>
  <c r="AB17" i="91"/>
  <c r="AC3" i="91"/>
  <c r="AB4" i="91"/>
  <c r="AB13" i="91"/>
  <c r="AB14" i="91" s="1"/>
  <c r="Z10" i="91"/>
  <c r="Z18" i="91" s="1"/>
  <c r="Z15" i="91"/>
  <c r="AA6" i="91"/>
  <c r="AA5" i="91"/>
  <c r="I24" i="85"/>
  <c r="H24" i="85"/>
  <c r="F24" i="85" s="1"/>
  <c r="D26" i="85"/>
  <c r="G25" i="85"/>
  <c r="E25" i="85"/>
  <c r="H28" i="62" l="1"/>
  <c r="F28" i="62" s="1"/>
  <c r="I28" i="62"/>
  <c r="E29" i="62" s="1"/>
  <c r="AA7" i="91"/>
  <c r="AA10" i="91" s="1"/>
  <c r="AA18" i="91" s="1"/>
  <c r="AC9" i="91"/>
  <c r="AC8" i="91"/>
  <c r="AC17" i="91"/>
  <c r="AC13" i="91"/>
  <c r="AC14" i="91" s="1"/>
  <c r="AC4" i="91"/>
  <c r="AD3" i="91"/>
  <c r="AB5" i="91"/>
  <c r="AB6" i="91"/>
  <c r="I25" i="85"/>
  <c r="E26" i="85" s="1"/>
  <c r="H25" i="85"/>
  <c r="F25" i="85" s="1"/>
  <c r="G26" i="85"/>
  <c r="D27" i="85"/>
  <c r="I29" i="62" l="1"/>
  <c r="E30" i="62" s="1"/>
  <c r="H29" i="62"/>
  <c r="F29" i="62" s="1"/>
  <c r="AB7" i="91"/>
  <c r="AA15" i="91"/>
  <c r="AC6" i="91"/>
  <c r="AC5" i="91"/>
  <c r="AC7" i="91" s="1"/>
  <c r="AD17" i="91"/>
  <c r="AD8" i="91"/>
  <c r="AD13" i="91"/>
  <c r="AD14" i="91" s="1"/>
  <c r="AD9" i="91"/>
  <c r="AD4" i="91"/>
  <c r="AE3" i="91"/>
  <c r="AB10" i="91"/>
  <c r="AB18" i="91" s="1"/>
  <c r="AB15" i="91"/>
  <c r="I26" i="85"/>
  <c r="E27" i="85" s="1"/>
  <c r="H26" i="85"/>
  <c r="F26" i="85" s="1"/>
  <c r="G27" i="85"/>
  <c r="D28" i="85"/>
  <c r="H30" i="62" l="1"/>
  <c r="F30" i="62" s="1"/>
  <c r="I30" i="62"/>
  <c r="E31" i="62" s="1"/>
  <c r="AE17" i="91"/>
  <c r="AE13" i="91"/>
  <c r="AE14" i="91" s="1"/>
  <c r="AF3" i="91"/>
  <c r="AE8" i="91"/>
  <c r="AE9" i="91"/>
  <c r="AE4" i="91"/>
  <c r="AC10" i="91"/>
  <c r="AC18" i="91" s="1"/>
  <c r="AC15" i="91"/>
  <c r="AD5" i="91"/>
  <c r="AD6" i="91"/>
  <c r="I27" i="85"/>
  <c r="H27" i="85"/>
  <c r="D29" i="85"/>
  <c r="G28" i="85"/>
  <c r="E28" i="85"/>
  <c r="F27" i="85"/>
  <c r="I31" i="62" l="1"/>
  <c r="E32" i="62" s="1"/>
  <c r="H31" i="62"/>
  <c r="F31" i="62" s="1"/>
  <c r="AD7" i="91"/>
  <c r="AE5" i="91"/>
  <c r="AE6" i="91"/>
  <c r="AF17" i="91"/>
  <c r="AF13" i="91"/>
  <c r="AF14" i="91" s="1"/>
  <c r="AF9" i="91"/>
  <c r="AF8" i="91"/>
  <c r="AF4" i="91"/>
  <c r="AG3" i="91"/>
  <c r="AD10" i="91"/>
  <c r="AD18" i="91" s="1"/>
  <c r="AD15" i="91"/>
  <c r="I28" i="85"/>
  <c r="E29" i="85" s="1"/>
  <c r="H28" i="85"/>
  <c r="F28" i="85" s="1"/>
  <c r="D30" i="85"/>
  <c r="G29" i="85"/>
  <c r="I32" i="62" l="1"/>
  <c r="E33" i="62" s="1"/>
  <c r="H32" i="62"/>
  <c r="F32" i="62" s="1"/>
  <c r="AG13" i="91"/>
  <c r="AG14" i="91" s="1"/>
  <c r="AG17" i="91"/>
  <c r="AG9" i="91"/>
  <c r="AH3" i="91"/>
  <c r="AG8" i="91"/>
  <c r="AG4" i="91"/>
  <c r="AF6" i="91"/>
  <c r="AF5" i="91"/>
  <c r="AF7" i="91" s="1"/>
  <c r="AE7" i="91"/>
  <c r="I29" i="85"/>
  <c r="E30" i="85" s="1"/>
  <c r="H29" i="85"/>
  <c r="F29" i="85" s="1"/>
  <c r="G30" i="85"/>
  <c r="D31" i="85"/>
  <c r="I33" i="62" l="1"/>
  <c r="E34" i="62" s="1"/>
  <c r="H33" i="62"/>
  <c r="F33" i="62" s="1"/>
  <c r="AF10" i="91"/>
  <c r="AF18" i="91" s="1"/>
  <c r="AF15" i="91"/>
  <c r="AG5" i="91"/>
  <c r="AG6" i="91"/>
  <c r="AH13" i="91"/>
  <c r="AH14" i="91" s="1"/>
  <c r="AH9" i="91"/>
  <c r="AH8" i="91"/>
  <c r="AH17" i="91"/>
  <c r="AH4" i="91"/>
  <c r="AI3" i="91"/>
  <c r="AE10" i="91"/>
  <c r="AE18" i="91" s="1"/>
  <c r="AE15" i="91"/>
  <c r="H30" i="85"/>
  <c r="F30" i="85" s="1"/>
  <c r="I30" i="85"/>
  <c r="E31" i="85" s="1"/>
  <c r="G31" i="85"/>
  <c r="D32" i="85"/>
  <c r="H34" i="62" l="1"/>
  <c r="F34" i="62" s="1"/>
  <c r="I34" i="62"/>
  <c r="E35" i="62" s="1"/>
  <c r="AG7" i="91"/>
  <c r="AI9" i="91"/>
  <c r="AI8" i="91"/>
  <c r="AI13" i="91"/>
  <c r="AI14" i="91" s="1"/>
  <c r="AI17" i="91"/>
  <c r="AJ3" i="91"/>
  <c r="AI4" i="91"/>
  <c r="AH6" i="91"/>
  <c r="AH5" i="91"/>
  <c r="I31" i="85"/>
  <c r="E32" i="85" s="1"/>
  <c r="H31" i="85"/>
  <c r="D33" i="85"/>
  <c r="G32" i="85"/>
  <c r="F31" i="85"/>
  <c r="H35" i="62" l="1"/>
  <c r="F35" i="62" s="1"/>
  <c r="I35" i="62"/>
  <c r="E36" i="62" s="1"/>
  <c r="AH7" i="91"/>
  <c r="AJ9" i="91"/>
  <c r="AJ8" i="91"/>
  <c r="AJ17" i="91"/>
  <c r="AK3" i="91"/>
  <c r="AJ13" i="91"/>
  <c r="AJ14" i="91" s="1"/>
  <c r="AJ4" i="91"/>
  <c r="AH10" i="91"/>
  <c r="AH18" i="91" s="1"/>
  <c r="AH15" i="91"/>
  <c r="AI5" i="91"/>
  <c r="AI7" i="91" s="1"/>
  <c r="AI6" i="91"/>
  <c r="AG10" i="91"/>
  <c r="AG18" i="91" s="1"/>
  <c r="AG15" i="91"/>
  <c r="I32" i="85"/>
  <c r="E33" i="85" s="1"/>
  <c r="H32" i="85"/>
  <c r="F32" i="85" s="1"/>
  <c r="D34" i="85"/>
  <c r="G33" i="85"/>
  <c r="I36" i="62" l="1"/>
  <c r="E37" i="62" s="1"/>
  <c r="H36" i="62"/>
  <c r="F36" i="62" s="1"/>
  <c r="AI10" i="91"/>
  <c r="AI18" i="91" s="1"/>
  <c r="AI15" i="91"/>
  <c r="AJ6" i="91"/>
  <c r="AJ5" i="91"/>
  <c r="AJ7" i="91" s="1"/>
  <c r="AK9" i="91"/>
  <c r="AK8" i="91"/>
  <c r="AK17" i="91"/>
  <c r="AK13" i="91"/>
  <c r="AK14" i="91" s="1"/>
  <c r="AK4" i="91"/>
  <c r="AL3" i="91"/>
  <c r="I33" i="85"/>
  <c r="H33" i="85"/>
  <c r="F33" i="85" s="1"/>
  <c r="G34" i="85"/>
  <c r="E34" i="85"/>
  <c r="D35" i="85"/>
  <c r="H37" i="62" l="1"/>
  <c r="F37" i="62" s="1"/>
  <c r="I37" i="62"/>
  <c r="E38" i="62" s="1"/>
  <c r="AJ10" i="91"/>
  <c r="AJ18" i="91" s="1"/>
  <c r="AJ15" i="91"/>
  <c r="AL17" i="91"/>
  <c r="AL8" i="91"/>
  <c r="AL4" i="91"/>
  <c r="AL13" i="91"/>
  <c r="AL14" i="91" s="1"/>
  <c r="AL9" i="91"/>
  <c r="AM3" i="91"/>
  <c r="AK6" i="91"/>
  <c r="AK5" i="91"/>
  <c r="AK7" i="91" s="1"/>
  <c r="H34" i="85"/>
  <c r="I34" i="85"/>
  <c r="D36" i="85"/>
  <c r="G35" i="85"/>
  <c r="E35" i="85"/>
  <c r="F34" i="85"/>
  <c r="H38" i="62" l="1"/>
  <c r="F38" i="62" s="1"/>
  <c r="I38" i="62"/>
  <c r="E39" i="62" s="1"/>
  <c r="AL6" i="91"/>
  <c r="AL5" i="91"/>
  <c r="AK10" i="91"/>
  <c r="AK18" i="91" s="1"/>
  <c r="AK15" i="91"/>
  <c r="AM17" i="91"/>
  <c r="AM13" i="91"/>
  <c r="AM14" i="91" s="1"/>
  <c r="AN3" i="91"/>
  <c r="AM4" i="91"/>
  <c r="AM9" i="91"/>
  <c r="AM8" i="91"/>
  <c r="I35" i="85"/>
  <c r="E36" i="85" s="1"/>
  <c r="H35" i="85"/>
  <c r="F35" i="85" s="1"/>
  <c r="D37" i="85"/>
  <c r="G36" i="85"/>
  <c r="I39" i="62" l="1"/>
  <c r="E40" i="62" s="1"/>
  <c r="H39" i="62"/>
  <c r="F39" i="62" s="1"/>
  <c r="AL7" i="91"/>
  <c r="AL10" i="91" s="1"/>
  <c r="AL18" i="91" s="1"/>
  <c r="AL15" i="91"/>
  <c r="AM6" i="91"/>
  <c r="AM5" i="91"/>
  <c r="AM7" i="91" s="1"/>
  <c r="AN17" i="91"/>
  <c r="AN13" i="91"/>
  <c r="AN14" i="91" s="1"/>
  <c r="AN9" i="91"/>
  <c r="AN8" i="91"/>
  <c r="AN4" i="91"/>
  <c r="AO3" i="91"/>
  <c r="I36" i="85"/>
  <c r="E37" i="85" s="1"/>
  <c r="H36" i="85"/>
  <c r="F36" i="85" s="1"/>
  <c r="G37" i="85"/>
  <c r="D38" i="85"/>
  <c r="I40" i="62" l="1"/>
  <c r="E41" i="62" s="1"/>
  <c r="H40" i="62"/>
  <c r="F40" i="62" s="1"/>
  <c r="AO13" i="91"/>
  <c r="AO14" i="91" s="1"/>
  <c r="AO9" i="91"/>
  <c r="AO17" i="91"/>
  <c r="AO8" i="91"/>
  <c r="AP3" i="91"/>
  <c r="AO4" i="91"/>
  <c r="AM10" i="91"/>
  <c r="AM18" i="91" s="1"/>
  <c r="AM15" i="91"/>
  <c r="AN6" i="91"/>
  <c r="AN5" i="91"/>
  <c r="I37" i="85"/>
  <c r="E38" i="85" s="1"/>
  <c r="H37" i="85"/>
  <c r="F37" i="85" s="1"/>
  <c r="G38" i="85"/>
  <c r="D39" i="85"/>
  <c r="I41" i="62" l="1"/>
  <c r="E42" i="62" s="1"/>
  <c r="H41" i="62"/>
  <c r="F41" i="62" s="1"/>
  <c r="AN7" i="91"/>
  <c r="AO5" i="91"/>
  <c r="AO6" i="91"/>
  <c r="AN10" i="91"/>
  <c r="AN18" i="91" s="1"/>
  <c r="AN15" i="91"/>
  <c r="AP13" i="91"/>
  <c r="AP14" i="91" s="1"/>
  <c r="AP9" i="91"/>
  <c r="AP8" i="91"/>
  <c r="AP17" i="91"/>
  <c r="AP4" i="91"/>
  <c r="AQ3" i="91"/>
  <c r="H38" i="85"/>
  <c r="F38" i="85" s="1"/>
  <c r="I38" i="85"/>
  <c r="D40" i="85"/>
  <c r="G39" i="85"/>
  <c r="E39" i="85"/>
  <c r="I42" i="62" l="1"/>
  <c r="E43" i="62" s="1"/>
  <c r="H42" i="62"/>
  <c r="F42" i="62" s="1"/>
  <c r="AQ9" i="91"/>
  <c r="AQ8" i="91"/>
  <c r="AQ17" i="91"/>
  <c r="AQ13" i="91"/>
  <c r="AQ14" i="91" s="1"/>
  <c r="AQ4" i="91"/>
  <c r="AR3" i="91"/>
  <c r="AP6" i="91"/>
  <c r="AP5" i="91"/>
  <c r="AP7" i="91" s="1"/>
  <c r="AO7" i="91"/>
  <c r="I39" i="85"/>
  <c r="E40" i="85" s="1"/>
  <c r="H39" i="85"/>
  <c r="F39" i="85" s="1"/>
  <c r="D41" i="85"/>
  <c r="G40" i="85"/>
  <c r="H43" i="62" l="1"/>
  <c r="F43" i="62" s="1"/>
  <c r="I43" i="62"/>
  <c r="E44" i="62" s="1"/>
  <c r="AR9" i="91"/>
  <c r="AR8" i="91"/>
  <c r="AR17" i="91"/>
  <c r="AR13" i="91"/>
  <c r="AR14" i="91" s="1"/>
  <c r="AS3" i="91"/>
  <c r="AR4" i="91"/>
  <c r="AP10" i="91"/>
  <c r="AP18" i="91" s="1"/>
  <c r="AP15" i="91"/>
  <c r="AQ5" i="91"/>
  <c r="AQ7" i="91" s="1"/>
  <c r="AQ6" i="91"/>
  <c r="AO10" i="91"/>
  <c r="AO18" i="91" s="1"/>
  <c r="AO15" i="91"/>
  <c r="I40" i="85"/>
  <c r="H40" i="85"/>
  <c r="F40" i="85" s="1"/>
  <c r="E41" i="85"/>
  <c r="G41" i="85"/>
  <c r="D42" i="85"/>
  <c r="I44" i="62" l="1"/>
  <c r="E45" i="62" s="1"/>
  <c r="H44" i="62"/>
  <c r="F44" i="62" s="1"/>
  <c r="AS9" i="91"/>
  <c r="AS8" i="91"/>
  <c r="AS17" i="91"/>
  <c r="AS13" i="91"/>
  <c r="AS14" i="91" s="1"/>
  <c r="AS4" i="91"/>
  <c r="AT3" i="91"/>
  <c r="AQ10" i="91"/>
  <c r="AQ18" i="91" s="1"/>
  <c r="AQ15" i="91"/>
  <c r="AR5" i="91"/>
  <c r="AR6" i="91"/>
  <c r="G42" i="85"/>
  <c r="D43" i="85"/>
  <c r="H41" i="85"/>
  <c r="F41" i="85" s="1"/>
  <c r="I41" i="85"/>
  <c r="E42" i="85" s="1"/>
  <c r="I45" i="62" l="1"/>
  <c r="E46" i="62" s="1"/>
  <c r="H45" i="62"/>
  <c r="F45" i="62" s="1"/>
  <c r="AR7" i="91"/>
  <c r="AS6" i="91"/>
  <c r="AS5" i="91"/>
  <c r="AT17" i="91"/>
  <c r="AT9" i="91"/>
  <c r="AU3" i="91"/>
  <c r="AT13" i="91"/>
  <c r="AT14" i="91" s="1"/>
  <c r="AT8" i="91"/>
  <c r="AT4" i="91"/>
  <c r="AR10" i="91"/>
  <c r="AR18" i="91" s="1"/>
  <c r="AR15" i="91"/>
  <c r="H42" i="85"/>
  <c r="F42" i="85" s="1"/>
  <c r="I42" i="85"/>
  <c r="D44" i="85"/>
  <c r="E43" i="85"/>
  <c r="G43" i="85"/>
  <c r="H46" i="62" l="1"/>
  <c r="F46" i="62" s="1"/>
  <c r="I46" i="62"/>
  <c r="E47" i="62" s="1"/>
  <c r="AS7" i="91"/>
  <c r="AS10" i="91" s="1"/>
  <c r="AS18" i="91" s="1"/>
  <c r="AU17" i="91"/>
  <c r="AU13" i="91"/>
  <c r="AU14" i="91" s="1"/>
  <c r="AV3" i="91"/>
  <c r="AU8" i="91"/>
  <c r="AU9" i="91"/>
  <c r="AU4" i="91"/>
  <c r="AT6" i="91"/>
  <c r="AT5" i="91"/>
  <c r="AT7" i="91" s="1"/>
  <c r="I43" i="85"/>
  <c r="H43" i="85"/>
  <c r="F43" i="85"/>
  <c r="G44" i="85"/>
  <c r="E44" i="85"/>
  <c r="D45" i="85"/>
  <c r="I47" i="62" l="1"/>
  <c r="E48" i="62" s="1"/>
  <c r="H47" i="62"/>
  <c r="F47" i="62" s="1"/>
  <c r="AS15" i="91"/>
  <c r="AU5" i="91"/>
  <c r="AU6" i="91"/>
  <c r="AV17" i="91"/>
  <c r="AV13" i="91"/>
  <c r="AV14" i="91" s="1"/>
  <c r="AV9" i="91"/>
  <c r="AV8" i="91"/>
  <c r="AV4" i="91"/>
  <c r="AW3" i="91"/>
  <c r="AT10" i="91"/>
  <c r="AT18" i="91" s="1"/>
  <c r="AT15" i="91"/>
  <c r="D46" i="85"/>
  <c r="G45" i="85"/>
  <c r="I44" i="85"/>
  <c r="E45" i="85" s="1"/>
  <c r="H44" i="85"/>
  <c r="F44" i="85" s="1"/>
  <c r="I48" i="62" l="1"/>
  <c r="E49" i="62" s="1"/>
  <c r="H48" i="62"/>
  <c r="F48" i="62" s="1"/>
  <c r="AU7" i="91"/>
  <c r="AU10" i="91" s="1"/>
  <c r="AU18" i="91" s="1"/>
  <c r="AV6" i="91"/>
  <c r="AV5" i="91"/>
  <c r="AV7" i="91" s="1"/>
  <c r="AW13" i="91"/>
  <c r="AW14" i="91" s="1"/>
  <c r="AW8" i="91"/>
  <c r="AX3" i="91"/>
  <c r="AW9" i="91"/>
  <c r="AW17" i="91"/>
  <c r="AW4" i="91"/>
  <c r="I45" i="85"/>
  <c r="E46" i="85" s="1"/>
  <c r="H45" i="85"/>
  <c r="G46" i="85"/>
  <c r="D47" i="85"/>
  <c r="F45" i="85"/>
  <c r="I49" i="62" l="1"/>
  <c r="E50" i="62" s="1"/>
  <c r="H49" i="62"/>
  <c r="F49" i="62" s="1"/>
  <c r="AU15" i="91"/>
  <c r="AW5" i="91"/>
  <c r="AW6" i="91"/>
  <c r="AV10" i="91"/>
  <c r="AV18" i="91" s="1"/>
  <c r="AV15" i="91"/>
  <c r="AX13" i="91"/>
  <c r="AX14" i="91" s="1"/>
  <c r="AX9" i="91"/>
  <c r="AX8" i="91"/>
  <c r="AX17" i="91"/>
  <c r="AX4" i="91"/>
  <c r="AY3" i="91"/>
  <c r="H46" i="85"/>
  <c r="F46" i="85" s="1"/>
  <c r="I46" i="85"/>
  <c r="D48" i="85"/>
  <c r="G47" i="85"/>
  <c r="E47" i="85"/>
  <c r="H50" i="62" l="1"/>
  <c r="F50" i="62" s="1"/>
  <c r="I50" i="62"/>
  <c r="E51" i="62" s="1"/>
  <c r="AY9" i="91"/>
  <c r="AY8" i="91"/>
  <c r="AY17" i="91"/>
  <c r="AY13" i="91"/>
  <c r="AY14" i="91" s="1"/>
  <c r="AY4" i="91"/>
  <c r="AZ3" i="91"/>
  <c r="AX6" i="91"/>
  <c r="AX5" i="91"/>
  <c r="AX7" i="91" s="1"/>
  <c r="AW7" i="91"/>
  <c r="I47" i="85"/>
  <c r="H47" i="85"/>
  <c r="F47" i="85"/>
  <c r="G48" i="85"/>
  <c r="E48" i="85"/>
  <c r="D49" i="85"/>
  <c r="H51" i="62" l="1"/>
  <c r="F51" i="62" s="1"/>
  <c r="I51" i="62"/>
  <c r="E52" i="62" s="1"/>
  <c r="AY6" i="91"/>
  <c r="AY5" i="91"/>
  <c r="AZ9" i="91"/>
  <c r="AZ8" i="91"/>
  <c r="AZ17" i="91"/>
  <c r="BA3" i="91"/>
  <c r="AZ13" i="91"/>
  <c r="AZ14" i="91" s="1"/>
  <c r="AZ4" i="91"/>
  <c r="AW10" i="91"/>
  <c r="AW18" i="91" s="1"/>
  <c r="AW15" i="91"/>
  <c r="AX10" i="91"/>
  <c r="AX18" i="91" s="1"/>
  <c r="AX15" i="91"/>
  <c r="D50" i="85"/>
  <c r="G49" i="85"/>
  <c r="I48" i="85"/>
  <c r="E49" i="85" s="1"/>
  <c r="H48" i="85"/>
  <c r="F48" i="85" s="1"/>
  <c r="I52" i="62" l="1"/>
  <c r="E53" i="62" s="1"/>
  <c r="H52" i="62"/>
  <c r="F52" i="62" s="1"/>
  <c r="AY7" i="91"/>
  <c r="AZ6" i="91"/>
  <c r="AZ5" i="91"/>
  <c r="AZ7" i="91" s="1"/>
  <c r="AY10" i="91"/>
  <c r="AY18" i="91" s="1"/>
  <c r="AY15" i="91"/>
  <c r="BA9" i="91"/>
  <c r="BA8" i="91"/>
  <c r="BA17" i="91"/>
  <c r="BA13" i="91"/>
  <c r="BA14" i="91" s="1"/>
  <c r="BA4" i="91"/>
  <c r="BB3" i="91"/>
  <c r="I49" i="85"/>
  <c r="E50" i="85" s="1"/>
  <c r="H49" i="85"/>
  <c r="F49" i="85" s="1"/>
  <c r="G50" i="85"/>
  <c r="D51" i="85"/>
  <c r="H53" i="62" l="1"/>
  <c r="F53" i="62" s="1"/>
  <c r="I53" i="62"/>
  <c r="E54" i="62" s="1"/>
  <c r="BB17" i="91"/>
  <c r="BB13" i="91"/>
  <c r="BB14" i="91" s="1"/>
  <c r="BB4" i="91"/>
  <c r="BB9" i="91"/>
  <c r="BB8" i="91"/>
  <c r="BC3" i="91"/>
  <c r="BA5" i="91"/>
  <c r="BA6" i="91"/>
  <c r="AZ10" i="91"/>
  <c r="AZ18" i="91" s="1"/>
  <c r="AZ15" i="91"/>
  <c r="D52" i="85"/>
  <c r="G51" i="85"/>
  <c r="H50" i="85"/>
  <c r="I50" i="85"/>
  <c r="E51" i="85" s="1"/>
  <c r="F50" i="85"/>
  <c r="H54" i="62" l="1"/>
  <c r="F54" i="62" s="1"/>
  <c r="I54" i="62"/>
  <c r="E55" i="62" s="1"/>
  <c r="BC17" i="91"/>
  <c r="BC13" i="91"/>
  <c r="BC14" i="91" s="1"/>
  <c r="BC9" i="91"/>
  <c r="BD3" i="91"/>
  <c r="BC4" i="91"/>
  <c r="BC8" i="91"/>
  <c r="BB6" i="91"/>
  <c r="BB5" i="91"/>
  <c r="BA7" i="91"/>
  <c r="I51" i="85"/>
  <c r="E52" i="85" s="1"/>
  <c r="H51" i="85"/>
  <c r="F51" i="85"/>
  <c r="D53" i="85"/>
  <c r="G52" i="85"/>
  <c r="I55" i="62" l="1"/>
  <c r="E56" i="62" s="1"/>
  <c r="H55" i="62"/>
  <c r="F55" i="62" s="1"/>
  <c r="BC5" i="91"/>
  <c r="BC6" i="91"/>
  <c r="BA10" i="91"/>
  <c r="BA18" i="91" s="1"/>
  <c r="BA15" i="91"/>
  <c r="BB7" i="91"/>
  <c r="BD17" i="91"/>
  <c r="BD13" i="91"/>
  <c r="BD14" i="91" s="1"/>
  <c r="BD9" i="91"/>
  <c r="BD8" i="91"/>
  <c r="BD4" i="91"/>
  <c r="BE3" i="91"/>
  <c r="G53" i="85"/>
  <c r="D54" i="85"/>
  <c r="I52" i="85"/>
  <c r="E53" i="85" s="1"/>
  <c r="H52" i="85"/>
  <c r="F52" i="85" s="1"/>
  <c r="I56" i="62" l="1"/>
  <c r="E57" i="62" s="1"/>
  <c r="H56" i="62"/>
  <c r="F56" i="62" s="1"/>
  <c r="BB10" i="91"/>
  <c r="BB18" i="91" s="1"/>
  <c r="BB15" i="91"/>
  <c r="BE13" i="91"/>
  <c r="BE14" i="91" s="1"/>
  <c r="BF3" i="91"/>
  <c r="BE17" i="91"/>
  <c r="BE8" i="91"/>
  <c r="BE9" i="91"/>
  <c r="BE4" i="91"/>
  <c r="BD5" i="91"/>
  <c r="BD6" i="91"/>
  <c r="BC7" i="91"/>
  <c r="I53" i="85"/>
  <c r="H53" i="85"/>
  <c r="F53" i="85" s="1"/>
  <c r="G54" i="85"/>
  <c r="D55" i="85"/>
  <c r="E54" i="85"/>
  <c r="I57" i="62" l="1"/>
  <c r="E58" i="62" s="1"/>
  <c r="H57" i="62"/>
  <c r="F57" i="62" s="1"/>
  <c r="BD7" i="91"/>
  <c r="BD10" i="91" s="1"/>
  <c r="BD18" i="91" s="1"/>
  <c r="BF13" i="91"/>
  <c r="BF14" i="91" s="1"/>
  <c r="BF9" i="91"/>
  <c r="BF8" i="91"/>
  <c r="BF17" i="91"/>
  <c r="BF4" i="91"/>
  <c r="BG3" i="91"/>
  <c r="BC10" i="91"/>
  <c r="BC18" i="91" s="1"/>
  <c r="BC15" i="91"/>
  <c r="BE6" i="91"/>
  <c r="BE5" i="91"/>
  <c r="BE7" i="91" s="1"/>
  <c r="H54" i="85"/>
  <c r="F54" i="85" s="1"/>
  <c r="I54" i="85"/>
  <c r="E55" i="85" s="1"/>
  <c r="D56" i="85"/>
  <c r="G55" i="85"/>
  <c r="I58" i="62" l="1"/>
  <c r="E59" i="62" s="1"/>
  <c r="H58" i="62"/>
  <c r="F58" i="62" s="1"/>
  <c r="BD15" i="91"/>
  <c r="BF5" i="91"/>
  <c r="BF6" i="91"/>
  <c r="BE10" i="91"/>
  <c r="BE18" i="91" s="1"/>
  <c r="BE15" i="91"/>
  <c r="BG9" i="91"/>
  <c r="BG8" i="91"/>
  <c r="BG13" i="91"/>
  <c r="BG14" i="91" s="1"/>
  <c r="BG17" i="91"/>
  <c r="BH3" i="91"/>
  <c r="BG4" i="91"/>
  <c r="I55" i="85"/>
  <c r="H55" i="85"/>
  <c r="F55" i="85"/>
  <c r="D57" i="85"/>
  <c r="E56" i="85"/>
  <c r="G56" i="85"/>
  <c r="H59" i="62" l="1"/>
  <c r="F59" i="62" s="1"/>
  <c r="I59" i="62"/>
  <c r="E60" i="62" s="1"/>
  <c r="BG6" i="91"/>
  <c r="BG5" i="91"/>
  <c r="BG7" i="91" s="1"/>
  <c r="BH9" i="91"/>
  <c r="BH8" i="91"/>
  <c r="BH17" i="91"/>
  <c r="BI3" i="91"/>
  <c r="BH13" i="91"/>
  <c r="BH14" i="91" s="1"/>
  <c r="BH4" i="91"/>
  <c r="BF7" i="91"/>
  <c r="D58" i="85"/>
  <c r="G57" i="85"/>
  <c r="I56" i="85"/>
  <c r="E57" i="85" s="1"/>
  <c r="H56" i="85"/>
  <c r="F56" i="85" s="1"/>
  <c r="I60" i="62" l="1"/>
  <c r="E61" i="62" s="1"/>
  <c r="H60" i="62"/>
  <c r="F60" i="62" s="1"/>
  <c r="BI9" i="91"/>
  <c r="BI8" i="91"/>
  <c r="BI17" i="91"/>
  <c r="BI13" i="91"/>
  <c r="BI14" i="91" s="1"/>
  <c r="BI4" i="91"/>
  <c r="BJ3" i="91"/>
  <c r="BF10" i="91"/>
  <c r="BF18" i="91" s="1"/>
  <c r="BF15" i="91"/>
  <c r="BH6" i="91"/>
  <c r="BH5" i="91"/>
  <c r="BG10" i="91"/>
  <c r="BG18" i="91" s="1"/>
  <c r="BG15" i="91"/>
  <c r="I57" i="85"/>
  <c r="E58" i="85" s="1"/>
  <c r="H57" i="85"/>
  <c r="F57" i="85"/>
  <c r="G58" i="85"/>
  <c r="D59" i="85"/>
  <c r="I61" i="62" l="1"/>
  <c r="E62" i="62" s="1"/>
  <c r="H61" i="62"/>
  <c r="F61" i="62" s="1"/>
  <c r="BJ17" i="91"/>
  <c r="BJ13" i="91"/>
  <c r="BJ14" i="91" s="1"/>
  <c r="BJ9" i="91"/>
  <c r="BK3" i="91"/>
  <c r="BJ8" i="91"/>
  <c r="BJ4" i="91"/>
  <c r="BI6" i="91"/>
  <c r="BI5" i="91"/>
  <c r="BI7" i="91" s="1"/>
  <c r="BH7" i="91"/>
  <c r="D60" i="85"/>
  <c r="G59" i="85"/>
  <c r="H58" i="85"/>
  <c r="F58" i="85" s="1"/>
  <c r="I58" i="85"/>
  <c r="E59" i="85" s="1"/>
  <c r="H62" i="62" l="1"/>
  <c r="F62" i="62" s="1"/>
  <c r="I62" i="62"/>
  <c r="E63" i="62" s="1"/>
  <c r="BJ6" i="91"/>
  <c r="BJ5" i="91"/>
  <c r="BK17" i="91"/>
  <c r="BK13" i="91"/>
  <c r="BK14" i="91" s="1"/>
  <c r="BK9" i="91"/>
  <c r="BK8" i="91"/>
  <c r="BL3" i="91"/>
  <c r="BK4" i="91"/>
  <c r="BH10" i="91"/>
  <c r="BH18" i="91" s="1"/>
  <c r="BH15" i="91"/>
  <c r="BI10" i="91"/>
  <c r="BI18" i="91" s="1"/>
  <c r="BI15" i="91"/>
  <c r="I59" i="85"/>
  <c r="H59" i="85"/>
  <c r="F59" i="85" s="1"/>
  <c r="D61" i="85"/>
  <c r="E60" i="85"/>
  <c r="G60" i="85"/>
  <c r="I63" i="62" l="1"/>
  <c r="E64" i="62" s="1"/>
  <c r="H63" i="62"/>
  <c r="F63" i="62" s="1"/>
  <c r="BJ7" i="91"/>
  <c r="BJ10" i="91" s="1"/>
  <c r="BJ18" i="91" s="1"/>
  <c r="BK6" i="91"/>
  <c r="BK5" i="91"/>
  <c r="BL17" i="91"/>
  <c r="BL13" i="91"/>
  <c r="BL14" i="91" s="1"/>
  <c r="BL9" i="91"/>
  <c r="BL8" i="91"/>
  <c r="BL4" i="91"/>
  <c r="BM3" i="91"/>
  <c r="I60" i="85"/>
  <c r="H60" i="85"/>
  <c r="F60" i="85" s="1"/>
  <c r="E61" i="85"/>
  <c r="D62" i="85"/>
  <c r="G61" i="85"/>
  <c r="I64" i="62" l="1"/>
  <c r="E65" i="62" s="1"/>
  <c r="H64" i="62"/>
  <c r="F64" i="62" s="1"/>
  <c r="BJ15" i="91"/>
  <c r="BN3" i="91"/>
  <c r="BM9" i="91"/>
  <c r="BM8" i="91"/>
  <c r="BM17" i="91" s="1"/>
  <c r="BM4" i="91"/>
  <c r="BK7" i="91"/>
  <c r="BL5" i="91"/>
  <c r="BL6" i="91"/>
  <c r="G62" i="85"/>
  <c r="D63" i="85"/>
  <c r="I61" i="85"/>
  <c r="E62" i="85" s="1"/>
  <c r="H61" i="85"/>
  <c r="F61" i="85" s="1"/>
  <c r="I65" i="62" l="1"/>
  <c r="E66" i="62" s="1"/>
  <c r="H65" i="62"/>
  <c r="F65" i="62" s="1"/>
  <c r="BM6" i="91"/>
  <c r="BM5" i="91"/>
  <c r="BM7" i="91" s="1"/>
  <c r="BN15" i="91"/>
  <c r="BN13" i="91"/>
  <c r="BN14" i="91" s="1"/>
  <c r="BN9" i="91"/>
  <c r="BN8" i="91"/>
  <c r="BN17" i="91"/>
  <c r="BN18" i="91"/>
  <c r="BN4" i="91"/>
  <c r="BO3" i="91"/>
  <c r="BL7" i="91"/>
  <c r="BK10" i="91"/>
  <c r="BK18" i="91" s="1"/>
  <c r="BK15" i="91"/>
  <c r="H62" i="85"/>
  <c r="I62" i="85"/>
  <c r="E63" i="85" s="1"/>
  <c r="F62" i="85"/>
  <c r="D64" i="85"/>
  <c r="G63" i="85"/>
  <c r="I66" i="62" l="1"/>
  <c r="E67" i="62" s="1"/>
  <c r="H66" i="62"/>
  <c r="F66" i="62" s="1"/>
  <c r="BL10" i="91"/>
  <c r="BL18" i="91" s="1"/>
  <c r="BL15" i="91"/>
  <c r="BO9" i="91"/>
  <c r="BO8" i="91"/>
  <c r="BO18" i="91"/>
  <c r="BO13" i="91"/>
  <c r="BO14" i="91" s="1"/>
  <c r="BO4" i="91"/>
  <c r="BO15" i="91"/>
  <c r="BP3" i="91"/>
  <c r="BO17" i="91"/>
  <c r="BM10" i="91"/>
  <c r="BN5" i="91"/>
  <c r="BN6" i="91"/>
  <c r="I63" i="85"/>
  <c r="E64" i="85" s="1"/>
  <c r="H63" i="85"/>
  <c r="F63" i="85" s="1"/>
  <c r="D65" i="85"/>
  <c r="G64" i="85"/>
  <c r="I67" i="62" l="1"/>
  <c r="E68" i="62" s="1"/>
  <c r="H67" i="62"/>
  <c r="F67" i="62" s="1"/>
  <c r="BO6" i="91"/>
  <c r="BO5" i="91"/>
  <c r="BN7" i="91"/>
  <c r="BN10" i="91" s="1"/>
  <c r="BP9" i="91"/>
  <c r="BP8" i="91"/>
  <c r="BP18" i="91"/>
  <c r="BP17" i="91"/>
  <c r="BP15" i="91"/>
  <c r="BQ3" i="91"/>
  <c r="BP4" i="91"/>
  <c r="BP13" i="91"/>
  <c r="BP14" i="91" s="1"/>
  <c r="I64" i="85"/>
  <c r="H64" i="85"/>
  <c r="F64" i="85" s="1"/>
  <c r="E65" i="85"/>
  <c r="D66" i="85"/>
  <c r="G65" i="85"/>
  <c r="I68" i="62" l="1"/>
  <c r="E69" i="62" s="1"/>
  <c r="H68" i="62"/>
  <c r="F68" i="62" s="1"/>
  <c r="BO7" i="91"/>
  <c r="BO10" i="91" s="1"/>
  <c r="BQ9" i="91"/>
  <c r="BQ8" i="91"/>
  <c r="BQ18" i="91"/>
  <c r="BQ17" i="91"/>
  <c r="BQ13" i="91"/>
  <c r="BQ14" i="91" s="1"/>
  <c r="BQ4" i="91"/>
  <c r="BR3" i="91"/>
  <c r="BQ15" i="91"/>
  <c r="BP6" i="91"/>
  <c r="BP5" i="91"/>
  <c r="G66" i="85"/>
  <c r="D67" i="85"/>
  <c r="I65" i="85"/>
  <c r="E66" i="85" s="1"/>
  <c r="H65" i="85"/>
  <c r="F65" i="85" s="1"/>
  <c r="I69" i="62" l="1"/>
  <c r="E70" i="62" s="1"/>
  <c r="H69" i="62"/>
  <c r="F69" i="62" s="1"/>
  <c r="BR18" i="91"/>
  <c r="BR17" i="91"/>
  <c r="BR15" i="91"/>
  <c r="BR13" i="91"/>
  <c r="BR14" i="91" s="1"/>
  <c r="BR8" i="91"/>
  <c r="BS3" i="91"/>
  <c r="BR9" i="91"/>
  <c r="BR4" i="91"/>
  <c r="BQ6" i="91"/>
  <c r="BQ5" i="91"/>
  <c r="BP7" i="91"/>
  <c r="BP10" i="91" s="1"/>
  <c r="H66" i="85"/>
  <c r="F66" i="85" s="1"/>
  <c r="I66" i="85"/>
  <c r="D68" i="85"/>
  <c r="E67" i="85"/>
  <c r="G67" i="85"/>
  <c r="H70" i="62" l="1"/>
  <c r="F70" i="62" s="1"/>
  <c r="I70" i="62"/>
  <c r="E71" i="62" s="1"/>
  <c r="BS18" i="91"/>
  <c r="BS17" i="91"/>
  <c r="BS15" i="91"/>
  <c r="BS13" i="91"/>
  <c r="BS14" i="91" s="1"/>
  <c r="BS8" i="91"/>
  <c r="BS9" i="91"/>
  <c r="BT3" i="91"/>
  <c r="BS4" i="91"/>
  <c r="BR6" i="91"/>
  <c r="BR5" i="91"/>
  <c r="BQ7" i="91"/>
  <c r="BQ10" i="91" s="1"/>
  <c r="I67" i="85"/>
  <c r="H67" i="85"/>
  <c r="F67" i="85"/>
  <c r="D69" i="85"/>
  <c r="G68" i="85"/>
  <c r="E68" i="85"/>
  <c r="I71" i="62" l="1"/>
  <c r="E72" i="62" s="1"/>
  <c r="H71" i="62"/>
  <c r="F71" i="62" s="1"/>
  <c r="BS6" i="91"/>
  <c r="BS5" i="91"/>
  <c r="BT17" i="91"/>
  <c r="BT15" i="91"/>
  <c r="BT13" i="91"/>
  <c r="BT14" i="91" s="1"/>
  <c r="BT9" i="91"/>
  <c r="BT8" i="91"/>
  <c r="BT4" i="91"/>
  <c r="BU3" i="91"/>
  <c r="BT18" i="91"/>
  <c r="BR7" i="91"/>
  <c r="BR10" i="91" s="1"/>
  <c r="H68" i="85"/>
  <c r="I68" i="85"/>
  <c r="F68" i="85"/>
  <c r="E69" i="85"/>
  <c r="D70" i="85"/>
  <c r="G69" i="85"/>
  <c r="H72" i="62" l="1"/>
  <c r="F72" i="62" s="1"/>
  <c r="I72" i="62"/>
  <c r="E73" i="62" s="1"/>
  <c r="BS7" i="91"/>
  <c r="BS10" i="91" s="1"/>
  <c r="BT5" i="91"/>
  <c r="BT6" i="91"/>
  <c r="BU15" i="91"/>
  <c r="BU13" i="91"/>
  <c r="BU14" i="91" s="1"/>
  <c r="BU18" i="91"/>
  <c r="BU17" i="91"/>
  <c r="BV3" i="91"/>
  <c r="BU9" i="91"/>
  <c r="BU4" i="91"/>
  <c r="BU8" i="91"/>
  <c r="G70" i="85"/>
  <c r="D71" i="85"/>
  <c r="I69" i="85"/>
  <c r="E70" i="85" s="1"/>
  <c r="H69" i="85"/>
  <c r="F69" i="85" s="1"/>
  <c r="I73" i="62" l="1"/>
  <c r="E74" i="62" s="1"/>
  <c r="H73" i="62"/>
  <c r="F73" i="62" s="1"/>
  <c r="BV15" i="91"/>
  <c r="BV13" i="91"/>
  <c r="BV14" i="91" s="1"/>
  <c r="BV9" i="91"/>
  <c r="BV8" i="91"/>
  <c r="BV17" i="91"/>
  <c r="BV4" i="91"/>
  <c r="BW3" i="91"/>
  <c r="BV18" i="91"/>
  <c r="BU6" i="91"/>
  <c r="BU5" i="91"/>
  <c r="BU7" i="91" s="1"/>
  <c r="BU10" i="91" s="1"/>
  <c r="BT7" i="91"/>
  <c r="BT10" i="91" s="1"/>
  <c r="D72" i="85"/>
  <c r="G71" i="85"/>
  <c r="H70" i="85"/>
  <c r="F70" i="85" s="1"/>
  <c r="I70" i="85"/>
  <c r="E71" i="85" s="1"/>
  <c r="I74" i="62" l="1"/>
  <c r="E75" i="62" s="1"/>
  <c r="H74" i="62"/>
  <c r="F74" i="62" s="1"/>
  <c r="BW9" i="91"/>
  <c r="BW8" i="91"/>
  <c r="BW18" i="91"/>
  <c r="BW17" i="91"/>
  <c r="BW15" i="91"/>
  <c r="BW13" i="91"/>
  <c r="BW14" i="91" s="1"/>
  <c r="BX3" i="91"/>
  <c r="BW4" i="91"/>
  <c r="BV5" i="91"/>
  <c r="BV6" i="91"/>
  <c r="I71" i="85"/>
  <c r="E72" i="85" s="1"/>
  <c r="H71" i="85"/>
  <c r="F71" i="85"/>
  <c r="D73" i="85"/>
  <c r="G72" i="85"/>
  <c r="H75" i="62" l="1"/>
  <c r="F75" i="62" s="1"/>
  <c r="I75" i="62"/>
  <c r="E76" i="62" s="1"/>
  <c r="BW6" i="91"/>
  <c r="BW5" i="91"/>
  <c r="BW7" i="91" s="1"/>
  <c r="BW10" i="91" s="1"/>
  <c r="BX9" i="91"/>
  <c r="BX8" i="91"/>
  <c r="BX18" i="91"/>
  <c r="BX17" i="91"/>
  <c r="BX15" i="91"/>
  <c r="BY3" i="91"/>
  <c r="BX13" i="91"/>
  <c r="BX14" i="91" s="1"/>
  <c r="BX4" i="91"/>
  <c r="BV7" i="91"/>
  <c r="BV10" i="91" s="1"/>
  <c r="H72" i="85"/>
  <c r="F72" i="85" s="1"/>
  <c r="I72" i="85"/>
  <c r="E73" i="85"/>
  <c r="D74" i="85"/>
  <c r="G73" i="85"/>
  <c r="I76" i="62" l="1"/>
  <c r="E77" i="62" s="1"/>
  <c r="H76" i="62"/>
  <c r="F76" i="62" s="1"/>
  <c r="BY9" i="91"/>
  <c r="BY8" i="91"/>
  <c r="BY18" i="91"/>
  <c r="BY17" i="91"/>
  <c r="BY13" i="91"/>
  <c r="BY14" i="91" s="1"/>
  <c r="BY4" i="91"/>
  <c r="BY15" i="91"/>
  <c r="BX6" i="91"/>
  <c r="BX5" i="91"/>
  <c r="I73" i="85"/>
  <c r="E74" i="85" s="1"/>
  <c r="H73" i="85"/>
  <c r="F73" i="85" s="1"/>
  <c r="G74" i="85"/>
  <c r="D75" i="85"/>
  <c r="I77" i="62" l="1"/>
  <c r="E78" i="62" s="1"/>
  <c r="H77" i="62"/>
  <c r="F77" i="62" s="1"/>
  <c r="BY6" i="91"/>
  <c r="BY5" i="91"/>
  <c r="BX7" i="91"/>
  <c r="BX10" i="91" s="1"/>
  <c r="D76" i="85"/>
  <c r="G75" i="85"/>
  <c r="H74" i="85"/>
  <c r="I74" i="85"/>
  <c r="E75" i="85" s="1"/>
  <c r="F74" i="85"/>
  <c r="H78" i="62" l="1"/>
  <c r="F78" i="62" s="1"/>
  <c r="I78" i="62"/>
  <c r="E79" i="62" s="1"/>
  <c r="BY7" i="91"/>
  <c r="BY10" i="91" s="1"/>
  <c r="BM13" i="91"/>
  <c r="I75" i="85"/>
  <c r="H75" i="85"/>
  <c r="F75" i="85" s="1"/>
  <c r="D77" i="85"/>
  <c r="G76" i="85"/>
  <c r="E76" i="85"/>
  <c r="I79" i="62" l="1"/>
  <c r="E80" i="62" s="1"/>
  <c r="H79" i="62"/>
  <c r="F79" i="62" s="1"/>
  <c r="BM14" i="91"/>
  <c r="BM15" i="91"/>
  <c r="BM18" i="91"/>
  <c r="H76" i="85"/>
  <c r="I76" i="85"/>
  <c r="E77" i="85" s="1"/>
  <c r="F76" i="85"/>
  <c r="D78" i="85"/>
  <c r="G77" i="85"/>
  <c r="I80" i="62" l="1"/>
  <c r="E81" i="62" s="1"/>
  <c r="H80" i="62"/>
  <c r="F80" i="62" s="1"/>
  <c r="B23" i="91"/>
  <c r="B24" i="91"/>
  <c r="B25" i="91"/>
  <c r="G78" i="85"/>
  <c r="D79" i="85"/>
  <c r="H77" i="85"/>
  <c r="F77" i="85" s="1"/>
  <c r="I77" i="85"/>
  <c r="E78" i="85" s="1"/>
  <c r="I81" i="62" l="1"/>
  <c r="E82" i="62" s="1"/>
  <c r="H81" i="62"/>
  <c r="F81" i="62" s="1"/>
  <c r="H78" i="85"/>
  <c r="I78" i="85"/>
  <c r="E79" i="85" s="1"/>
  <c r="D80" i="85"/>
  <c r="G79" i="85"/>
  <c r="F78" i="85"/>
  <c r="I82" i="62" l="1"/>
  <c r="E83" i="62" s="1"/>
  <c r="H82" i="62"/>
  <c r="F82" i="62" s="1"/>
  <c r="I79" i="85"/>
  <c r="E80" i="85" s="1"/>
  <c r="H79" i="85"/>
  <c r="F79" i="85" s="1"/>
  <c r="D81" i="85"/>
  <c r="G80" i="85"/>
  <c r="H83" i="62" l="1"/>
  <c r="F83" i="62" s="1"/>
  <c r="I83" i="62"/>
  <c r="E84" i="62" s="1"/>
  <c r="H80" i="85"/>
  <c r="F80" i="85" s="1"/>
  <c r="I80" i="85"/>
  <c r="E81" i="85" s="1"/>
  <c r="D82" i="85"/>
  <c r="G81" i="85"/>
  <c r="I84" i="62" l="1"/>
  <c r="E85" i="62" s="1"/>
  <c r="H84" i="62"/>
  <c r="F84" i="62" s="1"/>
  <c r="G82" i="85"/>
  <c r="D83" i="85"/>
  <c r="H81" i="85"/>
  <c r="F81" i="85" s="1"/>
  <c r="I81" i="85"/>
  <c r="E82" i="85" s="1"/>
  <c r="I85" i="62" l="1"/>
  <c r="E86" i="62" s="1"/>
  <c r="H85" i="62"/>
  <c r="F85" i="62" s="1"/>
  <c r="H82" i="85"/>
  <c r="F82" i="85" s="1"/>
  <c r="I82" i="85"/>
  <c r="E83" i="85" s="1"/>
  <c r="D84" i="85"/>
  <c r="G83" i="85"/>
  <c r="H86" i="62" l="1"/>
  <c r="F86" i="62" s="1"/>
  <c r="I86" i="62"/>
  <c r="E87" i="62" s="1"/>
  <c r="I83" i="85"/>
  <c r="E84" i="85" s="1"/>
  <c r="H83" i="85"/>
  <c r="F83" i="85" s="1"/>
  <c r="D85" i="85"/>
  <c r="G84" i="85"/>
  <c r="I87" i="62" l="1"/>
  <c r="E88" i="62" s="1"/>
  <c r="H87" i="62"/>
  <c r="F87" i="62" s="1"/>
  <c r="H84" i="85"/>
  <c r="F84" i="85" s="1"/>
  <c r="I84" i="85"/>
  <c r="E85" i="85" s="1"/>
  <c r="D86" i="85"/>
  <c r="G85" i="85"/>
  <c r="I88" i="62" l="1"/>
  <c r="E89" i="62" s="1"/>
  <c r="H88" i="62"/>
  <c r="F88" i="62" s="1"/>
  <c r="G86" i="85"/>
  <c r="D87" i="85"/>
  <c r="H85" i="85"/>
  <c r="F85" i="85" s="1"/>
  <c r="I85" i="85"/>
  <c r="E86" i="85" s="1"/>
  <c r="I89" i="62" l="1"/>
  <c r="E90" i="62" s="1"/>
  <c r="H89" i="62"/>
  <c r="F89" i="62" s="1"/>
  <c r="H86" i="85"/>
  <c r="F86" i="85" s="1"/>
  <c r="I86" i="85"/>
  <c r="E87" i="85" s="1"/>
  <c r="D88" i="85"/>
  <c r="G87" i="85"/>
  <c r="I90" i="62" l="1"/>
  <c r="E91" i="62" s="1"/>
  <c r="H90" i="62"/>
  <c r="F90" i="62" s="1"/>
  <c r="I87" i="85"/>
  <c r="H87" i="85"/>
  <c r="F87" i="85" s="1"/>
  <c r="D89" i="85"/>
  <c r="G88" i="85"/>
  <c r="E88" i="85"/>
  <c r="H91" i="62" l="1"/>
  <c r="F91" i="62" s="1"/>
  <c r="I91" i="62"/>
  <c r="E92" i="62" s="1"/>
  <c r="H88" i="85"/>
  <c r="F88" i="85" s="1"/>
  <c r="I88" i="85"/>
  <c r="E89" i="85" s="1"/>
  <c r="D90" i="85"/>
  <c r="G89" i="85"/>
  <c r="H92" i="62" l="1"/>
  <c r="F92" i="62" s="1"/>
  <c r="I92" i="62"/>
  <c r="E93" i="62" s="1"/>
  <c r="G90" i="85"/>
  <c r="D91" i="85"/>
  <c r="H89" i="85"/>
  <c r="F89" i="85" s="1"/>
  <c r="I89" i="85"/>
  <c r="E90" i="85" s="1"/>
  <c r="I93" i="62" l="1"/>
  <c r="E94" i="62" s="1"/>
  <c r="H93" i="62"/>
  <c r="F93" i="62" s="1"/>
  <c r="H90" i="85"/>
  <c r="F90" i="85" s="1"/>
  <c r="I90" i="85"/>
  <c r="E91" i="85" s="1"/>
  <c r="D92" i="85"/>
  <c r="G91" i="85"/>
  <c r="H94" i="62" l="1"/>
  <c r="F94" i="62" s="1"/>
  <c r="I94" i="62"/>
  <c r="E95" i="62" s="1"/>
  <c r="I91" i="85"/>
  <c r="E92" i="85" s="1"/>
  <c r="H91" i="85"/>
  <c r="F91" i="85" s="1"/>
  <c r="D93" i="85"/>
  <c r="G92" i="85"/>
  <c r="I95" i="62" l="1"/>
  <c r="E96" i="62" s="1"/>
  <c r="H95" i="62"/>
  <c r="F95" i="62" s="1"/>
  <c r="H92" i="85"/>
  <c r="F92" i="85" s="1"/>
  <c r="I92" i="85"/>
  <c r="E93" i="85" s="1"/>
  <c r="D94" i="85"/>
  <c r="G93" i="85"/>
  <c r="I96" i="62" l="1"/>
  <c r="E97" i="62" s="1"/>
  <c r="H96" i="62"/>
  <c r="F96" i="62" s="1"/>
  <c r="H93" i="85"/>
  <c r="F93" i="85" s="1"/>
  <c r="I93" i="85"/>
  <c r="E94" i="85" s="1"/>
  <c r="G94" i="85"/>
  <c r="D95" i="85"/>
  <c r="I97" i="62" l="1"/>
  <c r="E98" i="62" s="1"/>
  <c r="H97" i="62"/>
  <c r="F97" i="62" s="1"/>
  <c r="H94" i="85"/>
  <c r="F94" i="85" s="1"/>
  <c r="I94" i="85"/>
  <c r="D96" i="85"/>
  <c r="G95" i="85"/>
  <c r="E95" i="85"/>
  <c r="I98" i="62" l="1"/>
  <c r="E99" i="62" s="1"/>
  <c r="H98" i="62"/>
  <c r="F98" i="62" s="1"/>
  <c r="I95" i="85"/>
  <c r="H95" i="85"/>
  <c r="F95" i="85" s="1"/>
  <c r="D97" i="85"/>
  <c r="G96" i="85"/>
  <c r="E96" i="85"/>
  <c r="H99" i="62" l="1"/>
  <c r="F99" i="62" s="1"/>
  <c r="I99" i="62"/>
  <c r="E100" i="62" s="1"/>
  <c r="H96" i="85"/>
  <c r="F96" i="85" s="1"/>
  <c r="I96" i="85"/>
  <c r="E97" i="85"/>
  <c r="D98" i="85"/>
  <c r="G97" i="85"/>
  <c r="I100" i="62" l="1"/>
  <c r="E101" i="62" s="1"/>
  <c r="H100" i="62"/>
  <c r="F100" i="62" s="1"/>
  <c r="G98" i="85"/>
  <c r="D99" i="85"/>
  <c r="H97" i="85"/>
  <c r="F97" i="85" s="1"/>
  <c r="I97" i="85"/>
  <c r="E98" i="85" s="1"/>
  <c r="I101" i="62" l="1"/>
  <c r="E102" i="62" s="1"/>
  <c r="H101" i="62"/>
  <c r="F101" i="62" s="1"/>
  <c r="H98" i="85"/>
  <c r="F98" i="85" s="1"/>
  <c r="I98" i="85"/>
  <c r="E99" i="85" s="1"/>
  <c r="D100" i="85"/>
  <c r="G99" i="85"/>
  <c r="I102" i="62" l="1"/>
  <c r="E103" i="62" s="1"/>
  <c r="H102" i="62"/>
  <c r="F102" i="62" s="1"/>
  <c r="I99" i="85"/>
  <c r="E100" i="85" s="1"/>
  <c r="H99" i="85"/>
  <c r="F99" i="85" s="1"/>
  <c r="D101" i="85"/>
  <c r="G100" i="85"/>
  <c r="I103" i="62" l="1"/>
  <c r="E104" i="62" s="1"/>
  <c r="H103" i="62"/>
  <c r="F103" i="62" s="1"/>
  <c r="D102" i="85"/>
  <c r="G101" i="85"/>
  <c r="H100" i="85"/>
  <c r="F100" i="85" s="1"/>
  <c r="I100" i="85"/>
  <c r="E101" i="85" s="1"/>
  <c r="I104" i="62" l="1"/>
  <c r="E105" i="62" s="1"/>
  <c r="H104" i="62"/>
  <c r="F104" i="62" s="1"/>
  <c r="H101" i="85"/>
  <c r="I101" i="85"/>
  <c r="G102" i="85"/>
  <c r="D103" i="85"/>
  <c r="E102" i="85"/>
  <c r="F101" i="85"/>
  <c r="I105" i="62" l="1"/>
  <c r="E106" i="62" s="1"/>
  <c r="H105" i="62"/>
  <c r="F105" i="62" s="1"/>
  <c r="H102" i="85"/>
  <c r="I102" i="85"/>
  <c r="D104" i="85"/>
  <c r="G103" i="85"/>
  <c r="E103" i="85"/>
  <c r="F102" i="85"/>
  <c r="I106" i="62" l="1"/>
  <c r="E107" i="62" s="1"/>
  <c r="H106" i="62"/>
  <c r="F106" i="62" s="1"/>
  <c r="I103" i="85"/>
  <c r="H103" i="85"/>
  <c r="F103" i="85" s="1"/>
  <c r="D105" i="85"/>
  <c r="G104" i="85"/>
  <c r="E104" i="85"/>
  <c r="H107" i="62" l="1"/>
  <c r="F107" i="62" s="1"/>
  <c r="I107" i="62"/>
  <c r="E108" i="62" s="1"/>
  <c r="H104" i="85"/>
  <c r="F104" i="85" s="1"/>
  <c r="I104" i="85"/>
  <c r="E105" i="85" s="1"/>
  <c r="D106" i="85"/>
  <c r="G105" i="85"/>
  <c r="I108" i="62" l="1"/>
  <c r="E109" i="62" s="1"/>
  <c r="H108" i="62"/>
  <c r="F108" i="62" s="1"/>
  <c r="H105" i="85"/>
  <c r="I105" i="85"/>
  <c r="F105" i="85"/>
  <c r="G106" i="85"/>
  <c r="D107" i="85"/>
  <c r="E106" i="85"/>
  <c r="I109" i="62" l="1"/>
  <c r="E110" i="62" s="1"/>
  <c r="H109" i="62"/>
  <c r="F109" i="62" s="1"/>
  <c r="H106" i="85"/>
  <c r="F106" i="85" s="1"/>
  <c r="I106" i="85"/>
  <c r="D108" i="85"/>
  <c r="E107" i="85"/>
  <c r="G107" i="85"/>
  <c r="I110" i="62" l="1"/>
  <c r="E111" i="62" s="1"/>
  <c r="H110" i="62"/>
  <c r="F110" i="62" s="1"/>
  <c r="I107" i="85"/>
  <c r="H107" i="85"/>
  <c r="F107" i="85" s="1"/>
  <c r="D109" i="85"/>
  <c r="G108" i="85"/>
  <c r="E108" i="85"/>
  <c r="I111" i="62" l="1"/>
  <c r="E112" i="62" s="1"/>
  <c r="H111" i="62"/>
  <c r="F111" i="62" s="1"/>
  <c r="H108" i="85"/>
  <c r="F108" i="85" s="1"/>
  <c r="I108" i="85"/>
  <c r="E109" i="85"/>
  <c r="D110" i="85"/>
  <c r="G109" i="85"/>
  <c r="I112" i="62" l="1"/>
  <c r="E113" i="62" s="1"/>
  <c r="H112" i="62"/>
  <c r="F112" i="62" s="1"/>
  <c r="G110" i="85"/>
  <c r="D111" i="85"/>
  <c r="H109" i="85"/>
  <c r="F109" i="85" s="1"/>
  <c r="I109" i="85"/>
  <c r="E110" i="85" s="1"/>
  <c r="I113" i="62" l="1"/>
  <c r="E114" i="62" s="1"/>
  <c r="H113" i="62"/>
  <c r="F113" i="62" s="1"/>
  <c r="H110" i="85"/>
  <c r="F110" i="85" s="1"/>
  <c r="I110" i="85"/>
  <c r="D112" i="85"/>
  <c r="G111" i="85"/>
  <c r="E111" i="85"/>
  <c r="H114" i="62" l="1"/>
  <c r="F114" i="62" s="1"/>
  <c r="I114" i="62"/>
  <c r="E115" i="62" s="1"/>
  <c r="I111" i="85"/>
  <c r="H111" i="85"/>
  <c r="F111" i="85" s="1"/>
  <c r="D113" i="85"/>
  <c r="G112" i="85"/>
  <c r="E112" i="85"/>
  <c r="H115" i="62" l="1"/>
  <c r="F115" i="62" s="1"/>
  <c r="I115" i="62"/>
  <c r="E116" i="62" s="1"/>
  <c r="H112" i="85"/>
  <c r="F112" i="85" s="1"/>
  <c r="I112" i="85"/>
  <c r="E113" i="85"/>
  <c r="D114" i="85"/>
  <c r="G113" i="85"/>
  <c r="I116" i="62" l="1"/>
  <c r="E117" i="62" s="1"/>
  <c r="H116" i="62"/>
  <c r="F116" i="62" s="1"/>
  <c r="G114" i="85"/>
  <c r="D115" i="85"/>
  <c r="H113" i="85"/>
  <c r="F113" i="85" s="1"/>
  <c r="I113" i="85"/>
  <c r="E114" i="85" s="1"/>
  <c r="I117" i="62" l="1"/>
  <c r="E118" i="62" s="1"/>
  <c r="H117" i="62"/>
  <c r="F117" i="62" s="1"/>
  <c r="H114" i="85"/>
  <c r="F114" i="85" s="1"/>
  <c r="I114" i="85"/>
  <c r="D116" i="85"/>
  <c r="G115" i="85"/>
  <c r="E115" i="85"/>
  <c r="H118" i="62" l="1"/>
  <c r="F118" i="62" s="1"/>
  <c r="I118" i="62"/>
  <c r="E119" i="62" s="1"/>
  <c r="I115" i="85"/>
  <c r="E116" i="85" s="1"/>
  <c r="H115" i="85"/>
  <c r="F115" i="85" s="1"/>
  <c r="D117" i="85"/>
  <c r="G116" i="85"/>
  <c r="I119" i="62" l="1"/>
  <c r="E120" i="62" s="1"/>
  <c r="H119" i="62"/>
  <c r="F119" i="62" s="1"/>
  <c r="H116" i="85"/>
  <c r="F116" i="85" s="1"/>
  <c r="I116" i="85"/>
  <c r="E117" i="85"/>
  <c r="D118" i="85"/>
  <c r="G117" i="85"/>
  <c r="I120" i="62" l="1"/>
  <c r="E121" i="62" s="1"/>
  <c r="H120" i="62"/>
  <c r="F120" i="62" s="1"/>
  <c r="G118" i="85"/>
  <c r="D119" i="85"/>
  <c r="H117" i="85"/>
  <c r="F117" i="85" s="1"/>
  <c r="I117" i="85"/>
  <c r="E118" i="85" s="1"/>
  <c r="H121" i="62" l="1"/>
  <c r="F121" i="62" s="1"/>
  <c r="I121" i="62"/>
  <c r="H118" i="85"/>
  <c r="F118" i="85" s="1"/>
  <c r="I118" i="85"/>
  <c r="E119" i="85" s="1"/>
  <c r="D120" i="85"/>
  <c r="G119" i="85"/>
  <c r="E122" i="62" l="1"/>
  <c r="I119" i="85"/>
  <c r="H119" i="85"/>
  <c r="F119" i="85" s="1"/>
  <c r="D121" i="85"/>
  <c r="G120" i="85"/>
  <c r="E120" i="85"/>
  <c r="H122" i="62" l="1"/>
  <c r="F122" i="62" s="1"/>
  <c r="I122" i="62"/>
  <c r="E123" i="62" s="1"/>
  <c r="H120" i="85"/>
  <c r="F120" i="85" s="1"/>
  <c r="I120" i="85"/>
  <c r="E121" i="85"/>
  <c r="D122" i="85"/>
  <c r="G121" i="85"/>
  <c r="H123" i="62" l="1"/>
  <c r="F123" i="62" s="1"/>
  <c r="I123" i="62"/>
  <c r="E124" i="62" s="1"/>
  <c r="H121" i="85"/>
  <c r="F121" i="85" s="1"/>
  <c r="I121" i="85"/>
  <c r="G122" i="85"/>
  <c r="D123" i="85"/>
  <c r="E122" i="85"/>
  <c r="H124" i="62" l="1"/>
  <c r="F124" i="62" s="1"/>
  <c r="I124" i="62"/>
  <c r="E125" i="62" s="1"/>
  <c r="H122" i="85"/>
  <c r="F122" i="85" s="1"/>
  <c r="I122" i="85"/>
  <c r="D124" i="85"/>
  <c r="G123" i="85"/>
  <c r="E123" i="85"/>
  <c r="H125" i="62" l="1"/>
  <c r="F125" i="62" s="1"/>
  <c r="I125" i="62"/>
  <c r="E126" i="62" s="1"/>
  <c r="I123" i="85"/>
  <c r="H123" i="85"/>
  <c r="F123" i="85" s="1"/>
  <c r="D125" i="85"/>
  <c r="E124" i="85"/>
  <c r="G124" i="85"/>
  <c r="H126" i="62" l="1"/>
  <c r="F126" i="62" s="1"/>
  <c r="I126" i="62"/>
  <c r="E127" i="62" s="1"/>
  <c r="E125" i="85"/>
  <c r="D126" i="85"/>
  <c r="G125" i="85"/>
  <c r="H124" i="85"/>
  <c r="F124" i="85" s="1"/>
  <c r="I124" i="85"/>
  <c r="H127" i="62" l="1"/>
  <c r="F127" i="62" s="1"/>
  <c r="I127" i="62"/>
  <c r="E128" i="62" s="1"/>
  <c r="G126" i="85"/>
  <c r="D127" i="85"/>
  <c r="E126" i="85"/>
  <c r="H125" i="85"/>
  <c r="F125" i="85" s="1"/>
  <c r="I125" i="85"/>
  <c r="H128" i="62" l="1"/>
  <c r="F128" i="62" s="1"/>
  <c r="I128" i="62"/>
  <c r="E129" i="62" s="1"/>
  <c r="I126" i="85"/>
  <c r="H126" i="85"/>
  <c r="D128" i="85"/>
  <c r="G127" i="85"/>
  <c r="E127" i="85"/>
  <c r="F126" i="85"/>
  <c r="I129" i="62" l="1"/>
  <c r="E130" i="62" s="1"/>
  <c r="H129" i="62"/>
  <c r="F129" i="62" s="1"/>
  <c r="I127" i="85"/>
  <c r="H127" i="85"/>
  <c r="F127" i="85" s="1"/>
  <c r="E128" i="85"/>
  <c r="D129" i="85"/>
  <c r="G128" i="85"/>
  <c r="H130" i="62" l="1"/>
  <c r="F130" i="62" s="1"/>
  <c r="I130" i="62"/>
  <c r="E131" i="62" s="1"/>
  <c r="G129" i="85"/>
  <c r="D130" i="85"/>
  <c r="E129" i="85"/>
  <c r="H128" i="85"/>
  <c r="F128" i="85" s="1"/>
  <c r="I128" i="85"/>
  <c r="I131" i="62" l="1"/>
  <c r="E132" i="62" s="1"/>
  <c r="H131" i="62"/>
  <c r="F131" i="62" s="1"/>
  <c r="I129" i="85"/>
  <c r="H129" i="85"/>
  <c r="D131" i="85"/>
  <c r="G130" i="85"/>
  <c r="E130" i="85"/>
  <c r="F129" i="85"/>
  <c r="I132" i="62" l="1"/>
  <c r="E133" i="62" s="1"/>
  <c r="H132" i="62"/>
  <c r="F132" i="62" s="1"/>
  <c r="I130" i="85"/>
  <c r="H130" i="85"/>
  <c r="F130" i="85"/>
  <c r="E131" i="85"/>
  <c r="D132" i="85"/>
  <c r="G131" i="85"/>
  <c r="H133" i="62" l="1"/>
  <c r="F133" i="62" s="1"/>
  <c r="I133" i="62"/>
  <c r="E134" i="62" s="1"/>
  <c r="E132" i="85"/>
  <c r="D133" i="85"/>
  <c r="G132" i="85"/>
  <c r="I131" i="85"/>
  <c r="H131" i="85"/>
  <c r="F131" i="85" s="1"/>
  <c r="H134" i="62" l="1"/>
  <c r="F134" i="62" s="1"/>
  <c r="I134" i="62"/>
  <c r="E135" i="62" s="1"/>
  <c r="G133" i="85"/>
  <c r="E133" i="85"/>
  <c r="D134" i="85"/>
  <c r="I132" i="85"/>
  <c r="H132" i="85"/>
  <c r="F132" i="85" s="1"/>
  <c r="I135" i="62" l="1"/>
  <c r="E136" i="62" s="1"/>
  <c r="H135" i="62"/>
  <c r="F135" i="62" s="1"/>
  <c r="H133" i="85"/>
  <c r="F133" i="85" s="1"/>
  <c r="I133" i="85"/>
  <c r="D135" i="85"/>
  <c r="G134" i="85"/>
  <c r="E134" i="85"/>
  <c r="H136" i="62" l="1"/>
  <c r="F136" i="62" s="1"/>
  <c r="I136" i="62"/>
  <c r="E137" i="62" s="1"/>
  <c r="I134" i="85"/>
  <c r="H134" i="85"/>
  <c r="F134" i="85"/>
  <c r="G135" i="85"/>
  <c r="E135" i="85"/>
  <c r="D136" i="85"/>
  <c r="I137" i="62" l="1"/>
  <c r="E138" i="62" s="1"/>
  <c r="H137" i="62"/>
  <c r="F137" i="62" s="1"/>
  <c r="I135" i="85"/>
  <c r="H135" i="85"/>
  <c r="E136" i="85"/>
  <c r="D137" i="85"/>
  <c r="G136" i="85"/>
  <c r="F135" i="85"/>
  <c r="I138" i="62" l="1"/>
  <c r="E139" i="62" s="1"/>
  <c r="H138" i="62"/>
  <c r="F138" i="62" s="1"/>
  <c r="H136" i="85"/>
  <c r="F136" i="85" s="1"/>
  <c r="I136" i="85"/>
  <c r="G137" i="85"/>
  <c r="E137" i="85"/>
  <c r="D138" i="85"/>
  <c r="H139" i="62" l="1"/>
  <c r="F139" i="62" s="1"/>
  <c r="I139" i="62"/>
  <c r="E140" i="62" s="1"/>
  <c r="D139" i="85"/>
  <c r="G138" i="85"/>
  <c r="E138" i="85"/>
  <c r="H137" i="85"/>
  <c r="F137" i="85" s="1"/>
  <c r="I137" i="85"/>
  <c r="H140" i="62" l="1"/>
  <c r="F140" i="62" s="1"/>
  <c r="I140" i="62"/>
  <c r="E141" i="62" s="1"/>
  <c r="I138" i="85"/>
  <c r="H138" i="85"/>
  <c r="F138" i="85" s="1"/>
  <c r="G139" i="85"/>
  <c r="D140" i="85"/>
  <c r="E139" i="85"/>
  <c r="I141" i="62" l="1"/>
  <c r="E142" i="62" s="1"/>
  <c r="H141" i="62"/>
  <c r="F141" i="62" s="1"/>
  <c r="I139" i="85"/>
  <c r="H139" i="85"/>
  <c r="E140" i="85"/>
  <c r="G140" i="85"/>
  <c r="D141" i="85"/>
  <c r="F139" i="85"/>
  <c r="H142" i="62" l="1"/>
  <c r="F142" i="62" s="1"/>
  <c r="I142" i="62"/>
  <c r="E143" i="62" s="1"/>
  <c r="G141" i="85"/>
  <c r="E141" i="85"/>
  <c r="D142" i="85"/>
  <c r="I140" i="85"/>
  <c r="H140" i="85"/>
  <c r="F140" i="85"/>
  <c r="I143" i="62" l="1"/>
  <c r="E144" i="62" s="1"/>
  <c r="H143" i="62"/>
  <c r="F143" i="62" s="1"/>
  <c r="D143" i="85"/>
  <c r="G142" i="85"/>
  <c r="E142" i="85"/>
  <c r="H141" i="85"/>
  <c r="I141" i="85"/>
  <c r="F141" i="85"/>
  <c r="I144" i="62" l="1"/>
  <c r="E145" i="62" s="1"/>
  <c r="H144" i="62"/>
  <c r="F144" i="62" s="1"/>
  <c r="I142" i="85"/>
  <c r="H142" i="85"/>
  <c r="F142" i="85" s="1"/>
  <c r="G143" i="85"/>
  <c r="E143" i="85"/>
  <c r="D144" i="85"/>
  <c r="I145" i="62" l="1"/>
  <c r="E146" i="62" s="1"/>
  <c r="H145" i="62"/>
  <c r="F145" i="62" s="1"/>
  <c r="I143" i="85"/>
  <c r="H143" i="85"/>
  <c r="E144" i="85"/>
  <c r="D145" i="85"/>
  <c r="G144" i="85"/>
  <c r="F143" i="85"/>
  <c r="H146" i="62" l="1"/>
  <c r="F146" i="62" s="1"/>
  <c r="I146" i="62"/>
  <c r="E147" i="62" s="1"/>
  <c r="G145" i="85"/>
  <c r="E145" i="85"/>
  <c r="D146" i="85"/>
  <c r="I144" i="85"/>
  <c r="H144" i="85"/>
  <c r="F144" i="85" s="1"/>
  <c r="H147" i="62" l="1"/>
  <c r="F147" i="62" s="1"/>
  <c r="I147" i="62"/>
  <c r="E148" i="62" s="1"/>
  <c r="H145" i="85"/>
  <c r="F145" i="85" s="1"/>
  <c r="I145" i="85"/>
  <c r="D147" i="85"/>
  <c r="G146" i="85"/>
  <c r="E146" i="85"/>
  <c r="H148" i="62" l="1"/>
  <c r="F148" i="62" s="1"/>
  <c r="I148" i="62"/>
  <c r="E149" i="62" s="1"/>
  <c r="I146" i="85"/>
  <c r="H146" i="85"/>
  <c r="F146" i="85" s="1"/>
  <c r="G147" i="85"/>
  <c r="D148" i="85"/>
  <c r="E147" i="85"/>
  <c r="I149" i="62" l="1"/>
  <c r="E150" i="62" s="1"/>
  <c r="H149" i="62"/>
  <c r="F149" i="62" s="1"/>
  <c r="E148" i="85"/>
  <c r="G148" i="85"/>
  <c r="D149" i="85"/>
  <c r="I147" i="85"/>
  <c r="H147" i="85"/>
  <c r="F147" i="85" s="1"/>
  <c r="H150" i="62" l="1"/>
  <c r="F150" i="62" s="1"/>
  <c r="I150" i="62"/>
  <c r="E151" i="62" s="1"/>
  <c r="G149" i="85"/>
  <c r="E149" i="85"/>
  <c r="D150" i="85"/>
  <c r="I148" i="85"/>
  <c r="H148" i="85"/>
  <c r="F148" i="85" s="1"/>
  <c r="I151" i="62" l="1"/>
  <c r="E152" i="62" s="1"/>
  <c r="H151" i="62"/>
  <c r="F151" i="62" s="1"/>
  <c r="H149" i="85"/>
  <c r="I149" i="85"/>
  <c r="D151" i="85"/>
  <c r="G150" i="85"/>
  <c r="E150" i="85"/>
  <c r="F149" i="85"/>
  <c r="H152" i="62" l="1"/>
  <c r="F152" i="62" s="1"/>
  <c r="I152" i="62"/>
  <c r="E153" i="62" s="1"/>
  <c r="I150" i="85"/>
  <c r="H150" i="85"/>
  <c r="G151" i="85"/>
  <c r="E151" i="85"/>
  <c r="D152" i="85"/>
  <c r="F150" i="85"/>
  <c r="I153" i="62" l="1"/>
  <c r="E154" i="62" s="1"/>
  <c r="H153" i="62"/>
  <c r="F153" i="62" s="1"/>
  <c r="E152" i="85"/>
  <c r="D153" i="85"/>
  <c r="G152" i="85"/>
  <c r="I151" i="85"/>
  <c r="H151" i="85"/>
  <c r="F151" i="85" s="1"/>
  <c r="I154" i="62" l="1"/>
  <c r="E155" i="62" s="1"/>
  <c r="H154" i="62"/>
  <c r="F154" i="62" s="1"/>
  <c r="G153" i="85"/>
  <c r="E153" i="85"/>
  <c r="D154" i="85"/>
  <c r="I152" i="85"/>
  <c r="H152" i="85"/>
  <c r="F152" i="85" s="1"/>
  <c r="I155" i="62" l="1"/>
  <c r="E156" i="62" s="1"/>
  <c r="H155" i="62"/>
  <c r="F155" i="62" s="1"/>
  <c r="D155" i="85"/>
  <c r="G154" i="85"/>
  <c r="E154" i="85"/>
  <c r="H153" i="85"/>
  <c r="F153" i="85" s="1"/>
  <c r="I153" i="85"/>
  <c r="H156" i="62" l="1"/>
  <c r="F156" i="62" s="1"/>
  <c r="I156" i="62"/>
  <c r="E157" i="62" s="1"/>
  <c r="I154" i="85"/>
  <c r="H154" i="85"/>
  <c r="F154" i="85"/>
  <c r="G155" i="85"/>
  <c r="D156" i="85"/>
  <c r="E155" i="85"/>
  <c r="H157" i="62" l="1"/>
  <c r="F157" i="62" s="1"/>
  <c r="I157" i="62"/>
  <c r="E158" i="62" s="1"/>
  <c r="I155" i="85"/>
  <c r="H155" i="85"/>
  <c r="F155" i="85" s="1"/>
  <c r="E156" i="85"/>
  <c r="G156" i="85"/>
  <c r="D157" i="85"/>
  <c r="H158" i="62" l="1"/>
  <c r="F158" i="62" s="1"/>
  <c r="I158" i="62"/>
  <c r="E159" i="62" s="1"/>
  <c r="G157" i="85"/>
  <c r="E157" i="85"/>
  <c r="D158" i="85"/>
  <c r="I156" i="85"/>
  <c r="H156" i="85"/>
  <c r="F156" i="85" s="1"/>
  <c r="I159" i="62" l="1"/>
  <c r="E160" i="62" s="1"/>
  <c r="H159" i="62"/>
  <c r="F159" i="62" s="1"/>
  <c r="D159" i="85"/>
  <c r="G158" i="85"/>
  <c r="E158" i="85"/>
  <c r="H157" i="85"/>
  <c r="I157" i="85"/>
  <c r="F157" i="85"/>
  <c r="I160" i="62" l="1"/>
  <c r="E161" i="62" s="1"/>
  <c r="H160" i="62"/>
  <c r="F160" i="62" s="1"/>
  <c r="I158" i="85"/>
  <c r="H158" i="85"/>
  <c r="F158" i="85" s="1"/>
  <c r="G159" i="85"/>
  <c r="E159" i="85"/>
  <c r="D160" i="85"/>
  <c r="I161" i="62" l="1"/>
  <c r="E162" i="62" s="1"/>
  <c r="H161" i="62"/>
  <c r="F161" i="62" s="1"/>
  <c r="E160" i="85"/>
  <c r="D161" i="85"/>
  <c r="G160" i="85"/>
  <c r="I159" i="85"/>
  <c r="H159" i="85"/>
  <c r="F159" i="85" s="1"/>
  <c r="H162" i="62" l="1"/>
  <c r="F162" i="62" s="1"/>
  <c r="I162" i="62"/>
  <c r="E163" i="62" s="1"/>
  <c r="I160" i="85"/>
  <c r="H160" i="85"/>
  <c r="F160" i="85" s="1"/>
  <c r="G161" i="85"/>
  <c r="E161" i="85"/>
  <c r="D162" i="85"/>
  <c r="H163" i="62" l="1"/>
  <c r="F163" i="62" s="1"/>
  <c r="I163" i="62"/>
  <c r="E164" i="62" s="1"/>
  <c r="D163" i="85"/>
  <c r="G162" i="85"/>
  <c r="E162" i="85"/>
  <c r="H161" i="85"/>
  <c r="F161" i="85" s="1"/>
  <c r="I161" i="85"/>
  <c r="H164" i="62" l="1"/>
  <c r="F164" i="62" s="1"/>
  <c r="I164" i="62"/>
  <c r="E165" i="62" s="1"/>
  <c r="I162" i="85"/>
  <c r="H162" i="85"/>
  <c r="F162" i="85" s="1"/>
  <c r="G163" i="85"/>
  <c r="D164" i="85"/>
  <c r="E163" i="85"/>
  <c r="H165" i="62" l="1"/>
  <c r="F165" i="62" s="1"/>
  <c r="I165" i="62"/>
  <c r="E166" i="62" s="1"/>
  <c r="I163" i="85"/>
  <c r="H163" i="85"/>
  <c r="E164" i="85"/>
  <c r="G164" i="85"/>
  <c r="D165" i="85"/>
  <c r="F163" i="85"/>
  <c r="H166" i="62" l="1"/>
  <c r="F166" i="62" s="1"/>
  <c r="I166" i="62"/>
  <c r="E167" i="62" s="1"/>
  <c r="G165" i="85"/>
  <c r="E165" i="85"/>
  <c r="D166" i="85"/>
  <c r="I164" i="85"/>
  <c r="H164" i="85"/>
  <c r="F164" i="85" s="1"/>
  <c r="I167" i="62" l="1"/>
  <c r="E168" i="62" s="1"/>
  <c r="H167" i="62"/>
  <c r="F167" i="62" s="1"/>
  <c r="D167" i="85"/>
  <c r="G166" i="85"/>
  <c r="E166" i="85"/>
  <c r="H165" i="85"/>
  <c r="F165" i="85" s="1"/>
  <c r="I165" i="85"/>
  <c r="I168" i="62" l="1"/>
  <c r="E169" i="62" s="1"/>
  <c r="H168" i="62"/>
  <c r="F168" i="62" s="1"/>
  <c r="I166" i="85"/>
  <c r="H166" i="85"/>
  <c r="F166" i="85" s="1"/>
  <c r="G167" i="85"/>
  <c r="E167" i="85"/>
  <c r="D168" i="85"/>
  <c r="I169" i="62" l="1"/>
  <c r="E170" i="62" s="1"/>
  <c r="H169" i="62"/>
  <c r="F169" i="62" s="1"/>
  <c r="E168" i="85"/>
  <c r="D169" i="85"/>
  <c r="G168" i="85"/>
  <c r="I167" i="85"/>
  <c r="H167" i="85"/>
  <c r="F167" i="85" s="1"/>
  <c r="I170" i="62" l="1"/>
  <c r="E171" i="62" s="1"/>
  <c r="H170" i="62"/>
  <c r="F170" i="62" s="1"/>
  <c r="G169" i="85"/>
  <c r="E169" i="85"/>
  <c r="D170" i="85"/>
  <c r="I168" i="85"/>
  <c r="H168" i="85"/>
  <c r="F168" i="85" s="1"/>
  <c r="H171" i="62" l="1"/>
  <c r="F171" i="62" s="1"/>
  <c r="I171" i="62"/>
  <c r="E172" i="62" s="1"/>
  <c r="D171" i="85"/>
  <c r="G170" i="85"/>
  <c r="E170" i="85"/>
  <c r="H169" i="85"/>
  <c r="F169" i="85" s="1"/>
  <c r="I169" i="85"/>
  <c r="H172" i="62" l="1"/>
  <c r="F172" i="62" s="1"/>
  <c r="I172" i="62"/>
  <c r="E173" i="62" s="1"/>
  <c r="I170" i="85"/>
  <c r="H170" i="85"/>
  <c r="F170" i="85" s="1"/>
  <c r="G171" i="85"/>
  <c r="D172" i="85"/>
  <c r="E171" i="85"/>
  <c r="H173" i="62" l="1"/>
  <c r="F173" i="62" s="1"/>
  <c r="I173" i="62"/>
  <c r="E174" i="62" s="1"/>
  <c r="I171" i="85"/>
  <c r="H171" i="85"/>
  <c r="F171" i="85" s="1"/>
  <c r="E172" i="85"/>
  <c r="G172" i="85"/>
  <c r="D173" i="85"/>
  <c r="H174" i="62" l="1"/>
  <c r="F174" i="62" s="1"/>
  <c r="I174" i="62"/>
  <c r="E175" i="62" s="1"/>
  <c r="G173" i="85"/>
  <c r="E173" i="85"/>
  <c r="D174" i="85"/>
  <c r="I172" i="85"/>
  <c r="H172" i="85"/>
  <c r="F172" i="85" s="1"/>
  <c r="H175" i="62" l="1"/>
  <c r="F175" i="62" s="1"/>
  <c r="I175" i="62"/>
  <c r="E176" i="62" s="1"/>
  <c r="D175" i="85"/>
  <c r="G174" i="85"/>
  <c r="E174" i="85"/>
  <c r="H173" i="85"/>
  <c r="I173" i="85"/>
  <c r="F173" i="85"/>
  <c r="I176" i="62" l="1"/>
  <c r="E177" i="62" s="1"/>
  <c r="H176" i="62"/>
  <c r="F176" i="62" s="1"/>
  <c r="I174" i="85"/>
  <c r="H174" i="85"/>
  <c r="F174" i="85" s="1"/>
  <c r="G175" i="85"/>
  <c r="E175" i="85"/>
  <c r="D176" i="85"/>
  <c r="I177" i="62" l="1"/>
  <c r="E178" i="62" s="1"/>
  <c r="H177" i="62"/>
  <c r="F177" i="62" s="1"/>
  <c r="E176" i="85"/>
  <c r="D177" i="85"/>
  <c r="G176" i="85"/>
  <c r="I175" i="85"/>
  <c r="H175" i="85"/>
  <c r="F175" i="85"/>
  <c r="I178" i="62" l="1"/>
  <c r="E179" i="62" s="1"/>
  <c r="H178" i="62"/>
  <c r="F178" i="62" s="1"/>
  <c r="G177" i="85"/>
  <c r="E177" i="85"/>
  <c r="D178" i="85"/>
  <c r="I176" i="85"/>
  <c r="H176" i="85"/>
  <c r="F176" i="85" s="1"/>
  <c r="H179" i="62" l="1"/>
  <c r="F179" i="62" s="1"/>
  <c r="I179" i="62"/>
  <c r="E180" i="62" s="1"/>
  <c r="H177" i="85"/>
  <c r="F177" i="85" s="1"/>
  <c r="I177" i="85"/>
  <c r="D179" i="85"/>
  <c r="G178" i="85"/>
  <c r="E178" i="85"/>
  <c r="H180" i="62" l="1"/>
  <c r="F180" i="62" s="1"/>
  <c r="I180" i="62"/>
  <c r="E181" i="62" s="1"/>
  <c r="I178" i="85"/>
  <c r="H178" i="85"/>
  <c r="F178" i="85"/>
  <c r="G179" i="85"/>
  <c r="D180" i="85"/>
  <c r="E179" i="85"/>
  <c r="H181" i="62" l="1"/>
  <c r="F181" i="62" s="1"/>
  <c r="I181" i="62"/>
  <c r="E182" i="62" s="1"/>
  <c r="I179" i="85"/>
  <c r="H179" i="85"/>
  <c r="F179" i="85" s="1"/>
  <c r="E180" i="85"/>
  <c r="G180" i="85"/>
  <c r="D181" i="85"/>
  <c r="H182" i="62" l="1"/>
  <c r="F182" i="62" s="1"/>
  <c r="I182" i="62"/>
  <c r="E183" i="62" s="1"/>
  <c r="G181" i="85"/>
  <c r="E181" i="85"/>
  <c r="D182" i="85"/>
  <c r="I180" i="85"/>
  <c r="H180" i="85"/>
  <c r="F180" i="85" s="1"/>
  <c r="I183" i="62" l="1"/>
  <c r="E184" i="62" s="1"/>
  <c r="H183" i="62"/>
  <c r="F183" i="62" s="1"/>
  <c r="H181" i="85"/>
  <c r="F181" i="85" s="1"/>
  <c r="I181" i="85"/>
  <c r="D183" i="85"/>
  <c r="G182" i="85"/>
  <c r="E182" i="85"/>
  <c r="H184" i="62" l="1"/>
  <c r="F184" i="62" s="1"/>
  <c r="I184" i="62"/>
  <c r="E185" i="62" s="1"/>
  <c r="I182" i="85"/>
  <c r="H182" i="85"/>
  <c r="G183" i="85"/>
  <c r="E183" i="85"/>
  <c r="D184" i="85"/>
  <c r="F182" i="85"/>
  <c r="H185" i="62" l="1"/>
  <c r="F185" i="62" s="1"/>
  <c r="I185" i="62"/>
  <c r="E186" i="62" s="1"/>
  <c r="E184" i="85"/>
  <c r="D185" i="85"/>
  <c r="G184" i="85"/>
  <c r="I183" i="85"/>
  <c r="H183" i="85"/>
  <c r="F183" i="85" s="1"/>
  <c r="I186" i="62" l="1"/>
  <c r="E187" i="62" s="1"/>
  <c r="H186" i="62"/>
  <c r="F186" i="62" s="1"/>
  <c r="G185" i="85"/>
  <c r="E185" i="85"/>
  <c r="D186" i="85"/>
  <c r="I184" i="85"/>
  <c r="H184" i="85"/>
  <c r="F184" i="85" s="1"/>
  <c r="I187" i="62" l="1"/>
  <c r="E188" i="62" s="1"/>
  <c r="H187" i="62"/>
  <c r="F187" i="62" s="1"/>
  <c r="D187" i="85"/>
  <c r="G186" i="85"/>
  <c r="E186" i="85"/>
  <c r="H185" i="85"/>
  <c r="F185" i="85" s="1"/>
  <c r="I185" i="85"/>
  <c r="H188" i="62" l="1"/>
  <c r="F188" i="62" s="1"/>
  <c r="I188" i="62"/>
  <c r="E189" i="62" s="1"/>
  <c r="I186" i="85"/>
  <c r="H186" i="85"/>
  <c r="F186" i="85" s="1"/>
  <c r="G187" i="85"/>
  <c r="D188" i="85"/>
  <c r="E187" i="85"/>
  <c r="H189" i="62" l="1"/>
  <c r="F189" i="62" s="1"/>
  <c r="I189" i="62"/>
  <c r="E190" i="62" s="1"/>
  <c r="I187" i="85"/>
  <c r="H187" i="85"/>
  <c r="F187" i="85" s="1"/>
  <c r="E188" i="85"/>
  <c r="G188" i="85"/>
  <c r="D189" i="85"/>
  <c r="H190" i="62" l="1"/>
  <c r="F190" i="62" s="1"/>
  <c r="I190" i="62"/>
  <c r="E191" i="62" s="1"/>
  <c r="G189" i="85"/>
  <c r="D190" i="85"/>
  <c r="E189" i="85"/>
  <c r="I188" i="85"/>
  <c r="H188" i="85"/>
  <c r="F188" i="85" s="1"/>
  <c r="I191" i="62" l="1"/>
  <c r="E192" i="62" s="1"/>
  <c r="H191" i="62"/>
  <c r="F191" i="62" s="1"/>
  <c r="H189" i="85"/>
  <c r="I189" i="85"/>
  <c r="D191" i="85"/>
  <c r="G190" i="85"/>
  <c r="E190" i="85"/>
  <c r="F189" i="85"/>
  <c r="H192" i="62" l="1"/>
  <c r="F192" i="62" s="1"/>
  <c r="I192" i="62"/>
  <c r="E193" i="62" s="1"/>
  <c r="I190" i="85"/>
  <c r="H190" i="85"/>
  <c r="F190" i="85" s="1"/>
  <c r="G191" i="85"/>
  <c r="E191" i="85"/>
  <c r="D192" i="85"/>
  <c r="I193" i="62" l="1"/>
  <c r="E194" i="62" s="1"/>
  <c r="H193" i="62"/>
  <c r="F193" i="62" s="1"/>
  <c r="E192" i="85"/>
  <c r="G192" i="85"/>
  <c r="D193" i="85"/>
  <c r="I191" i="85"/>
  <c r="H191" i="85"/>
  <c r="F191" i="85"/>
  <c r="I194" i="62" l="1"/>
  <c r="E195" i="62" s="1"/>
  <c r="H194" i="62"/>
  <c r="F194" i="62" s="1"/>
  <c r="G193" i="85"/>
  <c r="E193" i="85"/>
  <c r="D194" i="85"/>
  <c r="I192" i="85"/>
  <c r="H192" i="85"/>
  <c r="F192" i="85" s="1"/>
  <c r="H195" i="62" l="1"/>
  <c r="F195" i="62" s="1"/>
  <c r="I195" i="62"/>
  <c r="E196" i="62" s="1"/>
  <c r="H193" i="85"/>
  <c r="I193" i="85"/>
  <c r="D195" i="85"/>
  <c r="G194" i="85"/>
  <c r="E194" i="85"/>
  <c r="F193" i="85"/>
  <c r="H196" i="62" l="1"/>
  <c r="F196" i="62" s="1"/>
  <c r="I196" i="62"/>
  <c r="E197" i="62" s="1"/>
  <c r="I194" i="85"/>
  <c r="H194" i="85"/>
  <c r="F194" i="85" s="1"/>
  <c r="G195" i="85"/>
  <c r="E195" i="85"/>
  <c r="D196" i="85"/>
  <c r="H197" i="62" l="1"/>
  <c r="F197" i="62" s="1"/>
  <c r="I197" i="62"/>
  <c r="E198" i="62" s="1"/>
  <c r="I195" i="85"/>
  <c r="H195" i="85"/>
  <c r="E196" i="85"/>
  <c r="D197" i="85"/>
  <c r="G196" i="85"/>
  <c r="F195" i="85"/>
  <c r="H198" i="62" l="1"/>
  <c r="F198" i="62" s="1"/>
  <c r="I198" i="62"/>
  <c r="E199" i="62" s="1"/>
  <c r="I196" i="85"/>
  <c r="H196" i="85"/>
  <c r="F196" i="85" s="1"/>
  <c r="G197" i="85"/>
  <c r="E197" i="85"/>
  <c r="D198" i="85"/>
  <c r="H199" i="62" l="1"/>
  <c r="F199" i="62" s="1"/>
  <c r="I199" i="62"/>
  <c r="E200" i="62" s="1"/>
  <c r="D199" i="85"/>
  <c r="G198" i="85"/>
  <c r="E198" i="85"/>
  <c r="H197" i="85"/>
  <c r="F197" i="85" s="1"/>
  <c r="I197" i="85"/>
  <c r="I200" i="62" l="1"/>
  <c r="E201" i="62" s="1"/>
  <c r="H200" i="62"/>
  <c r="F200" i="62" s="1"/>
  <c r="I198" i="85"/>
  <c r="H198" i="85"/>
  <c r="F198" i="85" s="1"/>
  <c r="E199" i="85"/>
  <c r="G199" i="85"/>
  <c r="D200" i="85"/>
  <c r="I201" i="62" l="1"/>
  <c r="E202" i="62" s="1"/>
  <c r="H201" i="62"/>
  <c r="F201" i="62" s="1"/>
  <c r="E200" i="85"/>
  <c r="G200" i="85"/>
  <c r="D201" i="85"/>
  <c r="I199" i="85"/>
  <c r="H199" i="85"/>
  <c r="F199" i="85" s="1"/>
  <c r="I202" i="62" l="1"/>
  <c r="E203" i="62" s="1"/>
  <c r="H202" i="62"/>
  <c r="F202" i="62" s="1"/>
  <c r="G201" i="85"/>
  <c r="E201" i="85"/>
  <c r="D202" i="85"/>
  <c r="I200" i="85"/>
  <c r="H200" i="85"/>
  <c r="F200" i="85"/>
  <c r="I203" i="62" l="1"/>
  <c r="E204" i="62" s="1"/>
  <c r="H203" i="62"/>
  <c r="F203" i="62" s="1"/>
  <c r="H201" i="85"/>
  <c r="I201" i="85"/>
  <c r="D203" i="85"/>
  <c r="G202" i="85"/>
  <c r="E202" i="85"/>
  <c r="F201" i="85"/>
  <c r="H204" i="62" l="1"/>
  <c r="F204" i="62" s="1"/>
  <c r="I204" i="62"/>
  <c r="E205" i="62" s="1"/>
  <c r="D204" i="85"/>
  <c r="G203" i="85"/>
  <c r="E203" i="85"/>
  <c r="I202" i="85"/>
  <c r="H202" i="85"/>
  <c r="F202" i="85" s="1"/>
  <c r="H205" i="62" l="1"/>
  <c r="F205" i="62" s="1"/>
  <c r="I205" i="62"/>
  <c r="E206" i="62" s="1"/>
  <c r="I203" i="85"/>
  <c r="H203" i="85"/>
  <c r="F203" i="85" s="1"/>
  <c r="E204" i="85"/>
  <c r="G204" i="85"/>
  <c r="D205" i="85"/>
  <c r="H206" i="62" l="1"/>
  <c r="F206" i="62" s="1"/>
  <c r="I206" i="62"/>
  <c r="E207" i="62" s="1"/>
  <c r="G205" i="85"/>
  <c r="D206" i="85"/>
  <c r="E205" i="85"/>
  <c r="I204" i="85"/>
  <c r="H204" i="85"/>
  <c r="F204" i="85" s="1"/>
  <c r="I207" i="62" l="1"/>
  <c r="E208" i="62" s="1"/>
  <c r="H207" i="62"/>
  <c r="F207" i="62" s="1"/>
  <c r="H205" i="85"/>
  <c r="I205" i="85"/>
  <c r="D207" i="85"/>
  <c r="E206" i="85"/>
  <c r="G206" i="85"/>
  <c r="F205" i="85"/>
  <c r="H208" i="62" l="1"/>
  <c r="F208" i="62" s="1"/>
  <c r="I208" i="62"/>
  <c r="E209" i="62" s="1"/>
  <c r="I206" i="85"/>
  <c r="H206" i="85"/>
  <c r="F206" i="85" s="1"/>
  <c r="D208" i="85"/>
  <c r="G207" i="85"/>
  <c r="E207" i="85"/>
  <c r="H209" i="62" l="1"/>
  <c r="F209" i="62" s="1"/>
  <c r="I209" i="62"/>
  <c r="E210" i="62" s="1"/>
  <c r="I207" i="85"/>
  <c r="H207" i="85"/>
  <c r="F207" i="85"/>
  <c r="E208" i="85"/>
  <c r="G208" i="85"/>
  <c r="D209" i="85"/>
  <c r="H210" i="62" l="1"/>
  <c r="F210" i="62" s="1"/>
  <c r="I210" i="62"/>
  <c r="E211" i="62" s="1"/>
  <c r="G209" i="85"/>
  <c r="E209" i="85"/>
  <c r="D210" i="85"/>
  <c r="H208" i="85"/>
  <c r="F208" i="85" s="1"/>
  <c r="I208" i="85"/>
  <c r="I211" i="62" l="1"/>
  <c r="E212" i="62" s="1"/>
  <c r="H211" i="62"/>
  <c r="F211" i="62" s="1"/>
  <c r="D211" i="85"/>
  <c r="G210" i="85"/>
  <c r="E210" i="85"/>
  <c r="H209" i="85"/>
  <c r="I209" i="85"/>
  <c r="F209" i="85"/>
  <c r="H212" i="62" l="1"/>
  <c r="F212" i="62" s="1"/>
  <c r="I212" i="62"/>
  <c r="E213" i="62" s="1"/>
  <c r="I210" i="85"/>
  <c r="H210" i="85"/>
  <c r="F210" i="85"/>
  <c r="D212" i="85"/>
  <c r="G211" i="85"/>
  <c r="E211" i="85"/>
  <c r="H213" i="62" l="1"/>
  <c r="F213" i="62" s="1"/>
  <c r="I213" i="62"/>
  <c r="E214" i="62" s="1"/>
  <c r="H211" i="85"/>
  <c r="F211" i="85" s="1"/>
  <c r="I211" i="85"/>
  <c r="E212" i="85"/>
  <c r="G212" i="85"/>
  <c r="D213" i="85"/>
  <c r="H214" i="62" l="1"/>
  <c r="F214" i="62" s="1"/>
  <c r="I214" i="62"/>
  <c r="E215" i="62" s="1"/>
  <c r="G213" i="85"/>
  <c r="D214" i="85"/>
  <c r="E213" i="85"/>
  <c r="I212" i="85"/>
  <c r="H212" i="85"/>
  <c r="F212" i="85"/>
  <c r="I215" i="62" l="1"/>
  <c r="E216" i="62" s="1"/>
  <c r="H215" i="62"/>
  <c r="F215" i="62" s="1"/>
  <c r="H213" i="85"/>
  <c r="F213" i="85" s="1"/>
  <c r="I213" i="85"/>
  <c r="D215" i="85"/>
  <c r="G214" i="85"/>
  <c r="E214" i="85"/>
  <c r="H216" i="62" l="1"/>
  <c r="F216" i="62" s="1"/>
  <c r="I216" i="62"/>
  <c r="E217" i="62" s="1"/>
  <c r="I214" i="85"/>
  <c r="H214" i="85"/>
  <c r="F214" i="85" s="1"/>
  <c r="D216" i="85"/>
  <c r="E215" i="85"/>
  <c r="G215" i="85"/>
  <c r="I217" i="62" l="1"/>
  <c r="E218" i="62" s="1"/>
  <c r="H217" i="62"/>
  <c r="F217" i="62" s="1"/>
  <c r="E216" i="85"/>
  <c r="D217" i="85"/>
  <c r="G216" i="85"/>
  <c r="H215" i="85"/>
  <c r="F215" i="85" s="1"/>
  <c r="I215" i="85"/>
  <c r="H218" i="62" l="1"/>
  <c r="F218" i="62" s="1"/>
  <c r="I218" i="62"/>
  <c r="E219" i="62" s="1"/>
  <c r="G217" i="85"/>
  <c r="E217" i="85"/>
  <c r="D218" i="85"/>
  <c r="I216" i="85"/>
  <c r="H216" i="85"/>
  <c r="F216" i="85" s="1"/>
  <c r="I219" i="62" l="1"/>
  <c r="E220" i="62" s="1"/>
  <c r="H219" i="62"/>
  <c r="F219" i="62" s="1"/>
  <c r="D219" i="85"/>
  <c r="E218" i="85"/>
  <c r="G218" i="85"/>
  <c r="H217" i="85"/>
  <c r="I217" i="85"/>
  <c r="F217" i="85"/>
  <c r="H220" i="62" l="1"/>
  <c r="F220" i="62" s="1"/>
  <c r="I220" i="62"/>
  <c r="E221" i="62" s="1"/>
  <c r="I218" i="85"/>
  <c r="H218" i="85"/>
  <c r="F218" i="85" s="1"/>
  <c r="D220" i="85"/>
  <c r="G219" i="85"/>
  <c r="E219" i="85"/>
  <c r="H221" i="62" l="1"/>
  <c r="F221" i="62" s="1"/>
  <c r="I221" i="62"/>
  <c r="E222" i="62" s="1"/>
  <c r="H219" i="85"/>
  <c r="F219" i="85" s="1"/>
  <c r="I219" i="85"/>
  <c r="E220" i="85"/>
  <c r="D221" i="85"/>
  <c r="G220" i="85"/>
  <c r="H222" i="62" l="1"/>
  <c r="F222" i="62" s="1"/>
  <c r="I222" i="62"/>
  <c r="E223" i="62" s="1"/>
  <c r="I220" i="85"/>
  <c r="H220" i="85"/>
  <c r="F220" i="85" s="1"/>
  <c r="G221" i="85"/>
  <c r="D222" i="85"/>
  <c r="E221" i="85"/>
  <c r="H223" i="62" l="1"/>
  <c r="F223" i="62" s="1"/>
  <c r="I223" i="62"/>
  <c r="E224" i="62" s="1"/>
  <c r="H221" i="85"/>
  <c r="F221" i="85" s="1"/>
  <c r="I221" i="85"/>
  <c r="D223" i="85"/>
  <c r="G222" i="85"/>
  <c r="E222" i="85"/>
  <c r="H224" i="62" l="1"/>
  <c r="F224" i="62" s="1"/>
  <c r="I224" i="62"/>
  <c r="E225" i="62" s="1"/>
  <c r="I222" i="85"/>
  <c r="H222" i="85"/>
  <c r="F222" i="85"/>
  <c r="D224" i="85"/>
  <c r="G223" i="85"/>
  <c r="E223" i="85"/>
  <c r="H225" i="62" l="1"/>
  <c r="F225" i="62" s="1"/>
  <c r="I225" i="62"/>
  <c r="E226" i="62" s="1"/>
  <c r="H223" i="85"/>
  <c r="I223" i="85"/>
  <c r="E224" i="85"/>
  <c r="D225" i="85"/>
  <c r="G224" i="85"/>
  <c r="F223" i="85"/>
  <c r="I226" i="62" l="1"/>
  <c r="E227" i="62" s="1"/>
  <c r="H226" i="62"/>
  <c r="F226" i="62" s="1"/>
  <c r="G225" i="85"/>
  <c r="D226" i="85"/>
  <c r="E225" i="85"/>
  <c r="H224" i="85"/>
  <c r="F224" i="85" s="1"/>
  <c r="I224" i="85"/>
  <c r="H227" i="62" l="1"/>
  <c r="F227" i="62" s="1"/>
  <c r="I227" i="62"/>
  <c r="E228" i="62" s="1"/>
  <c r="H225" i="85"/>
  <c r="I225" i="85"/>
  <c r="D227" i="85"/>
  <c r="G226" i="85"/>
  <c r="E226" i="85"/>
  <c r="F225" i="85"/>
  <c r="H228" i="62" l="1"/>
  <c r="F228" i="62" s="1"/>
  <c r="I228" i="62"/>
  <c r="E229" i="62" s="1"/>
  <c r="I226" i="85"/>
  <c r="H226" i="85"/>
  <c r="F226" i="85" s="1"/>
  <c r="D228" i="85"/>
  <c r="E227" i="85"/>
  <c r="G227" i="85"/>
  <c r="H229" i="62" l="1"/>
  <c r="F229" i="62" s="1"/>
  <c r="I229" i="62"/>
  <c r="E230" i="62" s="1"/>
  <c r="H227" i="85"/>
  <c r="F227" i="85" s="1"/>
  <c r="I227" i="85"/>
  <c r="E228" i="85"/>
  <c r="D229" i="85"/>
  <c r="G228" i="85"/>
  <c r="H230" i="62" l="1"/>
  <c r="F230" i="62" s="1"/>
  <c r="I230" i="62"/>
  <c r="E231" i="62" s="1"/>
  <c r="G229" i="85"/>
  <c r="D230" i="85"/>
  <c r="E229" i="85"/>
  <c r="H228" i="85"/>
  <c r="F228" i="85" s="1"/>
  <c r="I228" i="85"/>
  <c r="I231" i="62" l="1"/>
  <c r="E232" i="62" s="1"/>
  <c r="H231" i="62"/>
  <c r="F231" i="62" s="1"/>
  <c r="H229" i="85"/>
  <c r="F229" i="85" s="1"/>
  <c r="I229" i="85"/>
  <c r="D231" i="85"/>
  <c r="G230" i="85"/>
  <c r="E230" i="85"/>
  <c r="H232" i="62" l="1"/>
  <c r="F232" i="62" s="1"/>
  <c r="I232" i="62"/>
  <c r="E233" i="62" s="1"/>
  <c r="D232" i="85"/>
  <c r="G231" i="85"/>
  <c r="E231" i="85"/>
  <c r="I230" i="85"/>
  <c r="H230" i="85"/>
  <c r="F230" i="85" s="1"/>
  <c r="H233" i="62" l="1"/>
  <c r="F233" i="62" s="1"/>
  <c r="I233" i="62"/>
  <c r="E234" i="62" s="1"/>
  <c r="H231" i="85"/>
  <c r="I231" i="85"/>
  <c r="F231" i="85"/>
  <c r="E232" i="85"/>
  <c r="D233" i="85"/>
  <c r="G232" i="85"/>
  <c r="I234" i="62" l="1"/>
  <c r="E235" i="62" s="1"/>
  <c r="H234" i="62"/>
  <c r="F234" i="62" s="1"/>
  <c r="G233" i="85"/>
  <c r="D234" i="85"/>
  <c r="E233" i="85"/>
  <c r="H232" i="85"/>
  <c r="F232" i="85" s="1"/>
  <c r="I232" i="85"/>
  <c r="H235" i="62" l="1"/>
  <c r="F235" i="62" s="1"/>
  <c r="I235" i="62"/>
  <c r="E236" i="62" s="1"/>
  <c r="D235" i="85"/>
  <c r="E234" i="85"/>
  <c r="G234" i="85"/>
  <c r="H233" i="85"/>
  <c r="I233" i="85"/>
  <c r="F233" i="85"/>
  <c r="H236" i="62" l="1"/>
  <c r="F236" i="62" s="1"/>
  <c r="I236" i="62"/>
  <c r="E237" i="62" s="1"/>
  <c r="I234" i="85"/>
  <c r="H234" i="85"/>
  <c r="F234" i="85" s="1"/>
  <c r="D236" i="85"/>
  <c r="E235" i="85"/>
  <c r="G235" i="85"/>
  <c r="H237" i="62" l="1"/>
  <c r="F237" i="62" s="1"/>
  <c r="I237" i="62"/>
  <c r="E238" i="62" s="1"/>
  <c r="E236" i="85"/>
  <c r="D237" i="85"/>
  <c r="G236" i="85"/>
  <c r="H235" i="85"/>
  <c r="F235" i="85" s="1"/>
  <c r="I235" i="85"/>
  <c r="H238" i="62" l="1"/>
  <c r="F238" i="62" s="1"/>
  <c r="I238" i="62"/>
  <c r="E239" i="62" s="1"/>
  <c r="G237" i="85"/>
  <c r="D238" i="85"/>
  <c r="E237" i="85"/>
  <c r="H236" i="85"/>
  <c r="F236" i="85" s="1"/>
  <c r="I236" i="85"/>
  <c r="H239" i="62" l="1"/>
  <c r="F239" i="62" s="1"/>
  <c r="I239" i="62"/>
  <c r="E240" i="62" s="1"/>
  <c r="H237" i="85"/>
  <c r="F237" i="85" s="1"/>
  <c r="I237" i="85"/>
  <c r="D239" i="85"/>
  <c r="G238" i="85"/>
  <c r="E238" i="85"/>
  <c r="I240" i="62" l="1"/>
  <c r="E241" i="62" s="1"/>
  <c r="H240" i="62"/>
  <c r="F240" i="62" s="1"/>
  <c r="I238" i="85"/>
  <c r="H238" i="85"/>
  <c r="F238" i="85" s="1"/>
  <c r="D240" i="85"/>
  <c r="G239" i="85"/>
  <c r="E239" i="85"/>
  <c r="I241" i="62" l="1"/>
  <c r="E242" i="62" s="1"/>
  <c r="H241" i="62"/>
  <c r="F241" i="62" s="1"/>
  <c r="H239" i="85"/>
  <c r="F239" i="85" s="1"/>
  <c r="I239" i="85"/>
  <c r="E240" i="85"/>
  <c r="D241" i="85"/>
  <c r="G240" i="85"/>
  <c r="H242" i="62" l="1"/>
  <c r="F242" i="62" s="1"/>
  <c r="I242" i="62"/>
  <c r="E243" i="62" s="1"/>
  <c r="H240" i="85"/>
  <c r="I240" i="85"/>
  <c r="F240" i="85"/>
  <c r="G241" i="85"/>
  <c r="D242" i="85"/>
  <c r="E241" i="85"/>
  <c r="I243" i="62" l="1"/>
  <c r="E244" i="62" s="1"/>
  <c r="H243" i="62"/>
  <c r="F243" i="62" s="1"/>
  <c r="H241" i="85"/>
  <c r="I241" i="85"/>
  <c r="D243" i="85"/>
  <c r="E242" i="85"/>
  <c r="G242" i="85"/>
  <c r="F241" i="85"/>
  <c r="H244" i="62" l="1"/>
  <c r="F244" i="62" s="1"/>
  <c r="I244" i="62"/>
  <c r="E245" i="62" s="1"/>
  <c r="I242" i="85"/>
  <c r="H242" i="85"/>
  <c r="F242" i="85" s="1"/>
  <c r="D244" i="85"/>
  <c r="E243" i="85"/>
  <c r="G243" i="85"/>
  <c r="H245" i="62" l="1"/>
  <c r="F245" i="62" s="1"/>
  <c r="I245" i="62"/>
  <c r="E246" i="62" s="1"/>
  <c r="E244" i="85"/>
  <c r="D245" i="85"/>
  <c r="G244" i="85"/>
  <c r="H243" i="85"/>
  <c r="F243" i="85" s="1"/>
  <c r="I243" i="85"/>
  <c r="H246" i="62" l="1"/>
  <c r="F246" i="62" s="1"/>
  <c r="I246" i="62"/>
  <c r="E247" i="62" s="1"/>
  <c r="G245" i="85"/>
  <c r="D246" i="85"/>
  <c r="E245" i="85"/>
  <c r="H244" i="85"/>
  <c r="F244" i="85" s="1"/>
  <c r="I244" i="85"/>
  <c r="I247" i="62" l="1"/>
  <c r="E248" i="62" s="1"/>
  <c r="H247" i="62"/>
  <c r="F247" i="62" s="1"/>
  <c r="H245" i="85"/>
  <c r="I245" i="85"/>
  <c r="D247" i="85"/>
  <c r="G246" i="85"/>
  <c r="E246" i="85"/>
  <c r="F245" i="85"/>
  <c r="I248" i="62" l="1"/>
  <c r="E249" i="62" s="1"/>
  <c r="H248" i="62"/>
  <c r="F248" i="62" s="1"/>
  <c r="I246" i="85"/>
  <c r="H246" i="85"/>
  <c r="F246" i="85" s="1"/>
  <c r="D248" i="85"/>
  <c r="G247" i="85"/>
  <c r="E247" i="85"/>
  <c r="H249" i="62" l="1"/>
  <c r="F249" i="62" s="1"/>
  <c r="I249" i="62"/>
  <c r="E250" i="62" s="1"/>
  <c r="H247" i="85"/>
  <c r="I247" i="85"/>
  <c r="F247" i="85"/>
  <c r="E248" i="85"/>
  <c r="D249" i="85"/>
  <c r="G248" i="85"/>
  <c r="I250" i="62" l="1"/>
  <c r="E251" i="62" s="1"/>
  <c r="H250" i="62"/>
  <c r="F250" i="62" s="1"/>
  <c r="G249" i="85"/>
  <c r="D250" i="85"/>
  <c r="E249" i="85"/>
  <c r="H248" i="85"/>
  <c r="F248" i="85" s="1"/>
  <c r="I248" i="85"/>
  <c r="H251" i="62" l="1"/>
  <c r="F251" i="62" s="1"/>
  <c r="I251" i="62"/>
  <c r="E252" i="62" s="1"/>
  <c r="D251" i="85"/>
  <c r="E250" i="85"/>
  <c r="G250" i="85"/>
  <c r="H249" i="85"/>
  <c r="F249" i="85" s="1"/>
  <c r="I249" i="85"/>
  <c r="H252" i="62" l="1"/>
  <c r="F252" i="62" s="1"/>
  <c r="I252" i="62"/>
  <c r="E253" i="62" s="1"/>
  <c r="I250" i="85"/>
  <c r="H250" i="85"/>
  <c r="F250" i="85" s="1"/>
  <c r="D252" i="85"/>
  <c r="G251" i="85"/>
  <c r="E251" i="85"/>
  <c r="H253" i="62" l="1"/>
  <c r="F253" i="62" s="1"/>
  <c r="I253" i="62"/>
  <c r="E254" i="62" s="1"/>
  <c r="H251" i="85"/>
  <c r="F251" i="85" s="1"/>
  <c r="I251" i="85"/>
  <c r="E252" i="85"/>
  <c r="D253" i="85"/>
  <c r="G252" i="85"/>
  <c r="H254" i="62" l="1"/>
  <c r="F254" i="62" s="1"/>
  <c r="I254" i="62"/>
  <c r="E255" i="62" s="1"/>
  <c r="H252" i="85"/>
  <c r="I252" i="85"/>
  <c r="F252" i="85"/>
  <c r="G253" i="85"/>
  <c r="D254" i="85"/>
  <c r="E253" i="85"/>
  <c r="H255" i="62" l="1"/>
  <c r="F255" i="62" s="1"/>
  <c r="I255" i="62"/>
  <c r="E256" i="62" s="1"/>
  <c r="H253" i="85"/>
  <c r="F253" i="85" s="1"/>
  <c r="I253" i="85"/>
  <c r="D255" i="85"/>
  <c r="G254" i="85"/>
  <c r="E254" i="85"/>
  <c r="H256" i="62" l="1"/>
  <c r="F256" i="62" s="1"/>
  <c r="I256" i="62"/>
  <c r="E257" i="62" s="1"/>
  <c r="I254" i="85"/>
  <c r="H254" i="85"/>
  <c r="F254" i="85"/>
  <c r="D256" i="85"/>
  <c r="G255" i="85"/>
  <c r="E255" i="85"/>
  <c r="H257" i="62" l="1"/>
  <c r="F257" i="62" s="1"/>
  <c r="I257" i="62"/>
  <c r="E258" i="62" s="1"/>
  <c r="E256" i="85"/>
  <c r="D257" i="85"/>
  <c r="G256" i="85"/>
  <c r="H255" i="85"/>
  <c r="F255" i="85" s="1"/>
  <c r="I255" i="85"/>
  <c r="I258" i="62" l="1"/>
  <c r="E259" i="62" s="1"/>
  <c r="H258" i="62"/>
  <c r="F258" i="62" s="1"/>
  <c r="G257" i="85"/>
  <c r="E257" i="85"/>
  <c r="D258" i="85"/>
  <c r="H256" i="85"/>
  <c r="F256" i="85" s="1"/>
  <c r="I256" i="85"/>
  <c r="I259" i="62" l="1"/>
  <c r="E260" i="62" s="1"/>
  <c r="H259" i="62"/>
  <c r="F259" i="62" s="1"/>
  <c r="I257" i="85"/>
  <c r="H257" i="85"/>
  <c r="F257" i="85" s="1"/>
  <c r="G258" i="85"/>
  <c r="D259" i="85"/>
  <c r="E258" i="85"/>
  <c r="H260" i="62" l="1"/>
  <c r="F260" i="62" s="1"/>
  <c r="I260" i="62"/>
  <c r="E261" i="62" s="1"/>
  <c r="I258" i="85"/>
  <c r="H258" i="85"/>
  <c r="F258" i="85"/>
  <c r="G259" i="85"/>
  <c r="D260" i="85"/>
  <c r="E259" i="85"/>
  <c r="H261" i="62" l="1"/>
  <c r="F261" i="62" s="1"/>
  <c r="I261" i="62"/>
  <c r="E262" i="62" s="1"/>
  <c r="E260" i="85"/>
  <c r="D261" i="85"/>
  <c r="G260" i="85"/>
  <c r="I259" i="85"/>
  <c r="H259" i="85"/>
  <c r="F259" i="85" s="1"/>
  <c r="H262" i="62" l="1"/>
  <c r="F262" i="62" s="1"/>
  <c r="I262" i="62"/>
  <c r="E263" i="62" s="1"/>
  <c r="G261" i="85"/>
  <c r="E261" i="85"/>
  <c r="D262" i="85"/>
  <c r="H260" i="85"/>
  <c r="F260" i="85" s="1"/>
  <c r="I260" i="85"/>
  <c r="I263" i="62" l="1"/>
  <c r="E264" i="62" s="1"/>
  <c r="H263" i="62"/>
  <c r="F263" i="62" s="1"/>
  <c r="H261" i="85"/>
  <c r="F261" i="85" s="1"/>
  <c r="I261" i="85"/>
  <c r="G262" i="85"/>
  <c r="D263" i="85"/>
  <c r="E262" i="85"/>
  <c r="I264" i="62" l="1"/>
  <c r="E265" i="62" s="1"/>
  <c r="H264" i="62"/>
  <c r="F264" i="62" s="1"/>
  <c r="I262" i="85"/>
  <c r="H262" i="85"/>
  <c r="E263" i="85"/>
  <c r="D264" i="85"/>
  <c r="G263" i="85"/>
  <c r="F262" i="85"/>
  <c r="H265" i="62" l="1"/>
  <c r="F265" i="62" s="1"/>
  <c r="I265" i="62"/>
  <c r="E266" i="62" s="1"/>
  <c r="E264" i="85"/>
  <c r="D265" i="85"/>
  <c r="G264" i="85"/>
  <c r="I263" i="85"/>
  <c r="H263" i="85"/>
  <c r="F263" i="85" s="1"/>
  <c r="I266" i="62" l="1"/>
  <c r="E267" i="62" s="1"/>
  <c r="H266" i="62"/>
  <c r="F266" i="62" s="1"/>
  <c r="G265" i="85"/>
  <c r="E265" i="85"/>
  <c r="D266" i="85"/>
  <c r="I264" i="85"/>
  <c r="H264" i="85"/>
  <c r="F264" i="85" s="1"/>
  <c r="H267" i="62" l="1"/>
  <c r="F267" i="62" s="1"/>
  <c r="I267" i="62"/>
  <c r="E268" i="62" s="1"/>
  <c r="G266" i="85"/>
  <c r="D267" i="85"/>
  <c r="E266" i="85"/>
  <c r="H265" i="85"/>
  <c r="F265" i="85" s="1"/>
  <c r="I265" i="85"/>
  <c r="H268" i="62" l="1"/>
  <c r="F268" i="62" s="1"/>
  <c r="I268" i="62"/>
  <c r="E269" i="62" s="1"/>
  <c r="I266" i="85"/>
  <c r="H266" i="85"/>
  <c r="F266" i="85" s="1"/>
  <c r="D268" i="85"/>
  <c r="E267" i="85"/>
  <c r="G267" i="85"/>
  <c r="H269" i="62" l="1"/>
  <c r="F269" i="62" s="1"/>
  <c r="I269" i="62"/>
  <c r="E270" i="62" s="1"/>
  <c r="E268" i="85"/>
  <c r="G268" i="85"/>
  <c r="D269" i="85"/>
  <c r="I267" i="85"/>
  <c r="H267" i="85"/>
  <c r="F267" i="85" s="1"/>
  <c r="H270" i="62" l="1"/>
  <c r="F270" i="62" s="1"/>
  <c r="I270" i="62"/>
  <c r="E271" i="62" s="1"/>
  <c r="G269" i="85"/>
  <c r="E269" i="85"/>
  <c r="D270" i="85"/>
  <c r="H268" i="85"/>
  <c r="F268" i="85" s="1"/>
  <c r="I268" i="85"/>
  <c r="I271" i="62" l="1"/>
  <c r="E272" i="62" s="1"/>
  <c r="H271" i="62"/>
  <c r="F271" i="62" s="1"/>
  <c r="G270" i="85"/>
  <c r="E270" i="85"/>
  <c r="D271" i="85"/>
  <c r="H269" i="85"/>
  <c r="F269" i="85" s="1"/>
  <c r="I269" i="85"/>
  <c r="H272" i="62" l="1"/>
  <c r="F272" i="62" s="1"/>
  <c r="I272" i="62"/>
  <c r="E273" i="62" s="1"/>
  <c r="I270" i="85"/>
  <c r="H270" i="85"/>
  <c r="D272" i="85"/>
  <c r="G271" i="85"/>
  <c r="E271" i="85"/>
  <c r="F270" i="85"/>
  <c r="I273" i="62" l="1"/>
  <c r="E274" i="62" s="1"/>
  <c r="H273" i="62"/>
  <c r="F273" i="62" s="1"/>
  <c r="I271" i="85"/>
  <c r="H271" i="85"/>
  <c r="F271" i="85" s="1"/>
  <c r="E272" i="85"/>
  <c r="D273" i="85"/>
  <c r="G272" i="85"/>
  <c r="H274" i="62" l="1"/>
  <c r="F274" i="62" s="1"/>
  <c r="I274" i="62"/>
  <c r="E275" i="62" s="1"/>
  <c r="G273" i="85"/>
  <c r="E273" i="85"/>
  <c r="D274" i="85"/>
  <c r="H272" i="85"/>
  <c r="I272" i="85"/>
  <c r="F272" i="85"/>
  <c r="H275" i="62" l="1"/>
  <c r="F275" i="62" s="1"/>
  <c r="I275" i="62"/>
  <c r="E276" i="62" s="1"/>
  <c r="G274" i="85"/>
  <c r="D275" i="85"/>
  <c r="E274" i="85"/>
  <c r="I273" i="85"/>
  <c r="H273" i="85"/>
  <c r="F273" i="85" s="1"/>
  <c r="H276" i="62" l="1"/>
  <c r="F276" i="62" s="1"/>
  <c r="I276" i="62"/>
  <c r="E277" i="62" s="1"/>
  <c r="I274" i="85"/>
  <c r="H274" i="85"/>
  <c r="G275" i="85"/>
  <c r="E275" i="85"/>
  <c r="D276" i="85"/>
  <c r="F274" i="85"/>
  <c r="H277" i="62" l="1"/>
  <c r="F277" i="62" s="1"/>
  <c r="I277" i="62"/>
  <c r="E278" i="62" s="1"/>
  <c r="I275" i="85"/>
  <c r="H275" i="85"/>
  <c r="E276" i="85"/>
  <c r="D277" i="85"/>
  <c r="G276" i="85"/>
  <c r="F275" i="85"/>
  <c r="H278" i="62" l="1"/>
  <c r="F278" i="62" s="1"/>
  <c r="I278" i="62"/>
  <c r="E279" i="62" s="1"/>
  <c r="H276" i="85"/>
  <c r="I276" i="85"/>
  <c r="F276" i="85"/>
  <c r="G277" i="85"/>
  <c r="E277" i="85"/>
  <c r="D278" i="85"/>
  <c r="I279" i="62" l="1"/>
  <c r="E280" i="62" s="1"/>
  <c r="H279" i="62"/>
  <c r="F279" i="62" s="1"/>
  <c r="H277" i="85"/>
  <c r="I277" i="85"/>
  <c r="F277" i="85"/>
  <c r="G278" i="85"/>
  <c r="D279" i="85"/>
  <c r="E278" i="85"/>
  <c r="I280" i="62" l="1"/>
  <c r="E281" i="62" s="1"/>
  <c r="H280" i="62"/>
  <c r="F280" i="62" s="1"/>
  <c r="I278" i="85"/>
  <c r="H278" i="85"/>
  <c r="F278" i="85" s="1"/>
  <c r="E279" i="85"/>
  <c r="D280" i="85"/>
  <c r="G279" i="85"/>
  <c r="H281" i="62" l="1"/>
  <c r="F281" i="62" s="1"/>
  <c r="I281" i="62"/>
  <c r="E282" i="62" s="1"/>
  <c r="E280" i="85"/>
  <c r="D281" i="85"/>
  <c r="G280" i="85"/>
  <c r="I279" i="85"/>
  <c r="H279" i="85"/>
  <c r="F279" i="85" s="1"/>
  <c r="I282" i="62" l="1"/>
  <c r="E283" i="62" s="1"/>
  <c r="H282" i="62"/>
  <c r="F282" i="62" s="1"/>
  <c r="G281" i="85"/>
  <c r="E281" i="85"/>
  <c r="D282" i="85"/>
  <c r="I280" i="85"/>
  <c r="H280" i="85"/>
  <c r="F280" i="85" s="1"/>
  <c r="I283" i="62" l="1"/>
  <c r="E284" i="62" s="1"/>
  <c r="H283" i="62"/>
  <c r="F283" i="62" s="1"/>
  <c r="G282" i="85"/>
  <c r="D283" i="85"/>
  <c r="E282" i="85"/>
  <c r="H281" i="85"/>
  <c r="F281" i="85" s="1"/>
  <c r="I281" i="85"/>
  <c r="H284" i="62" l="1"/>
  <c r="F284" i="62" s="1"/>
  <c r="I284" i="62"/>
  <c r="E285" i="62" s="1"/>
  <c r="I282" i="85"/>
  <c r="H282" i="85"/>
  <c r="F282" i="85" s="1"/>
  <c r="E283" i="85"/>
  <c r="D284" i="85"/>
  <c r="G283" i="85"/>
  <c r="H285" i="62" l="1"/>
  <c r="F285" i="62" s="1"/>
  <c r="I285" i="62"/>
  <c r="E286" i="62" s="1"/>
  <c r="E284" i="85"/>
  <c r="D285" i="85"/>
  <c r="G284" i="85"/>
  <c r="I283" i="85"/>
  <c r="H283" i="85"/>
  <c r="F283" i="85" s="1"/>
  <c r="H286" i="62" l="1"/>
  <c r="F286" i="62" s="1"/>
  <c r="I286" i="62"/>
  <c r="E287" i="62" s="1"/>
  <c r="G285" i="85"/>
  <c r="E285" i="85"/>
  <c r="D286" i="85"/>
  <c r="H284" i="85"/>
  <c r="F284" i="85" s="1"/>
  <c r="I284" i="85"/>
  <c r="H287" i="62" l="1"/>
  <c r="F287" i="62" s="1"/>
  <c r="I287" i="62"/>
  <c r="E288" i="62" s="1"/>
  <c r="D287" i="85"/>
  <c r="G286" i="85"/>
  <c r="E286" i="85"/>
  <c r="H285" i="85"/>
  <c r="F285" i="85" s="1"/>
  <c r="I285" i="85"/>
  <c r="H288" i="62" l="1"/>
  <c r="F288" i="62" s="1"/>
  <c r="I288" i="62"/>
  <c r="E289" i="62" s="1"/>
  <c r="I286" i="85"/>
  <c r="H286" i="85"/>
  <c r="D288" i="85"/>
  <c r="E287" i="85"/>
  <c r="G287" i="85"/>
  <c r="F286" i="85"/>
  <c r="H289" i="62" l="1"/>
  <c r="F289" i="62" s="1"/>
  <c r="I289" i="62"/>
  <c r="E290" i="62" s="1"/>
  <c r="I287" i="85"/>
  <c r="H287" i="85"/>
  <c r="F287" i="85" s="1"/>
  <c r="E288" i="85"/>
  <c r="D289" i="85"/>
  <c r="G288" i="85"/>
  <c r="H290" i="62" l="1"/>
  <c r="F290" i="62" s="1"/>
  <c r="I290" i="62"/>
  <c r="E291" i="62" s="1"/>
  <c r="H288" i="85"/>
  <c r="F288" i="85" s="1"/>
  <c r="I288" i="85"/>
  <c r="G289" i="85"/>
  <c r="E289" i="85"/>
  <c r="D290" i="85"/>
  <c r="I291" i="62" l="1"/>
  <c r="E292" i="62" s="1"/>
  <c r="H291" i="62"/>
  <c r="F291" i="62" s="1"/>
  <c r="D291" i="85"/>
  <c r="G290" i="85"/>
  <c r="E290" i="85"/>
  <c r="H289" i="85"/>
  <c r="I289" i="85"/>
  <c r="F289" i="85"/>
  <c r="H292" i="62" l="1"/>
  <c r="F292" i="62" s="1"/>
  <c r="I292" i="62"/>
  <c r="E293" i="62" s="1"/>
  <c r="I290" i="85"/>
  <c r="H290" i="85"/>
  <c r="F290" i="85" s="1"/>
  <c r="G291" i="85"/>
  <c r="D292" i="85"/>
  <c r="E291" i="85"/>
  <c r="H293" i="62" l="1"/>
  <c r="F293" i="62" s="1"/>
  <c r="I293" i="62"/>
  <c r="E294" i="62" s="1"/>
  <c r="E292" i="85"/>
  <c r="D293" i="85"/>
  <c r="G292" i="85"/>
  <c r="I291" i="85"/>
  <c r="H291" i="85"/>
  <c r="F291" i="85" s="1"/>
  <c r="H294" i="62" l="1"/>
  <c r="F294" i="62" s="1"/>
  <c r="I294" i="62"/>
  <c r="E295" i="62" s="1"/>
  <c r="G293" i="85"/>
  <c r="E293" i="85"/>
  <c r="D294" i="85"/>
  <c r="H292" i="85"/>
  <c r="F292" i="85" s="1"/>
  <c r="I292" i="85"/>
  <c r="I295" i="62" l="1"/>
  <c r="E296" i="62" s="1"/>
  <c r="H295" i="62"/>
  <c r="F295" i="62" s="1"/>
  <c r="D295" i="85"/>
  <c r="G294" i="85"/>
  <c r="E294" i="85"/>
  <c r="H293" i="85"/>
  <c r="F293" i="85" s="1"/>
  <c r="I293" i="85"/>
  <c r="I296" i="62" l="1"/>
  <c r="E297" i="62" s="1"/>
  <c r="H296" i="62"/>
  <c r="F296" i="62" s="1"/>
  <c r="I294" i="85"/>
  <c r="H294" i="85"/>
  <c r="F294" i="85" s="1"/>
  <c r="D296" i="85"/>
  <c r="E295" i="85"/>
  <c r="G295" i="85"/>
  <c r="H297" i="62" l="1"/>
  <c r="F297" i="62" s="1"/>
  <c r="I297" i="62"/>
  <c r="E298" i="62" s="1"/>
  <c r="I295" i="85"/>
  <c r="H295" i="85"/>
  <c r="F295" i="85" s="1"/>
  <c r="E296" i="85"/>
  <c r="D297" i="85"/>
  <c r="G296" i="85"/>
  <c r="I298" i="62" l="1"/>
  <c r="E299" i="62" s="1"/>
  <c r="H298" i="62"/>
  <c r="F298" i="62" s="1"/>
  <c r="G297" i="85"/>
  <c r="E297" i="85"/>
  <c r="D298" i="85"/>
  <c r="H296" i="85"/>
  <c r="F296" i="85" s="1"/>
  <c r="I296" i="85"/>
  <c r="H299" i="62" l="1"/>
  <c r="F299" i="62" s="1"/>
  <c r="I299" i="62"/>
  <c r="E300" i="62" s="1"/>
  <c r="D299" i="85"/>
  <c r="G298" i="85"/>
  <c r="E298" i="85"/>
  <c r="H297" i="85"/>
  <c r="F297" i="85" s="1"/>
  <c r="I297" i="85"/>
  <c r="H300" i="62" l="1"/>
  <c r="F300" i="62" s="1"/>
  <c r="I300" i="62"/>
  <c r="E301" i="62" s="1"/>
  <c r="I298" i="85"/>
  <c r="H298" i="85"/>
  <c r="D300" i="85"/>
  <c r="G299" i="85"/>
  <c r="E299" i="85"/>
  <c r="F298" i="85"/>
  <c r="H301" i="62" l="1"/>
  <c r="F301" i="62" s="1"/>
  <c r="I301" i="62"/>
  <c r="E302" i="62" s="1"/>
  <c r="E300" i="85"/>
  <c r="D301" i="85"/>
  <c r="G300" i="85"/>
  <c r="I299" i="85"/>
  <c r="H299" i="85"/>
  <c r="F299" i="85" s="1"/>
  <c r="H302" i="62" l="1"/>
  <c r="F302" i="62" s="1"/>
  <c r="I302" i="62"/>
  <c r="E303" i="62" s="1"/>
  <c r="G301" i="85"/>
  <c r="E301" i="85"/>
  <c r="D302" i="85"/>
  <c r="H300" i="85"/>
  <c r="F300" i="85" s="1"/>
  <c r="I300" i="85"/>
  <c r="H303" i="62" l="1"/>
  <c r="F303" i="62" s="1"/>
  <c r="I303" i="62"/>
  <c r="E304" i="62" s="1"/>
  <c r="H301" i="85"/>
  <c r="I301" i="85"/>
  <c r="F301" i="85"/>
  <c r="D303" i="85"/>
  <c r="G302" i="85"/>
  <c r="E302" i="85"/>
  <c r="I304" i="62" l="1"/>
  <c r="E305" i="62" s="1"/>
  <c r="H304" i="62"/>
  <c r="F304" i="62" s="1"/>
  <c r="D304" i="85"/>
  <c r="G303" i="85"/>
  <c r="E303" i="85"/>
  <c r="I302" i="85"/>
  <c r="H302" i="85"/>
  <c r="F302" i="85" s="1"/>
  <c r="H305" i="62" l="1"/>
  <c r="F305" i="62" s="1"/>
  <c r="I305" i="62"/>
  <c r="E306" i="62" s="1"/>
  <c r="I303" i="85"/>
  <c r="H303" i="85"/>
  <c r="E304" i="85"/>
  <c r="D305" i="85"/>
  <c r="G304" i="85"/>
  <c r="F303" i="85"/>
  <c r="I306" i="62" l="1"/>
  <c r="E307" i="62" s="1"/>
  <c r="H306" i="62"/>
  <c r="F306" i="62" s="1"/>
  <c r="H304" i="85"/>
  <c r="I304" i="85"/>
  <c r="F304" i="85"/>
  <c r="G305" i="85"/>
  <c r="E305" i="85"/>
  <c r="D306" i="85"/>
  <c r="H307" i="62" l="1"/>
  <c r="F307" i="62" s="1"/>
  <c r="I307" i="62"/>
  <c r="E308" i="62" s="1"/>
  <c r="D307" i="85"/>
  <c r="G306" i="85"/>
  <c r="E306" i="85"/>
  <c r="H305" i="85"/>
  <c r="I305" i="85"/>
  <c r="F305" i="85"/>
  <c r="I308" i="62" l="1"/>
  <c r="E309" i="62" s="1"/>
  <c r="H308" i="62"/>
  <c r="F308" i="62" s="1"/>
  <c r="I306" i="85"/>
  <c r="H306" i="85"/>
  <c r="F306" i="85"/>
  <c r="G307" i="85"/>
  <c r="E307" i="85"/>
  <c r="D308" i="85"/>
  <c r="H309" i="62" l="1"/>
  <c r="F309" i="62" s="1"/>
  <c r="I309" i="62"/>
  <c r="E310" i="62" s="1"/>
  <c r="E308" i="85"/>
  <c r="D309" i="85"/>
  <c r="G308" i="85"/>
  <c r="I307" i="85"/>
  <c r="H307" i="85"/>
  <c r="F307" i="85" s="1"/>
  <c r="H310" i="62" l="1"/>
  <c r="F310" i="62" s="1"/>
  <c r="I310" i="62"/>
  <c r="E311" i="62" s="1"/>
  <c r="G309" i="85"/>
  <c r="E309" i="85"/>
  <c r="D310" i="85"/>
  <c r="H308" i="85"/>
  <c r="F308" i="85" s="1"/>
  <c r="I308" i="85"/>
  <c r="I311" i="62" l="1"/>
  <c r="E312" i="62" s="1"/>
  <c r="H311" i="62"/>
  <c r="F311" i="62" s="1"/>
  <c r="D311" i="85"/>
  <c r="G310" i="85"/>
  <c r="E310" i="85"/>
  <c r="H309" i="85"/>
  <c r="F309" i="85" s="1"/>
  <c r="I309" i="85"/>
  <c r="H312" i="62" l="1"/>
  <c r="F312" i="62" s="1"/>
  <c r="I312" i="62"/>
  <c r="E313" i="62" s="1"/>
  <c r="I310" i="85"/>
  <c r="H310" i="85"/>
  <c r="F310" i="85" s="1"/>
  <c r="E311" i="85"/>
  <c r="D312" i="85"/>
  <c r="G311" i="85"/>
  <c r="I313" i="62" l="1"/>
  <c r="E314" i="62" s="1"/>
  <c r="H313" i="62"/>
  <c r="F313" i="62" s="1"/>
  <c r="E312" i="85"/>
  <c r="D313" i="85"/>
  <c r="G312" i="85"/>
  <c r="I311" i="85"/>
  <c r="H311" i="85"/>
  <c r="F311" i="85" s="1"/>
  <c r="I314" i="62" l="1"/>
  <c r="E315" i="62" s="1"/>
  <c r="H314" i="62"/>
  <c r="F314" i="62" s="1"/>
  <c r="G313" i="85"/>
  <c r="E313" i="85"/>
  <c r="D314" i="85"/>
  <c r="H312" i="85"/>
  <c r="F312" i="85" s="1"/>
  <c r="I312" i="85"/>
  <c r="I315" i="62" l="1"/>
  <c r="E316" i="62" s="1"/>
  <c r="H315" i="62"/>
  <c r="F315" i="62" s="1"/>
  <c r="H313" i="85"/>
  <c r="I313" i="85"/>
  <c r="D315" i="85"/>
  <c r="G314" i="85"/>
  <c r="E314" i="85"/>
  <c r="F313" i="85"/>
  <c r="H316" i="62" l="1"/>
  <c r="F316" i="62" s="1"/>
  <c r="I316" i="62"/>
  <c r="E317" i="62" s="1"/>
  <c r="I314" i="85"/>
  <c r="H314" i="85"/>
  <c r="F314" i="85" s="1"/>
  <c r="G315" i="85"/>
  <c r="E315" i="85"/>
  <c r="D316" i="85"/>
  <c r="H317" i="62" l="1"/>
  <c r="F317" i="62" s="1"/>
  <c r="I317" i="62"/>
  <c r="E318" i="62" s="1"/>
  <c r="E316" i="85"/>
  <c r="D317" i="85"/>
  <c r="G316" i="85"/>
  <c r="I315" i="85"/>
  <c r="H315" i="85"/>
  <c r="F315" i="85"/>
  <c r="H318" i="62" l="1"/>
  <c r="F318" i="62" s="1"/>
  <c r="I318" i="62"/>
  <c r="E319" i="62" s="1"/>
  <c r="G317" i="85"/>
  <c r="E317" i="85"/>
  <c r="D318" i="85"/>
  <c r="H316" i="85"/>
  <c r="F316" i="85" s="1"/>
  <c r="I316" i="85"/>
  <c r="H319" i="62" l="1"/>
  <c r="F319" i="62" s="1"/>
  <c r="I319" i="62"/>
  <c r="E320" i="62" s="1"/>
  <c r="D319" i="85"/>
  <c r="G318" i="85"/>
  <c r="E318" i="85"/>
  <c r="H317" i="85"/>
  <c r="F317" i="85" s="1"/>
  <c r="I317" i="85"/>
  <c r="H320" i="62" l="1"/>
  <c r="F320" i="62" s="1"/>
  <c r="I320" i="62"/>
  <c r="E321" i="62" s="1"/>
  <c r="I318" i="85"/>
  <c r="H318" i="85"/>
  <c r="F318" i="85"/>
  <c r="E319" i="85"/>
  <c r="G319" i="85"/>
  <c r="D320" i="85"/>
  <c r="I321" i="62" l="1"/>
  <c r="E322" i="62" s="1"/>
  <c r="H321" i="62"/>
  <c r="F321" i="62" s="1"/>
  <c r="G320" i="85"/>
  <c r="E320" i="85"/>
  <c r="D321" i="85"/>
  <c r="I319" i="85"/>
  <c r="H319" i="85"/>
  <c r="F319" i="85" s="1"/>
  <c r="I322" i="62" l="1"/>
  <c r="E323" i="62" s="1"/>
  <c r="H322" i="62"/>
  <c r="F322" i="62" s="1"/>
  <c r="G321" i="85"/>
  <c r="E321" i="85"/>
  <c r="D322" i="85"/>
  <c r="H320" i="85"/>
  <c r="F320" i="85" s="1"/>
  <c r="I320" i="85"/>
  <c r="H323" i="62" l="1"/>
  <c r="F323" i="62" s="1"/>
  <c r="I323" i="62"/>
  <c r="E324" i="62" s="1"/>
  <c r="I321" i="85"/>
  <c r="H321" i="85"/>
  <c r="F321" i="85" s="1"/>
  <c r="D323" i="85"/>
  <c r="G322" i="85"/>
  <c r="E322" i="85"/>
  <c r="I324" i="62" l="1"/>
  <c r="E325" i="62" s="1"/>
  <c r="H324" i="62"/>
  <c r="F324" i="62" s="1"/>
  <c r="I322" i="85"/>
  <c r="H322" i="85"/>
  <c r="F322" i="85" s="1"/>
  <c r="E323" i="85"/>
  <c r="G323" i="85"/>
  <c r="D324" i="85"/>
  <c r="H325" i="62" l="1"/>
  <c r="F325" i="62" s="1"/>
  <c r="I325" i="62"/>
  <c r="E326" i="62" s="1"/>
  <c r="G324" i="85"/>
  <c r="E324" i="85"/>
  <c r="D325" i="85"/>
  <c r="I323" i="85"/>
  <c r="H323" i="85"/>
  <c r="F323" i="85" s="1"/>
  <c r="H326" i="62" l="1"/>
  <c r="F326" i="62" s="1"/>
  <c r="I326" i="62"/>
  <c r="E327" i="62" s="1"/>
  <c r="G325" i="85"/>
  <c r="E325" i="85"/>
  <c r="D326" i="85"/>
  <c r="H324" i="85"/>
  <c r="I324" i="85"/>
  <c r="F324" i="85"/>
  <c r="H327" i="62" l="1"/>
  <c r="F327" i="62" s="1"/>
  <c r="I327" i="62"/>
  <c r="E328" i="62" s="1"/>
  <c r="I325" i="85"/>
  <c r="H325" i="85"/>
  <c r="D327" i="85"/>
  <c r="G326" i="85"/>
  <c r="E326" i="85"/>
  <c r="F325" i="85"/>
  <c r="H328" i="62" l="1"/>
  <c r="F328" i="62" s="1"/>
  <c r="I328" i="62"/>
  <c r="E329" i="62" s="1"/>
  <c r="I326" i="85"/>
  <c r="H326" i="85"/>
  <c r="F326" i="85" s="1"/>
  <c r="E327" i="85"/>
  <c r="D328" i="85"/>
  <c r="G327" i="85"/>
  <c r="I329" i="62" l="1"/>
  <c r="E330" i="62" s="1"/>
  <c r="H329" i="62"/>
  <c r="F329" i="62" s="1"/>
  <c r="G328" i="85"/>
  <c r="E328" i="85"/>
  <c r="D329" i="85"/>
  <c r="I327" i="85"/>
  <c r="H327" i="85"/>
  <c r="F327" i="85" s="1"/>
  <c r="I330" i="62" l="1"/>
  <c r="E331" i="62" s="1"/>
  <c r="H330" i="62"/>
  <c r="F330" i="62" s="1"/>
  <c r="H328" i="85"/>
  <c r="I328" i="85"/>
  <c r="G329" i="85"/>
  <c r="E329" i="85"/>
  <c r="D330" i="85"/>
  <c r="F328" i="85"/>
  <c r="H331" i="62" l="1"/>
  <c r="F331" i="62" s="1"/>
  <c r="I331" i="62"/>
  <c r="E332" i="62" s="1"/>
  <c r="D331" i="85"/>
  <c r="G330" i="85"/>
  <c r="E330" i="85"/>
  <c r="I329" i="85"/>
  <c r="H329" i="85"/>
  <c r="F329" i="85"/>
  <c r="I332" i="62" l="1"/>
  <c r="E333" i="62" s="1"/>
  <c r="H332" i="62"/>
  <c r="F332" i="62" s="1"/>
  <c r="I330" i="85"/>
  <c r="H330" i="85"/>
  <c r="F330" i="85" s="1"/>
  <c r="E331" i="85"/>
  <c r="G331" i="85"/>
  <c r="D332" i="85"/>
  <c r="H333" i="62" l="1"/>
  <c r="F333" i="62" s="1"/>
  <c r="I333" i="62"/>
  <c r="E334" i="62" s="1"/>
  <c r="G332" i="85"/>
  <c r="E332" i="85"/>
  <c r="D333" i="85"/>
  <c r="I331" i="85"/>
  <c r="H331" i="85"/>
  <c r="F331" i="85" s="1"/>
  <c r="H334" i="62" l="1"/>
  <c r="F334" i="62" s="1"/>
  <c r="I334" i="62"/>
  <c r="E335" i="62" s="1"/>
  <c r="G333" i="85"/>
  <c r="E333" i="85"/>
  <c r="D334" i="85"/>
  <c r="H332" i="85"/>
  <c r="I332" i="85"/>
  <c r="F332" i="85"/>
  <c r="I335" i="62" l="1"/>
  <c r="E336" i="62" s="1"/>
  <c r="H335" i="62"/>
  <c r="F335" i="62" s="1"/>
  <c r="I333" i="85"/>
  <c r="H333" i="85"/>
  <c r="D335" i="85"/>
  <c r="G334" i="85"/>
  <c r="E334" i="85"/>
  <c r="F333" i="85"/>
  <c r="H336" i="62" l="1"/>
  <c r="F336" i="62" s="1"/>
  <c r="I336" i="62"/>
  <c r="E337" i="62" s="1"/>
  <c r="I334" i="85"/>
  <c r="H334" i="85"/>
  <c r="F334" i="85"/>
  <c r="E335" i="85"/>
  <c r="G335" i="85"/>
  <c r="D336" i="85"/>
  <c r="I337" i="62" l="1"/>
  <c r="E338" i="62" s="1"/>
  <c r="H337" i="62"/>
  <c r="F337" i="62" s="1"/>
  <c r="G336" i="85"/>
  <c r="E336" i="85"/>
  <c r="D337" i="85"/>
  <c r="I335" i="85"/>
  <c r="H335" i="85"/>
  <c r="F335" i="85"/>
  <c r="H338" i="62" l="1"/>
  <c r="F338" i="62" s="1"/>
  <c r="I338" i="62"/>
  <c r="E339" i="62" s="1"/>
  <c r="H336" i="85"/>
  <c r="F336" i="85" s="1"/>
  <c r="I336" i="85"/>
  <c r="G337" i="85"/>
  <c r="E337" i="85"/>
  <c r="D338" i="85"/>
  <c r="I339" i="62" l="1"/>
  <c r="E340" i="62" s="1"/>
  <c r="H339" i="62"/>
  <c r="F339" i="62" s="1"/>
  <c r="D339" i="85"/>
  <c r="G338" i="85"/>
  <c r="E338" i="85"/>
  <c r="I337" i="85"/>
  <c r="H337" i="85"/>
  <c r="F337" i="85"/>
  <c r="I340" i="62" l="1"/>
  <c r="E341" i="62" s="1"/>
  <c r="H340" i="62"/>
  <c r="F340" i="62" s="1"/>
  <c r="I338" i="85"/>
  <c r="H338" i="85"/>
  <c r="F338" i="85"/>
  <c r="E339" i="85"/>
  <c r="G339" i="85"/>
  <c r="D340" i="85"/>
  <c r="H341" i="62" l="1"/>
  <c r="F341" i="62" s="1"/>
  <c r="I341" i="62"/>
  <c r="E342" i="62" s="1"/>
  <c r="G340" i="85"/>
  <c r="E340" i="85"/>
  <c r="D341" i="85"/>
  <c r="I339" i="85"/>
  <c r="H339" i="85"/>
  <c r="F339" i="85" s="1"/>
  <c r="H342" i="62" l="1"/>
  <c r="F342" i="62" s="1"/>
  <c r="I342" i="62"/>
  <c r="E343" i="62" s="1"/>
  <c r="H340" i="85"/>
  <c r="F340" i="85" s="1"/>
  <c r="I340" i="85"/>
  <c r="G341" i="85"/>
  <c r="E341" i="85"/>
  <c r="D342" i="85"/>
  <c r="H343" i="62" l="1"/>
  <c r="F343" i="62" s="1"/>
  <c r="I343" i="62"/>
  <c r="E344" i="62" s="1"/>
  <c r="I341" i="85"/>
  <c r="H341" i="85"/>
  <c r="D343" i="85"/>
  <c r="G342" i="85"/>
  <c r="E342" i="85"/>
  <c r="F341" i="85"/>
  <c r="H344" i="62" l="1"/>
  <c r="F344" i="62" s="1"/>
  <c r="I344" i="62"/>
  <c r="E345" i="62" s="1"/>
  <c r="I342" i="85"/>
  <c r="H342" i="85"/>
  <c r="F342" i="85"/>
  <c r="E343" i="85"/>
  <c r="D344" i="85"/>
  <c r="G343" i="85"/>
  <c r="I345" i="62" l="1"/>
  <c r="E346" i="62" s="1"/>
  <c r="H345" i="62"/>
  <c r="F345" i="62" s="1"/>
  <c r="I343" i="85"/>
  <c r="H343" i="85"/>
  <c r="F343" i="85" s="1"/>
  <c r="G344" i="85"/>
  <c r="E344" i="85"/>
  <c r="D345" i="85"/>
  <c r="H346" i="62" l="1"/>
  <c r="F346" i="62" s="1"/>
  <c r="I346" i="62"/>
  <c r="E347" i="62" s="1"/>
  <c r="H344" i="85"/>
  <c r="F344" i="85" s="1"/>
  <c r="I344" i="85"/>
  <c r="G345" i="85"/>
  <c r="E345" i="85"/>
  <c r="D346" i="85"/>
  <c r="H347" i="62" l="1"/>
  <c r="F347" i="62" s="1"/>
  <c r="I347" i="62"/>
  <c r="E348" i="62" s="1"/>
  <c r="I345" i="85"/>
  <c r="H345" i="85"/>
  <c r="F345" i="85" s="1"/>
  <c r="D347" i="85"/>
  <c r="G346" i="85"/>
  <c r="E346" i="85"/>
  <c r="H348" i="62" l="1"/>
  <c r="F348" i="62" s="1"/>
  <c r="I348" i="62"/>
  <c r="E349" i="62" s="1"/>
  <c r="I346" i="85"/>
  <c r="H346" i="85"/>
  <c r="F346" i="85"/>
  <c r="E347" i="85"/>
  <c r="G347" i="85"/>
  <c r="D348" i="85"/>
  <c r="H349" i="62" l="1"/>
  <c r="F349" i="62" s="1"/>
  <c r="I349" i="62"/>
  <c r="E350" i="62" s="1"/>
  <c r="G348" i="85"/>
  <c r="E348" i="85"/>
  <c r="D349" i="85"/>
  <c r="I347" i="85"/>
  <c r="H347" i="85"/>
  <c r="F347" i="85" s="1"/>
  <c r="H350" i="62" l="1"/>
  <c r="F350" i="62" s="1"/>
  <c r="I350" i="62"/>
  <c r="E351" i="62" s="1"/>
  <c r="G349" i="85"/>
  <c r="E349" i="85"/>
  <c r="D350" i="85"/>
  <c r="H348" i="85"/>
  <c r="I348" i="85"/>
  <c r="F348" i="85"/>
  <c r="I351" i="62" l="1"/>
  <c r="E352" i="62" s="1"/>
  <c r="H351" i="62"/>
  <c r="F351" i="62" s="1"/>
  <c r="D351" i="85"/>
  <c r="G350" i="85"/>
  <c r="E350" i="85"/>
  <c r="I349" i="85"/>
  <c r="H349" i="85"/>
  <c r="F349" i="85" s="1"/>
  <c r="H352" i="62" l="1"/>
  <c r="F352" i="62" s="1"/>
  <c r="I352" i="62"/>
  <c r="E353" i="62" s="1"/>
  <c r="I350" i="85"/>
  <c r="H350" i="85"/>
  <c r="F350" i="85" s="1"/>
  <c r="E351" i="85"/>
  <c r="G351" i="85"/>
  <c r="D352" i="85"/>
  <c r="I353" i="62" l="1"/>
  <c r="E354" i="62" s="1"/>
  <c r="H353" i="62"/>
  <c r="F353" i="62" s="1"/>
  <c r="I351" i="85"/>
  <c r="H351" i="85"/>
  <c r="F351" i="85"/>
  <c r="G352" i="85"/>
  <c r="E352" i="85"/>
  <c r="D353" i="85"/>
  <c r="I354" i="62" l="1"/>
  <c r="E355" i="62" s="1"/>
  <c r="H354" i="62"/>
  <c r="F354" i="62" s="1"/>
  <c r="G353" i="85"/>
  <c r="E353" i="85"/>
  <c r="D354" i="85"/>
  <c r="H352" i="85"/>
  <c r="F352" i="85" s="1"/>
  <c r="I352" i="85"/>
  <c r="I355" i="62" l="1"/>
  <c r="E356" i="62" s="1"/>
  <c r="H355" i="62"/>
  <c r="F355" i="62" s="1"/>
  <c r="D355" i="85"/>
  <c r="G354" i="85"/>
  <c r="E354" i="85"/>
  <c r="I353" i="85"/>
  <c r="H353" i="85"/>
  <c r="F353" i="85" s="1"/>
  <c r="H356" i="62" l="1"/>
  <c r="F356" i="62" s="1"/>
  <c r="I356" i="62"/>
  <c r="E357" i="62" s="1"/>
  <c r="I354" i="85"/>
  <c r="H354" i="85"/>
  <c r="F354" i="85"/>
  <c r="E355" i="85"/>
  <c r="G355" i="85"/>
  <c r="D356" i="85"/>
  <c r="H357" i="62" l="1"/>
  <c r="F357" i="62" s="1"/>
  <c r="I357" i="62"/>
  <c r="E358" i="62" s="1"/>
  <c r="G356" i="85"/>
  <c r="E356" i="85"/>
  <c r="D357" i="85"/>
  <c r="I355" i="85"/>
  <c r="H355" i="85"/>
  <c r="F355" i="85" s="1"/>
  <c r="H358" i="62" l="1"/>
  <c r="F358" i="62" s="1"/>
  <c r="I358" i="62"/>
  <c r="E359" i="62" s="1"/>
  <c r="G357" i="85"/>
  <c r="E357" i="85"/>
  <c r="D358" i="85"/>
  <c r="H356" i="85"/>
  <c r="F356" i="85" s="1"/>
  <c r="I356" i="85"/>
  <c r="I359" i="62" l="1"/>
  <c r="E360" i="62" s="1"/>
  <c r="H359" i="62"/>
  <c r="F359" i="62" s="1"/>
  <c r="I357" i="85"/>
  <c r="H357" i="85"/>
  <c r="F357" i="85" s="1"/>
  <c r="D359" i="85"/>
  <c r="G358" i="85"/>
  <c r="E358" i="85"/>
  <c r="I360" i="62" l="1"/>
  <c r="E361" i="62" s="1"/>
  <c r="H360" i="62"/>
  <c r="F360" i="62" s="1"/>
  <c r="I358" i="85"/>
  <c r="H358" i="85"/>
  <c r="F358" i="85"/>
  <c r="E359" i="85"/>
  <c r="D360" i="85"/>
  <c r="G359" i="85"/>
  <c r="H361" i="62" l="1"/>
  <c r="F361" i="62" s="1"/>
  <c r="I361" i="62"/>
  <c r="B7" i="62" s="1"/>
  <c r="G360" i="85"/>
  <c r="E360" i="85"/>
  <c r="D361" i="85"/>
  <c r="I359" i="85"/>
  <c r="H359" i="85"/>
  <c r="F359" i="85" s="1"/>
  <c r="G361" i="85" l="1"/>
  <c r="E361" i="85"/>
  <c r="H360" i="85"/>
  <c r="F360" i="85" s="1"/>
  <c r="I360" i="85"/>
  <c r="I361" i="85" l="1"/>
  <c r="B7" i="85" s="1"/>
  <c r="H361" i="85"/>
  <c r="F361" i="85"/>
  <c r="G15" i="74" l="1"/>
  <c r="F15" i="74"/>
  <c r="B4" i="74"/>
  <c r="G12" i="73"/>
  <c r="H12" i="73" s="1"/>
  <c r="G9" i="73"/>
  <c r="H8" i="73"/>
  <c r="G8" i="73"/>
  <c r="G7" i="73"/>
  <c r="H6" i="73"/>
  <c r="G6" i="73"/>
  <c r="G5" i="73"/>
  <c r="H4" i="73"/>
  <c r="G4" i="73"/>
  <c r="G3" i="73"/>
  <c r="H2" i="73"/>
  <c r="G2" i="73"/>
  <c r="B17" i="69" l="1"/>
  <c r="B13" i="42"/>
  <c r="B13" i="67"/>
  <c r="B28" i="63" l="1"/>
  <c r="D2" i="57" l="1"/>
  <c r="F44" i="70" l="1"/>
  <c r="E43" i="70"/>
  <c r="E46" i="70" s="1"/>
  <c r="G42" i="70"/>
  <c r="H42" i="70" s="1"/>
  <c r="I42" i="70" s="1"/>
  <c r="J42" i="70" s="1"/>
  <c r="K42" i="70" s="1"/>
  <c r="L42" i="70" s="1"/>
  <c r="M42" i="70" s="1"/>
  <c r="N42" i="70" s="1"/>
  <c r="O42" i="70" s="1"/>
  <c r="F32" i="70"/>
  <c r="F34" i="70" s="1"/>
  <c r="E31" i="70"/>
  <c r="E34" i="70" s="1"/>
  <c r="G30" i="70"/>
  <c r="H30" i="70" s="1"/>
  <c r="I30" i="70" s="1"/>
  <c r="J30" i="70" s="1"/>
  <c r="K30" i="70" s="1"/>
  <c r="L30" i="70" s="1"/>
  <c r="M30" i="70" s="1"/>
  <c r="N30" i="70" s="1"/>
  <c r="O30" i="70" s="1"/>
  <c r="F4" i="70"/>
  <c r="F6" i="70" s="1"/>
  <c r="E3" i="70"/>
  <c r="E6" i="70" s="1"/>
  <c r="G2" i="70"/>
  <c r="H2" i="70" s="1"/>
  <c r="I2" i="70" s="1"/>
  <c r="J2" i="70" s="1"/>
  <c r="K2" i="70" s="1"/>
  <c r="L2" i="70" s="1"/>
  <c r="M2" i="70" s="1"/>
  <c r="N2" i="70" s="1"/>
  <c r="O2" i="70" s="1"/>
  <c r="E14" i="67"/>
  <c r="E9" i="67"/>
  <c r="E10" i="67" s="1"/>
  <c r="E13" i="67" s="1"/>
  <c r="E16" i="67" s="1"/>
  <c r="F7" i="67"/>
  <c r="F6" i="67"/>
  <c r="F4" i="67"/>
  <c r="F5" i="67" s="1"/>
  <c r="F3" i="67"/>
  <c r="G3" i="67" s="1"/>
  <c r="G2" i="67"/>
  <c r="G6" i="67" s="1"/>
  <c r="D3" i="62"/>
  <c r="E24" i="60"/>
  <c r="F24" i="60" s="1"/>
  <c r="G24" i="60" s="1"/>
  <c r="H24" i="60" s="1"/>
  <c r="E18" i="60"/>
  <c r="D12" i="60"/>
  <c r="G2" i="58"/>
  <c r="H1" i="58"/>
  <c r="H3" i="58" s="1"/>
  <c r="D19" i="57"/>
  <c r="G2" i="52"/>
  <c r="E3" i="51"/>
  <c r="E4" i="51" s="1"/>
  <c r="E5" i="51" s="1"/>
  <c r="E6" i="51" s="1"/>
  <c r="E7" i="51" s="1"/>
  <c r="E8" i="51" s="1"/>
  <c r="E9" i="51" s="1"/>
  <c r="E10" i="51" s="1"/>
  <c r="E11" i="51" s="1"/>
  <c r="E12" i="51" s="1"/>
  <c r="E13" i="51" s="1"/>
  <c r="E14" i="51" s="1"/>
  <c r="E15" i="51" s="1"/>
  <c r="E16" i="51" s="1"/>
  <c r="E17" i="51" s="1"/>
  <c r="E18" i="51" s="1"/>
  <c r="E19" i="51" s="1"/>
  <c r="E20" i="51" s="1"/>
  <c r="E21" i="51" s="1"/>
  <c r="E22" i="51" s="1"/>
  <c r="E23" i="51" s="1"/>
  <c r="E24" i="51" s="1"/>
  <c r="E25" i="51" s="1"/>
  <c r="E26" i="51" s="1"/>
  <c r="E27" i="51" s="1"/>
  <c r="E28" i="51" s="1"/>
  <c r="E29" i="51" s="1"/>
  <c r="E30" i="51" s="1"/>
  <c r="E31" i="51" s="1"/>
  <c r="E32" i="51" s="1"/>
  <c r="E33" i="51" s="1"/>
  <c r="E34" i="51" s="1"/>
  <c r="K2" i="51"/>
  <c r="F4" i="42"/>
  <c r="G4" i="67" l="1"/>
  <c r="H4" i="67" s="1"/>
  <c r="I4" i="67" s="1"/>
  <c r="J4" i="67" s="1"/>
  <c r="F13" i="67"/>
  <c r="F16" i="67" s="1"/>
  <c r="F8" i="67"/>
  <c r="G32" i="70"/>
  <c r="F46" i="70"/>
  <c r="G4" i="70"/>
  <c r="H3" i="67"/>
  <c r="H2" i="67"/>
  <c r="G7" i="67"/>
  <c r="D4" i="62"/>
  <c r="I1" i="58"/>
  <c r="H2" i="58"/>
  <c r="G3" i="58"/>
  <c r="G4" i="58" s="1"/>
  <c r="H2" i="52"/>
  <c r="G5" i="67" l="1"/>
  <c r="G13" i="67" s="1"/>
  <c r="G16" i="67" s="1"/>
  <c r="H32" i="70"/>
  <c r="G34" i="70"/>
  <c r="G46" i="70"/>
  <c r="G6" i="70"/>
  <c r="H4" i="70"/>
  <c r="H5" i="67"/>
  <c r="I3" i="67"/>
  <c r="H7" i="67"/>
  <c r="I2" i="67"/>
  <c r="H6" i="67"/>
  <c r="D5" i="62"/>
  <c r="H4" i="58"/>
  <c r="I2" i="58"/>
  <c r="I3" i="58"/>
  <c r="J1" i="58"/>
  <c r="I2" i="52"/>
  <c r="J2" i="52" s="1"/>
  <c r="K2" i="52" s="1"/>
  <c r="L2" i="52" s="1"/>
  <c r="M2" i="52" s="1"/>
  <c r="G8" i="67" l="1"/>
  <c r="H34" i="70"/>
  <c r="I32" i="70"/>
  <c r="H6" i="70"/>
  <c r="I4" i="70"/>
  <c r="H46" i="70"/>
  <c r="I7" i="67"/>
  <c r="J2" i="67"/>
  <c r="I6" i="67"/>
  <c r="I5" i="67"/>
  <c r="J3" i="67"/>
  <c r="H13" i="67"/>
  <c r="H8" i="67"/>
  <c r="D6" i="62"/>
  <c r="J3" i="58"/>
  <c r="K1" i="58"/>
  <c r="I4" i="58"/>
  <c r="J2" i="58"/>
  <c r="F2" i="42"/>
  <c r="G2" i="42" s="1"/>
  <c r="H2" i="42" s="1"/>
  <c r="I2" i="42" s="1"/>
  <c r="J2" i="42" s="1"/>
  <c r="G3" i="42"/>
  <c r="H3" i="42" s="1"/>
  <c r="I3" i="42" s="1"/>
  <c r="J3" i="42" s="1"/>
  <c r="E15" i="42"/>
  <c r="E10" i="42"/>
  <c r="F5" i="42"/>
  <c r="G4" i="42"/>
  <c r="I34" i="70" l="1"/>
  <c r="J32" i="70"/>
  <c r="I6" i="70"/>
  <c r="J4" i="70"/>
  <c r="I46" i="70"/>
  <c r="H16" i="67"/>
  <c r="J11" i="67"/>
  <c r="J5" i="67"/>
  <c r="I13" i="67"/>
  <c r="I16" i="67" s="1"/>
  <c r="I8" i="67"/>
  <c r="J7" i="67"/>
  <c r="J6" i="67"/>
  <c r="J15" i="67" s="1"/>
  <c r="D7" i="62"/>
  <c r="J4" i="58"/>
  <c r="K2" i="58"/>
  <c r="K3" i="58"/>
  <c r="L1" i="58"/>
  <c r="F6" i="42"/>
  <c r="F14" i="42" s="1"/>
  <c r="G5" i="42"/>
  <c r="H5" i="42" s="1"/>
  <c r="I5" i="42" s="1"/>
  <c r="J5" i="42" s="1"/>
  <c r="G6" i="42"/>
  <c r="G14" i="42" s="1"/>
  <c r="G7" i="42"/>
  <c r="F7" i="42"/>
  <c r="F8" i="42"/>
  <c r="G8" i="42"/>
  <c r="E11" i="42"/>
  <c r="E14" i="42" s="1"/>
  <c r="E17" i="42" s="1"/>
  <c r="H4" i="42"/>
  <c r="J34" i="70" l="1"/>
  <c r="K32" i="70"/>
  <c r="J46" i="70"/>
  <c r="K4" i="70"/>
  <c r="J6" i="70"/>
  <c r="J8" i="67"/>
  <c r="J12" i="67"/>
  <c r="J13" i="67" s="1"/>
  <c r="D8" i="62"/>
  <c r="L2" i="58"/>
  <c r="K4" i="58"/>
  <c r="L3" i="58"/>
  <c r="M1" i="58"/>
  <c r="G9" i="42"/>
  <c r="F9" i="42"/>
  <c r="F17" i="42"/>
  <c r="H7" i="42"/>
  <c r="H8" i="42"/>
  <c r="I4" i="42"/>
  <c r="H6" i="42"/>
  <c r="G17" i="42"/>
  <c r="K34" i="70" l="1"/>
  <c r="L32" i="70"/>
  <c r="K6" i="70"/>
  <c r="L4" i="70"/>
  <c r="K46" i="70"/>
  <c r="J16" i="67"/>
  <c r="D9" i="62"/>
  <c r="N1" i="58"/>
  <c r="M3" i="58"/>
  <c r="M2" i="58"/>
  <c r="L4" i="58"/>
  <c r="I6" i="42"/>
  <c r="J4" i="42"/>
  <c r="H9" i="42"/>
  <c r="H14" i="42"/>
  <c r="H17" i="42" s="1"/>
  <c r="I7" i="42"/>
  <c r="I8" i="42"/>
  <c r="A33" i="32"/>
  <c r="L34" i="70" l="1"/>
  <c r="M32" i="70"/>
  <c r="L46" i="70"/>
  <c r="L6" i="70"/>
  <c r="M4" i="70"/>
  <c r="D10" i="62"/>
  <c r="N2" i="58"/>
  <c r="M4" i="58"/>
  <c r="O1" i="58"/>
  <c r="N3" i="58"/>
  <c r="J6" i="42"/>
  <c r="J12" i="42"/>
  <c r="J13" i="42" s="1"/>
  <c r="J14" i="42" s="1"/>
  <c r="J7" i="42"/>
  <c r="J16" i="42" s="1"/>
  <c r="J8" i="42"/>
  <c r="I14" i="42"/>
  <c r="I17" i="42" s="1"/>
  <c r="I9" i="42"/>
  <c r="N32" i="70" l="1"/>
  <c r="M34" i="70"/>
  <c r="N4" i="70"/>
  <c r="M6" i="70"/>
  <c r="M46" i="70"/>
  <c r="D11" i="62"/>
  <c r="P1" i="58"/>
  <c r="P3" i="58" s="1"/>
  <c r="O3" i="58"/>
  <c r="N4" i="58"/>
  <c r="O2" i="58"/>
  <c r="J9" i="42"/>
  <c r="J17" i="42"/>
  <c r="O32" i="70" l="1"/>
  <c r="N34" i="70"/>
  <c r="N46" i="70"/>
  <c r="O4" i="70"/>
  <c r="N6" i="70"/>
  <c r="D12" i="62"/>
  <c r="O4" i="58"/>
  <c r="P2" i="58"/>
  <c r="P4" i="58" s="1"/>
  <c r="O33" i="70" l="1"/>
  <c r="O34" i="70" s="1"/>
  <c r="B35" i="70" s="1"/>
  <c r="O46" i="70"/>
  <c r="O5" i="70"/>
  <c r="O6" i="70" s="1"/>
  <c r="D13" i="62"/>
  <c r="D10" i="70" l="1"/>
  <c r="D22" i="70"/>
  <c r="D13" i="70"/>
  <c r="D14" i="62"/>
  <c r="D15" i="62" l="1"/>
  <c r="D16" i="62" l="1"/>
  <c r="D17" i="62" l="1"/>
  <c r="D18" i="62" l="1"/>
  <c r="D19" i="62" l="1"/>
  <c r="D20" i="62" l="1"/>
  <c r="D21" i="62" l="1"/>
  <c r="D22" i="62" l="1"/>
  <c r="D23" i="62" l="1"/>
  <c r="D24" i="62" l="1"/>
  <c r="D25" i="62" l="1"/>
  <c r="D26" i="62" l="1"/>
  <c r="D27" i="62" l="1"/>
  <c r="D28" i="62" l="1"/>
  <c r="D29" i="62" l="1"/>
  <c r="D30" i="62" l="1"/>
  <c r="D31" i="62" l="1"/>
  <c r="D32" i="62" l="1"/>
  <c r="D33" i="62" l="1"/>
  <c r="D34" i="62" l="1"/>
  <c r="D35" i="62" l="1"/>
  <c r="D36" i="62" l="1"/>
  <c r="D37" i="62" l="1"/>
  <c r="D38" i="62" l="1"/>
  <c r="D39" i="62" l="1"/>
  <c r="D40" i="62" l="1"/>
  <c r="D41" i="62" l="1"/>
  <c r="D42" i="62" l="1"/>
  <c r="D43" i="62" l="1"/>
  <c r="D44" i="62" l="1"/>
  <c r="D45" i="62" l="1"/>
  <c r="D46" i="62" l="1"/>
  <c r="D47" i="62" l="1"/>
  <c r="D48" i="62" l="1"/>
  <c r="D49" i="62" l="1"/>
  <c r="D50" i="62" l="1"/>
  <c r="D51" i="62" l="1"/>
  <c r="D52" i="62" l="1"/>
  <c r="D53" i="62" l="1"/>
  <c r="D54" i="62" l="1"/>
  <c r="D55" i="62" l="1"/>
  <c r="D56" i="62" l="1"/>
  <c r="D57" i="62" l="1"/>
  <c r="D58" i="62" l="1"/>
  <c r="D59" i="62" l="1"/>
  <c r="D60" i="62" l="1"/>
  <c r="D61" i="62" l="1"/>
  <c r="D62" i="62" l="1"/>
  <c r="D63" i="62" l="1"/>
  <c r="D64" i="62" l="1"/>
  <c r="D65" i="62" l="1"/>
  <c r="D66" i="62" l="1"/>
  <c r="D67" i="62" l="1"/>
  <c r="D68" i="62" l="1"/>
  <c r="D69" i="62" l="1"/>
  <c r="D70" i="62" l="1"/>
  <c r="D71" i="62" l="1"/>
  <c r="D72" i="62" l="1"/>
  <c r="D73" i="62" l="1"/>
  <c r="D74" i="62" l="1"/>
  <c r="D75" i="62" l="1"/>
  <c r="D76" i="62" l="1"/>
  <c r="D77" i="62" l="1"/>
  <c r="D78" i="62" l="1"/>
  <c r="D79" i="62" l="1"/>
  <c r="D80" i="62" l="1"/>
  <c r="D81" i="62" l="1"/>
  <c r="D82" i="62" l="1"/>
  <c r="D83" i="62" l="1"/>
  <c r="D84" i="62" l="1"/>
  <c r="D85" i="62" l="1"/>
  <c r="D86" i="62" l="1"/>
  <c r="D87" i="62" l="1"/>
  <c r="D88" i="62" l="1"/>
  <c r="D89" i="62" l="1"/>
  <c r="D90" i="62" l="1"/>
  <c r="D91" i="62" l="1"/>
  <c r="D92" i="62" l="1"/>
  <c r="D93" i="62" l="1"/>
  <c r="D94" i="62" l="1"/>
  <c r="D95" i="62" l="1"/>
  <c r="D96" i="62" l="1"/>
  <c r="D97" i="62" l="1"/>
  <c r="D98" i="62" l="1"/>
  <c r="D99" i="62" l="1"/>
  <c r="D100" i="62" l="1"/>
  <c r="D101" i="62" l="1"/>
  <c r="D102" i="62" l="1"/>
  <c r="D103" i="62" l="1"/>
  <c r="D104" i="62" l="1"/>
  <c r="D105" i="62" l="1"/>
  <c r="D106" i="62" l="1"/>
  <c r="D107" i="62" l="1"/>
  <c r="D108" i="62" l="1"/>
  <c r="D109" i="62" l="1"/>
  <c r="D110" i="62" l="1"/>
  <c r="D111" i="62" l="1"/>
  <c r="D112" i="62" l="1"/>
  <c r="D113" i="62" l="1"/>
  <c r="D114" i="62" l="1"/>
  <c r="D115" i="62" l="1"/>
  <c r="D116" i="62" l="1"/>
  <c r="D117" i="62" l="1"/>
  <c r="D118" i="62" l="1"/>
  <c r="D119" i="62" l="1"/>
  <c r="D120" i="62" l="1"/>
  <c r="D121" i="62" l="1"/>
  <c r="D122" i="62" l="1"/>
  <c r="D123" i="62" l="1"/>
  <c r="D124" i="62" l="1"/>
  <c r="D125" i="62" l="1"/>
  <c r="D126" i="62" l="1"/>
  <c r="D127" i="62" l="1"/>
  <c r="D128" i="62" l="1"/>
  <c r="D129" i="62" l="1"/>
  <c r="D130" i="62" l="1"/>
  <c r="D131" i="62" l="1"/>
  <c r="D132" i="62" l="1"/>
  <c r="D133" i="62" l="1"/>
  <c r="D134" i="62" l="1"/>
  <c r="D135" i="62" l="1"/>
  <c r="D136" i="62" l="1"/>
  <c r="D137" i="62" l="1"/>
  <c r="D138" i="62" l="1"/>
  <c r="D139" i="62" l="1"/>
  <c r="D140" i="62" l="1"/>
  <c r="D141" i="62" l="1"/>
  <c r="D142" i="62" l="1"/>
  <c r="D143" i="62" l="1"/>
  <c r="D144" i="62" l="1"/>
  <c r="D145" i="62" l="1"/>
  <c r="D146" i="62" l="1"/>
  <c r="D147" i="62" l="1"/>
  <c r="D148" i="62" l="1"/>
  <c r="D149" i="62" l="1"/>
  <c r="D150" i="62" l="1"/>
  <c r="D151" i="62" l="1"/>
  <c r="D152" i="62" l="1"/>
  <c r="D153" i="62" l="1"/>
  <c r="D154" i="62" l="1"/>
  <c r="D155" i="62" l="1"/>
  <c r="D156" i="62" l="1"/>
  <c r="D157" i="62" l="1"/>
  <c r="D158" i="62" l="1"/>
  <c r="D159" i="62" l="1"/>
  <c r="D160" i="62" l="1"/>
  <c r="D161" i="62" l="1"/>
  <c r="D162" i="62" l="1"/>
  <c r="D163" i="62" l="1"/>
  <c r="D164" i="62" l="1"/>
  <c r="D165" i="62" l="1"/>
  <c r="D166" i="62" l="1"/>
  <c r="D167" i="62" l="1"/>
  <c r="D168" i="62" l="1"/>
  <c r="D169" i="62" l="1"/>
  <c r="D170" i="62" l="1"/>
  <c r="D171" i="62" l="1"/>
  <c r="D172" i="62" l="1"/>
  <c r="D173" i="62" l="1"/>
  <c r="D174" i="62" l="1"/>
  <c r="D175" i="62" l="1"/>
  <c r="D176" i="62" l="1"/>
  <c r="D177" i="62" l="1"/>
  <c r="D178" i="62" l="1"/>
  <c r="D179" i="62" l="1"/>
  <c r="D180" i="62" l="1"/>
  <c r="D181" i="62" l="1"/>
  <c r="D182" i="62" l="1"/>
  <c r="D183" i="62" l="1"/>
  <c r="D184" i="62" l="1"/>
  <c r="D185" i="62" l="1"/>
  <c r="D186" i="62" l="1"/>
  <c r="D187" i="62" l="1"/>
  <c r="D188" i="62" l="1"/>
  <c r="D189" i="62" l="1"/>
  <c r="D190" i="62" l="1"/>
  <c r="D191" i="62" l="1"/>
  <c r="D192" i="62" l="1"/>
  <c r="D193" i="62" l="1"/>
  <c r="D194" i="62" l="1"/>
  <c r="D195" i="62" l="1"/>
  <c r="D196" i="62" l="1"/>
  <c r="D197" i="62" l="1"/>
  <c r="D198" i="62" l="1"/>
  <c r="D199" i="62" l="1"/>
  <c r="D200" i="62" l="1"/>
  <c r="D201" i="62" l="1"/>
  <c r="D202" i="62" l="1"/>
  <c r="D203" i="62" l="1"/>
  <c r="D204" i="62" l="1"/>
  <c r="D205" i="62" l="1"/>
  <c r="D206" i="62" l="1"/>
  <c r="D207" i="62" l="1"/>
  <c r="D208" i="62" l="1"/>
  <c r="D209" i="62" l="1"/>
  <c r="D210" i="62" l="1"/>
  <c r="D211" i="62" l="1"/>
  <c r="D212" i="62" l="1"/>
  <c r="D213" i="62" l="1"/>
  <c r="D214" i="62" l="1"/>
  <c r="D215" i="62" l="1"/>
  <c r="D216" i="62" l="1"/>
  <c r="D217" i="62" l="1"/>
  <c r="D218" i="62" l="1"/>
  <c r="D219" i="62" l="1"/>
  <c r="D220" i="62" l="1"/>
  <c r="D221" i="62" l="1"/>
  <c r="D222" i="62" l="1"/>
  <c r="D223" i="62" l="1"/>
  <c r="D224" i="62" l="1"/>
  <c r="D225" i="62" l="1"/>
  <c r="D226" i="62" l="1"/>
  <c r="D227" i="62" l="1"/>
  <c r="D228" i="62" l="1"/>
  <c r="D229" i="62" l="1"/>
  <c r="D230" i="62" l="1"/>
  <c r="D231" i="62" l="1"/>
  <c r="D232" i="62" l="1"/>
  <c r="D233" i="62" l="1"/>
  <c r="D234" i="62" l="1"/>
  <c r="D235" i="62" l="1"/>
  <c r="D236" i="62" l="1"/>
  <c r="D237" i="62" l="1"/>
  <c r="D238" i="62" l="1"/>
  <c r="D239" i="62" l="1"/>
  <c r="D240" i="62" l="1"/>
  <c r="D241" i="62" l="1"/>
  <c r="D242" i="62" l="1"/>
  <c r="D243" i="62" l="1"/>
  <c r="D244" i="62" l="1"/>
  <c r="D245" i="62" l="1"/>
  <c r="D246" i="62" l="1"/>
  <c r="D247" i="62" l="1"/>
  <c r="D248" i="62" l="1"/>
  <c r="D249" i="62" l="1"/>
  <c r="D250" i="62" l="1"/>
  <c r="D251" i="62" l="1"/>
  <c r="D252" i="62" l="1"/>
  <c r="D253" i="62" l="1"/>
  <c r="D254" i="62" l="1"/>
  <c r="D255" i="62" l="1"/>
  <c r="D256" i="62" l="1"/>
  <c r="D257" i="62" l="1"/>
  <c r="D258" i="62" l="1"/>
  <c r="D259" i="62" l="1"/>
  <c r="D260" i="62" l="1"/>
  <c r="D261" i="62" l="1"/>
  <c r="D262" i="62" l="1"/>
  <c r="D263" i="62" l="1"/>
  <c r="D264" i="62" l="1"/>
  <c r="D265" i="62" l="1"/>
  <c r="D266" i="62" l="1"/>
  <c r="D267" i="62" l="1"/>
  <c r="D268" i="62" l="1"/>
  <c r="D269" i="62" l="1"/>
  <c r="D270" i="62" l="1"/>
  <c r="D271" i="62" l="1"/>
  <c r="D272" i="62" l="1"/>
  <c r="D273" i="62" l="1"/>
  <c r="D274" i="62" l="1"/>
  <c r="D275" i="62" l="1"/>
  <c r="D276" i="62" l="1"/>
  <c r="D277" i="62" l="1"/>
  <c r="D278" i="62" l="1"/>
  <c r="D279" i="62" l="1"/>
  <c r="D280" i="62" l="1"/>
  <c r="D281" i="62" l="1"/>
  <c r="D282" i="62" l="1"/>
  <c r="D283" i="62" l="1"/>
  <c r="D284" i="62" l="1"/>
  <c r="D285" i="62" l="1"/>
  <c r="D286" i="62" l="1"/>
  <c r="D287" i="62" l="1"/>
  <c r="D288" i="62" l="1"/>
  <c r="D289" i="62" l="1"/>
  <c r="D290" i="62" l="1"/>
  <c r="D291" i="62" l="1"/>
  <c r="D292" i="62" l="1"/>
  <c r="D293" i="62" l="1"/>
  <c r="D294" i="62" l="1"/>
  <c r="D295" i="62" l="1"/>
  <c r="D296" i="62" l="1"/>
  <c r="D297" i="62" l="1"/>
  <c r="D298" i="62" l="1"/>
  <c r="D299" i="62" l="1"/>
  <c r="D300" i="62" l="1"/>
  <c r="D301" i="62" l="1"/>
  <c r="D302" i="62" l="1"/>
  <c r="D303" i="62" l="1"/>
  <c r="D304" i="62" l="1"/>
  <c r="D305" i="62" l="1"/>
  <c r="D306" i="62" l="1"/>
  <c r="D307" i="62" l="1"/>
  <c r="D308" i="62" l="1"/>
  <c r="D309" i="62" l="1"/>
  <c r="D310" i="62" l="1"/>
  <c r="D311" i="62" l="1"/>
  <c r="D312" i="62" l="1"/>
  <c r="D313" i="62" l="1"/>
  <c r="D314" i="62" l="1"/>
  <c r="D315" i="62" l="1"/>
  <c r="D316" i="62" l="1"/>
  <c r="D317" i="62" l="1"/>
  <c r="D318" i="62" l="1"/>
  <c r="D319" i="62" l="1"/>
  <c r="D320" i="62" l="1"/>
  <c r="D321" i="62" l="1"/>
  <c r="D322" i="62" l="1"/>
  <c r="D323" i="62" l="1"/>
  <c r="D324" i="62" l="1"/>
  <c r="D325" i="62" l="1"/>
  <c r="D326" i="62" l="1"/>
  <c r="D327" i="62" l="1"/>
  <c r="D328" i="62" l="1"/>
  <c r="D329" i="62" l="1"/>
  <c r="D330" i="62" l="1"/>
  <c r="D331" i="62" l="1"/>
  <c r="D332" i="62" l="1"/>
  <c r="D333" i="62" l="1"/>
  <c r="D334" i="62" l="1"/>
  <c r="D335" i="62" l="1"/>
  <c r="D336" i="62" l="1"/>
  <c r="D337" i="62" l="1"/>
  <c r="D338" i="62" l="1"/>
  <c r="D339" i="62" l="1"/>
  <c r="D340" i="62" l="1"/>
  <c r="D341" i="62" l="1"/>
  <c r="D342" i="62" l="1"/>
  <c r="D343" i="62" l="1"/>
  <c r="D344" i="62" l="1"/>
  <c r="D345" i="62" l="1"/>
  <c r="D346" i="62" l="1"/>
  <c r="D347" i="62" l="1"/>
  <c r="D348" i="62" l="1"/>
  <c r="D349" i="62" l="1"/>
  <c r="D350" i="62" l="1"/>
  <c r="D351" i="62" l="1"/>
  <c r="D352" i="62" l="1"/>
  <c r="D353" i="62" l="1"/>
  <c r="D354" i="62" l="1"/>
  <c r="D355" i="62" l="1"/>
  <c r="D356" i="62" l="1"/>
  <c r="D357" i="62" l="1"/>
  <c r="D358" i="62" l="1"/>
  <c r="D359" i="62" l="1"/>
  <c r="D360" i="62" l="1"/>
  <c r="D361" i="62" l="1"/>
</calcChain>
</file>

<file path=xl/sharedStrings.xml><?xml version="1.0" encoding="utf-8"?>
<sst xmlns="http://schemas.openxmlformats.org/spreadsheetml/2006/main" count="1379" uniqueCount="410">
  <si>
    <t>Gross Potential Rent</t>
  </si>
  <si>
    <t>Credit Loss</t>
  </si>
  <si>
    <t>Percentage Rent</t>
  </si>
  <si>
    <t>Net Operating Income</t>
  </si>
  <si>
    <t>Cash Flow Before Debt Service</t>
  </si>
  <si>
    <t>Cash Flow After Debt Service</t>
  </si>
  <si>
    <t>Market Rent/SF</t>
  </si>
  <si>
    <t>Net Leasable Area</t>
  </si>
  <si>
    <t>GPR Less Vacancy</t>
  </si>
  <si>
    <t>Leasing Commission</t>
  </si>
  <si>
    <t>Tenant Improvements</t>
  </si>
  <si>
    <t>Leasing Commissions</t>
  </si>
  <si>
    <t>Amortization</t>
  </si>
  <si>
    <t>Purchase Price</t>
  </si>
  <si>
    <t>Sale Price</t>
  </si>
  <si>
    <t>Discount Rate</t>
  </si>
  <si>
    <t>Acquisition</t>
  </si>
  <si>
    <t>Property Value</t>
  </si>
  <si>
    <t>Loan Amount</t>
  </si>
  <si>
    <t>LTV</t>
  </si>
  <si>
    <t>LTC</t>
  </si>
  <si>
    <t>Closing Costs</t>
  </si>
  <si>
    <t>Annual Net Operating Income</t>
  </si>
  <si>
    <t>DSCR</t>
  </si>
  <si>
    <t>Debt Yield</t>
  </si>
  <si>
    <t>Interest Rate</t>
  </si>
  <si>
    <t>Annual Loan Payment</t>
  </si>
  <si>
    <t>Loan Constant</t>
  </si>
  <si>
    <t>Loan Term</t>
  </si>
  <si>
    <t>CUMIPMT</t>
  </si>
  <si>
    <t>CUMPRINC</t>
  </si>
  <si>
    <t>IPMT</t>
  </si>
  <si>
    <t>PPMT</t>
  </si>
  <si>
    <t>Function</t>
  </si>
  <si>
    <t>Question</t>
  </si>
  <si>
    <t>Solution</t>
  </si>
  <si>
    <t>Going-In Cap Rate</t>
  </si>
  <si>
    <t>VLOOKUP</t>
  </si>
  <si>
    <t>HLOOKUP</t>
  </si>
  <si>
    <t>Tenant</t>
  </si>
  <si>
    <t>Year</t>
  </si>
  <si>
    <t>Tenant Name</t>
  </si>
  <si>
    <t>Base Rent</t>
  </si>
  <si>
    <t>Lease Start</t>
  </si>
  <si>
    <t>Lease End</t>
  </si>
  <si>
    <t>Term</t>
  </si>
  <si>
    <t>Tom Glavine</t>
  </si>
  <si>
    <t>Greg Maddux</t>
  </si>
  <si>
    <t>Andres Galarraga</t>
  </si>
  <si>
    <t>Anfernee Hardaway</t>
  </si>
  <si>
    <t>Square Feet</t>
  </si>
  <si>
    <t>Unit Type</t>
  </si>
  <si>
    <t>1BR - 1BA</t>
  </si>
  <si>
    <t>2BR - 1BA</t>
  </si>
  <si>
    <t>2BR - 2BA</t>
  </si>
  <si>
    <t>3BR - 2BA</t>
  </si>
  <si>
    <t>IF</t>
  </si>
  <si>
    <t>SUMIF</t>
  </si>
  <si>
    <t>SUMIFS</t>
  </si>
  <si>
    <t>COUNTIF</t>
  </si>
  <si>
    <t>COUNTIFS</t>
  </si>
  <si>
    <t>AVERAGEIF</t>
  </si>
  <si>
    <t>AVERAGEIFS</t>
  </si>
  <si>
    <t>AND</t>
  </si>
  <si>
    <t>OR</t>
  </si>
  <si>
    <t>Unit ID</t>
  </si>
  <si>
    <t>How many 3BR - 2BA units exist at the property?</t>
  </si>
  <si>
    <t>SUMPRODUCT</t>
  </si>
  <si>
    <t>Rent</t>
  </si>
  <si>
    <t>SF</t>
  </si>
  <si>
    <t>Land Value/SF</t>
  </si>
  <si>
    <t>ROUNDUP</t>
  </si>
  <si>
    <t>ROUNDDOWN</t>
  </si>
  <si>
    <t>ROUND</t>
  </si>
  <si>
    <t>Goal Seek</t>
  </si>
  <si>
    <t>1-Variable Data Table</t>
  </si>
  <si>
    <t>2-Variable Data Table</t>
  </si>
  <si>
    <t>Conditional Formatting</t>
  </si>
  <si>
    <t>Scenario Analysis</t>
  </si>
  <si>
    <t>NOI</t>
  </si>
  <si>
    <t>Net Unlevered Cash Flow</t>
  </si>
  <si>
    <t>NOI Growth</t>
  </si>
  <si>
    <t>Exit Cap Rate</t>
  </si>
  <si>
    <t>Sensitize the Unlevered IRR based on NOI growth and exit cap rate</t>
  </si>
  <si>
    <t>Sensitize the Unlevered IRR based on NOI Growth</t>
  </si>
  <si>
    <t>***Use the data below for the data table exercises***</t>
  </si>
  <si>
    <t>Unit Number</t>
  </si>
  <si>
    <t>Loan Constraints</t>
  </si>
  <si>
    <t>Size Loan By</t>
  </si>
  <si>
    <t>Year 1 NOI</t>
  </si>
  <si>
    <t>Appraised Value</t>
  </si>
  <si>
    <t>Loan Terms</t>
  </si>
  <si>
    <t>Interest Only Period</t>
  </si>
  <si>
    <t>Rate</t>
  </si>
  <si>
    <t>Month</t>
  </si>
  <si>
    <t>Beginning Balance</t>
  </si>
  <si>
    <t>Principal Payment</t>
  </si>
  <si>
    <t>Interest Payment</t>
  </si>
  <si>
    <t>Ending Balance</t>
  </si>
  <si>
    <t>Balloon Payment</t>
  </si>
  <si>
    <t>Pro Rata Share</t>
  </si>
  <si>
    <t>Use the floor plan to the right to calculate the pro rata share</t>
  </si>
  <si>
    <t>COMMON AREA HALLWAY - 2,500 SF</t>
  </si>
  <si>
    <t>The total reimbursable expenses for the shopping center are</t>
  </si>
  <si>
    <t>the landlord if they are on a NNN lease?</t>
  </si>
  <si>
    <t>the landlord if they are on a FSG lease?</t>
  </si>
  <si>
    <t>Base Year Stop</t>
  </si>
  <si>
    <t>Base Year Expense</t>
  </si>
  <si>
    <t>Total Reimbursement to Landlord</t>
  </si>
  <si>
    <t>Total Leasing Commission</t>
  </si>
  <si>
    <t>Tenant Improvement (TI) Allowance</t>
  </si>
  <si>
    <t>Total TI Allowance</t>
  </si>
  <si>
    <t>TI Allowance/SF</t>
  </si>
  <si>
    <t>a 70% chance they will renew at $35.00/SF for another 5</t>
  </si>
  <si>
    <t>years, and you will owe a leasing commission of 4.0% to the</t>
  </si>
  <si>
    <t>broker. If they do not renew, you expect the space to sit</t>
  </si>
  <si>
    <t>commission of 6.0% to the broker and a TI allowance of</t>
  </si>
  <si>
    <t>$25/SF. Using renewal probability modeling, what is the</t>
  </si>
  <si>
    <t>total 5-year cash flow projection for the 60 months after</t>
  </si>
  <si>
    <t>Renewal</t>
  </si>
  <si>
    <t>New</t>
  </si>
  <si>
    <t>Probability</t>
  </si>
  <si>
    <t>TI</t>
  </si>
  <si>
    <t>LC</t>
  </si>
  <si>
    <t>Loan Proceeds</t>
  </si>
  <si>
    <t>Sale Proceeds</t>
  </si>
  <si>
    <t>Costs of Sale</t>
  </si>
  <si>
    <t>Loan Payoff</t>
  </si>
  <si>
    <t>returns for each scenario</t>
  </si>
  <si>
    <t>Best Case</t>
  </si>
  <si>
    <t>Base Case</t>
  </si>
  <si>
    <t>Weak Case</t>
  </si>
  <si>
    <t>Scenario</t>
  </si>
  <si>
    <t>TI Allowance</t>
  </si>
  <si>
    <t>DATEDIF</t>
  </si>
  <si>
    <t>Unlevered IRR</t>
  </si>
  <si>
    <t>Unlevered Equity Multiple</t>
  </si>
  <si>
    <t>Levered Equity Multiple</t>
  </si>
  <si>
    <t>Loan Metrics</t>
  </si>
  <si>
    <t>Unlevered Cash-on-Cash</t>
  </si>
  <si>
    <t>Levered Cash-on-Cash</t>
  </si>
  <si>
    <t>Positive/Negative Leverage</t>
  </si>
  <si>
    <t>Expense Ratio</t>
  </si>
  <si>
    <t>Total Debt Service</t>
  </si>
  <si>
    <t>Break Even Ratio</t>
  </si>
  <si>
    <t>Acquisition Price</t>
  </si>
  <si>
    <t>Rent Roll</t>
  </si>
  <si>
    <t>Rent/Month</t>
  </si>
  <si>
    <t>Charles Barkley</t>
  </si>
  <si>
    <t>Grant Hill</t>
  </si>
  <si>
    <t>Karl Malone</t>
  </si>
  <si>
    <t>Reggie Miller</t>
  </si>
  <si>
    <t>Hakeem Olajuwon</t>
  </si>
  <si>
    <t>Shaquille O'Neal</t>
  </si>
  <si>
    <t>Gary Payton</t>
  </si>
  <si>
    <t>Scottie Pippen</t>
  </si>
  <si>
    <t>Mitch Richmond</t>
  </si>
  <si>
    <t>David Robinson</t>
  </si>
  <si>
    <t>John Stockton</t>
  </si>
  <si>
    <t>PV</t>
  </si>
  <si>
    <t>FV</t>
  </si>
  <si>
    <t>NPER</t>
  </si>
  <si>
    <t>RATE</t>
  </si>
  <si>
    <t>PMT</t>
  </si>
  <si>
    <t># of Units</t>
  </si>
  <si>
    <t>Studio</t>
  </si>
  <si>
    <t>What is the weighted average rent at the property?</t>
  </si>
  <si>
    <t>SF Leased</t>
  </si>
  <si>
    <t>Rent/SF/Year</t>
  </si>
  <si>
    <t>General Vacancy</t>
  </si>
  <si>
    <t>Total Payment</t>
  </si>
  <si>
    <t>Gross Potential Rent (GPR)</t>
  </si>
  <si>
    <t>Net Rental Revenue</t>
  </si>
  <si>
    <t>Revenue</t>
  </si>
  <si>
    <t>Concessions &amp; Free Rent</t>
  </si>
  <si>
    <t>Other Income</t>
  </si>
  <si>
    <t>Operating Expense Reimbursements</t>
  </si>
  <si>
    <t>Storage Income</t>
  </si>
  <si>
    <t>Effective Gross Revenue</t>
  </si>
  <si>
    <t>Operating Expenses</t>
  </si>
  <si>
    <t>Repairs &amp; Maintenance</t>
  </si>
  <si>
    <t>Property Taxes</t>
  </si>
  <si>
    <t>Insurance</t>
  </si>
  <si>
    <t>Property Management Fee</t>
  </si>
  <si>
    <t>Other Expenses</t>
  </si>
  <si>
    <t>Total Operating Expenses</t>
  </si>
  <si>
    <t>Capital Expenses</t>
  </si>
  <si>
    <t>Capital Expense Reserves</t>
  </si>
  <si>
    <t>Debt Service</t>
  </si>
  <si>
    <t>Principal Payments</t>
  </si>
  <si>
    <t>Interest Payments</t>
  </si>
  <si>
    <t>Total Capital Expenses</t>
  </si>
  <si>
    <t>Sample Annual Property Cash Flow Statement</t>
  </si>
  <si>
    <t>Total Other Income</t>
  </si>
  <si>
    <t>Loan To Value (LTV)</t>
  </si>
  <si>
    <t>Assumed Annual NOI Growth</t>
  </si>
  <si>
    <t>Year 1 Capital Expenses</t>
  </si>
  <si>
    <t>Assumed Capital Expense Growth</t>
  </si>
  <si>
    <t>Debt Assumptions</t>
  </si>
  <si>
    <t>Total Unlevered Cash Flow</t>
  </si>
  <si>
    <t>Operating &amp; Sale Assumptions</t>
  </si>
  <si>
    <t>Total Levered Cash Flow</t>
  </si>
  <si>
    <t>5-Year Hold Period Analysis</t>
  </si>
  <si>
    <t>Return Metrics</t>
  </si>
  <si>
    <t>Unlevered Net Present Value (NPV)</t>
  </si>
  <si>
    <t>Levered Net Present Value (NPV)</t>
  </si>
  <si>
    <t>Unlevered Internal Rate of Return (IRR)</t>
  </si>
  <si>
    <t>Levered Internal Rate of Return (IRR)</t>
  </si>
  <si>
    <t>Construction Expenses</t>
  </si>
  <si>
    <t>Purchase &amp; Sale Metrics</t>
  </si>
  <si>
    <t>Loan Fees</t>
  </si>
  <si>
    <t>Prepayment Penalty</t>
  </si>
  <si>
    <t>Costs of Sale (as % of Sale Price)</t>
  </si>
  <si>
    <t>Closing Costs (as % of Purchase Price)</t>
  </si>
  <si>
    <t>Unlevered Average Cash-on-Cash</t>
  </si>
  <si>
    <t>Levered Average Cash-on-Cash</t>
  </si>
  <si>
    <t>Cash-on-Cash Return Calculations</t>
  </si>
  <si>
    <t>Closing Costs (%)</t>
  </si>
  <si>
    <t>Closing Costs ($)</t>
  </si>
  <si>
    <t>Levered Net Present Value (XNPV)</t>
  </si>
  <si>
    <t>Levered Internal Rate of Return (XIRR)</t>
  </si>
  <si>
    <t>What is the total loan payment each month?</t>
  </si>
  <si>
    <t>INDEX &amp; MATCH</t>
  </si>
  <si>
    <t>Deal Metrics</t>
  </si>
  <si>
    <t>Total Capital Costs</t>
  </si>
  <si>
    <t>Maximum Loan Amount</t>
  </si>
  <si>
    <t>Loan Sizing</t>
  </si>
  <si>
    <t>What will the interest payment be in month 72 of the loan term?</t>
  </si>
  <si>
    <t>What will the principal payment be in month 42 of the loan term?</t>
  </si>
  <si>
    <t>Annual Rent Increases</t>
  </si>
  <si>
    <t>Square Footage</t>
  </si>
  <si>
    <t>Base Rent/SF/Year</t>
  </si>
  <si>
    <t>Free Rent</t>
  </si>
  <si>
    <t>Net Tenant Rental Revenue</t>
  </si>
  <si>
    <t>Lease Metrics</t>
  </si>
  <si>
    <t>Downtime</t>
  </si>
  <si>
    <t>Acquisition &amp; Operating Metrics</t>
  </si>
  <si>
    <t>Total</t>
  </si>
  <si>
    <t>What is the total monthly rent for all 2BR - 1BA units on 15 month leases?</t>
  </si>
  <si>
    <r>
      <t xml:space="preserve">How many 1BR - 1BA units are paying over $1,840 per month </t>
    </r>
    <r>
      <rPr>
        <b/>
        <sz val="12"/>
        <color theme="1"/>
        <rFont val="Franklin Gothic Book"/>
        <family val="2"/>
      </rPr>
      <t>and</t>
    </r>
    <r>
      <rPr>
        <sz val="12"/>
        <color theme="1"/>
        <rFont val="Franklin Gothic Book"/>
        <family val="2"/>
      </rPr>
      <t xml:space="preserve"> have a lease term of 12 months or more?</t>
    </r>
  </si>
  <si>
    <t>What is the average lease term in months of all 2BR - 1BA units?</t>
  </si>
  <si>
    <t>Base Rent Over Time</t>
  </si>
  <si>
    <t>Absolute Reference</t>
  </si>
  <si>
    <t>Relative Reference</t>
  </si>
  <si>
    <t>Absolute Row</t>
  </si>
  <si>
    <t>Absolute Column</t>
  </si>
  <si>
    <t>Copy Down</t>
  </si>
  <si>
    <t>Return Cell A3 With</t>
  </si>
  <si>
    <t>Copy Over</t>
  </si>
  <si>
    <t>Multiply by 2</t>
  </si>
  <si>
    <t>Return Tenant Name</t>
  </si>
  <si>
    <t>Return Cell D3 With</t>
  </si>
  <si>
    <t>Custom Format - 0 "SF"</t>
  </si>
  <si>
    <t>Cal Ripken</t>
  </si>
  <si>
    <t>Roger Clemens</t>
  </si>
  <si>
    <t>Paul O'Neill</t>
  </si>
  <si>
    <t>Rafael Palmeiro</t>
  </si>
  <si>
    <t>David Wells</t>
  </si>
  <si>
    <t>John Wetteland</t>
  </si>
  <si>
    <t>Roberto Alomar</t>
  </si>
  <si>
    <t>Tom Gordon</t>
  </si>
  <si>
    <t>Ken Griffey Jr.</t>
  </si>
  <si>
    <t>Omar Vizquel</t>
  </si>
  <si>
    <t>Juan Gonzalez</t>
  </si>
  <si>
    <t>Dean Palmer</t>
  </si>
  <si>
    <t>Iván Rodríguez</t>
  </si>
  <si>
    <t>Scott Brosius</t>
  </si>
  <si>
    <t>Jim Thome</t>
  </si>
  <si>
    <t>Kenny Lofton</t>
  </si>
  <si>
    <t>Pedro Martinez</t>
  </si>
  <si>
    <t>Damion Easley</t>
  </si>
  <si>
    <t>Aaron Sele</t>
  </si>
  <si>
    <t>Manny Ramirez</t>
  </si>
  <si>
    <t>Alex Rodriguez</t>
  </si>
  <si>
    <t>Tony Gwynn</t>
  </si>
  <si>
    <t>Devon White</t>
  </si>
  <si>
    <t>Barry Bonds</t>
  </si>
  <si>
    <t>Kevin Brown</t>
  </si>
  <si>
    <t>Walt Weiss</t>
  </si>
  <si>
    <t>Larry Walker</t>
  </si>
  <si>
    <t>Craig Biggio</t>
  </si>
  <si>
    <t>Gary Sheffield</t>
  </si>
  <si>
    <t>Moises Alou</t>
  </si>
  <si>
    <t>If Tony Gywnn's base rent is greater than $2,000 per month, return "YES" - otherwise, return "NO".</t>
  </si>
  <si>
    <r>
      <t xml:space="preserve">If Tony Gywnn's base rent is greater than $2,000 per month </t>
    </r>
    <r>
      <rPr>
        <b/>
        <sz val="12"/>
        <color theme="1"/>
        <rFont val="Franklin Gothic Book"/>
        <family val="2"/>
      </rPr>
      <t>and</t>
    </r>
    <r>
      <rPr>
        <sz val="12"/>
        <color theme="1"/>
        <rFont val="Franklin Gothic Book"/>
        <family val="2"/>
      </rPr>
      <t xml:space="preserve"> the lease term is greater than 12 months, return "YES" - otherwise, return "NO".</t>
    </r>
  </si>
  <si>
    <r>
      <t xml:space="preserve">If Kenny Lofton's base rent is greater than $2,500 per month </t>
    </r>
    <r>
      <rPr>
        <b/>
        <sz val="12"/>
        <color theme="1"/>
        <rFont val="Franklin Gothic Book"/>
        <family val="2"/>
      </rPr>
      <t>or</t>
    </r>
    <r>
      <rPr>
        <sz val="12"/>
        <color theme="1"/>
        <rFont val="Franklin Gothic Book"/>
        <family val="2"/>
      </rPr>
      <t xml:space="preserve"> the lease term is greater than 12 months, return "YES" - otherwise, return "NO".</t>
    </r>
  </si>
  <si>
    <t>NBA</t>
  </si>
  <si>
    <t>NFL</t>
  </si>
  <si>
    <t>MLB</t>
  </si>
  <si>
    <t>MLS</t>
  </si>
  <si>
    <t>PGA</t>
  </si>
  <si>
    <t>ATP</t>
  </si>
  <si>
    <t>What is the NFL's base rent in 2023?</t>
  </si>
  <si>
    <t>In 2026, what is the ATP's base rent?</t>
  </si>
  <si>
    <r>
      <t xml:space="preserve">If we expect the value of a 60,000 SF plot of land to increase at 4.0% per year, and we need the land to be worth $10,000,000 in 7 years, what is the </t>
    </r>
    <r>
      <rPr>
        <b/>
        <sz val="10"/>
        <color theme="1"/>
        <rFont val="Franklin Gothic Book"/>
        <family val="2"/>
      </rPr>
      <t>minimum</t>
    </r>
    <r>
      <rPr>
        <sz val="10"/>
        <color theme="1"/>
        <rFont val="Franklin Gothic Book"/>
        <family val="2"/>
      </rPr>
      <t xml:space="preserve"> value requirement of the land today in order for us to hit our investment target?</t>
    </r>
  </si>
  <si>
    <t>If market rent today for retail properties in suburban Denver is $22.00/SF and we expect market rent to increase by 3.0% per year for the next 5 years, what will market rent be in 5 years?</t>
  </si>
  <si>
    <t>If we invest in a condominium in Miami for $800,000 today and expect the value of the property to increase by 5.0% per year, how many years will it take for the property to be worth $1,000,000?</t>
  </si>
  <si>
    <t>If land in downtown Boston was worth $100/SF 25 years ago and that same land is worth $300/SF today, what is the compound annual growth rate of land in downtown Boston?</t>
  </si>
  <si>
    <t>If we invest $500,000 of equity in a 20-unit apartment building today, we believe that this and future apartment building investments will generate 14.0% annualized returns on our equity invested, and we want to have $2,000,000 in equity at the end of 7 years, how much money do we need to invest at the end of each year to make this happen?</t>
  </si>
  <si>
    <t>Steve Francis</t>
  </si>
  <si>
    <t>Allen Iverson</t>
  </si>
  <si>
    <t>Kobe Bryant</t>
  </si>
  <si>
    <t>Michael Jordan</t>
  </si>
  <si>
    <t>Kevin Garnett</t>
  </si>
  <si>
    <t>Tracy McGrady</t>
  </si>
  <si>
    <t>Tim Duncan</t>
  </si>
  <si>
    <t>Jermaine O'Neal</t>
  </si>
  <si>
    <t>Yao Ming</t>
  </si>
  <si>
    <t>Ben Wallace</t>
  </si>
  <si>
    <t>What is the total length of Tim Duncan's lease term (in months)?</t>
  </si>
  <si>
    <t>YEARFRAC</t>
  </si>
  <si>
    <t>EOMONTH</t>
  </si>
  <si>
    <t>If tenants receive renewal notices three months before lease expiration on the final day of the month, when will Kevin Garnett receive his?</t>
  </si>
  <si>
    <t>What is the total length of Tracy McGrady's lease term (in years)?</t>
  </si>
  <si>
    <t>What is the total rent collected in 2021, rounded to the nearest $100?</t>
  </si>
  <si>
    <t>What is the total rent collected in 2023, rounded up to the nearest $10?</t>
  </si>
  <si>
    <t>What is the total rent collected in 2022, rounded down to the nearest $1,000?</t>
  </si>
  <si>
    <t>What will the total interest payments be in the first three years of the loan term?</t>
  </si>
  <si>
    <t>What will the total remaining loan balance be at the end of the loan term?</t>
  </si>
  <si>
    <t>Triple Net (NNN)</t>
  </si>
  <si>
    <t>Full Service Gross (FSG)</t>
  </si>
  <si>
    <t>Modified Gross (MG)</t>
  </si>
  <si>
    <t xml:space="preserve">
1,500 SF</t>
  </si>
  <si>
    <t xml:space="preserve">
5,000 SF</t>
  </si>
  <si>
    <t xml:space="preserve">
3,000 SF</t>
  </si>
  <si>
    <t xml:space="preserve">
2,000 SF</t>
  </si>
  <si>
    <t>for CVS</t>
  </si>
  <si>
    <t>CVS SF</t>
  </si>
  <si>
    <t>The total reimbursable operating expenses for the shopping center are</t>
  </si>
  <si>
    <t>$100,000 for the year. How much does CVS owe</t>
  </si>
  <si>
    <t>CVS Pro Rata Share</t>
  </si>
  <si>
    <t>CVS Operating Expense Reimbursement</t>
  </si>
  <si>
    <t>$100,000 for the year. How much does Chipotle owe</t>
  </si>
  <si>
    <t>if they are on a MG lease, responsible for property taxes and insurance?</t>
  </si>
  <si>
    <t>$100,000 for the year, with $45,000 for property taxes, $20,000 for insurance,</t>
  </si>
  <si>
    <t>How much does the Apple store owe the landlord</t>
  </si>
  <si>
    <t>$25,000 for repairs &amp; maintenance, and $10,000 for other miscellaneous items.</t>
  </si>
  <si>
    <t>Chipotle Pro Rata Share</t>
  </si>
  <si>
    <t>Apple Store Pro Rata Share</t>
  </si>
  <si>
    <t>Apple Store Operating Expense Reimbursement</t>
  </si>
  <si>
    <t>Annual Base Rent</t>
  </si>
  <si>
    <t>Annual Sales</t>
  </si>
  <si>
    <t>Starbucks is on a base year stop lease, the base year is 2017, and base year</t>
  </si>
  <si>
    <t>expenses are $92,000. If operating expenses are $115,000 in 2020,</t>
  </si>
  <si>
    <t>what is their total reimbursement to the landlord in 2020?</t>
  </si>
  <si>
    <t>2020 Expense</t>
  </si>
  <si>
    <t>Increase Over Base Year</t>
  </si>
  <si>
    <t>Starbucks Pro Rata Share</t>
  </si>
  <si>
    <t>vacant for 6 months, and a new tenant to pay $40.00/SF with no</t>
  </si>
  <si>
    <t>increases for a 5-year term, for which you would pay a leasing</t>
  </si>
  <si>
    <t>Weighted Avg.</t>
  </si>
  <si>
    <t>Vacancy Loss</t>
  </si>
  <si>
    <t>Cap Rate Solution</t>
  </si>
  <si>
    <t>Cap Rate</t>
  </si>
  <si>
    <t>NOI Solution</t>
  </si>
  <si>
    <t>Purchase Price Solution</t>
  </si>
  <si>
    <t>Exit Value Solution</t>
  </si>
  <si>
    <t>Year 10 Projected NOI</t>
  </si>
  <si>
    <t>NOI Growth/Year</t>
  </si>
  <si>
    <t>Exit Cap Rate @ End of Year 10</t>
  </si>
  <si>
    <t>Purchase, Sale, &amp; Operating Metrics</t>
  </si>
  <si>
    <t>Effect of NOI Growth on Unlevered IRR</t>
  </si>
  <si>
    <t>Effect of NOI Growth &amp; Exit Cap Rate on Unlevered IRR</t>
  </si>
  <si>
    <t>Investment Scenario</t>
  </si>
  <si>
    <t>***Use the data below for the scenario analysis exercises***</t>
  </si>
  <si>
    <t>Highlight all Unlevered IRR values that exceed 9.0%</t>
  </si>
  <si>
    <t>IRR</t>
  </si>
  <si>
    <t>Month Ending</t>
  </si>
  <si>
    <t>Assumed NOI Growth Frequency</t>
  </si>
  <si>
    <t>Annually</t>
  </si>
  <si>
    <t>Capital Expense Growth Frequency</t>
  </si>
  <si>
    <t>Sale Month</t>
  </si>
  <si>
    <t>If a property has gross potential rental income of $735,000,</t>
  </si>
  <si>
    <t>and operating expenses of $290,000, what is the</t>
  </si>
  <si>
    <t>operating expense ratio at the property?</t>
  </si>
  <si>
    <t>If a property has gross potential rent of $735,000, total</t>
  </si>
  <si>
    <t>other income of $85,000, total operating expenses</t>
  </si>
  <si>
    <t>of $290,000, and total debt service of $230,000,</t>
  </si>
  <si>
    <t>what is the break even occupancy ratio?</t>
  </si>
  <si>
    <t>You currently own a property with a 2,000 SF suite that is</t>
  </si>
  <si>
    <t>occupied by a tenant whose lease is expiring at the end of</t>
  </si>
  <si>
    <t>this year. When the in-place lease expires, you believe there is</t>
  </si>
  <si>
    <t>the in-place lease expires?</t>
  </si>
  <si>
    <t>Chipotle Operating Expense Reimbursement</t>
  </si>
  <si>
    <t>Total Reimbursable Operating Expenses</t>
  </si>
  <si>
    <t>Base Year Stop (BYS)</t>
  </si>
  <si>
    <t>Renewal Probability Modeling</t>
  </si>
  <si>
    <t>Total Tenant Cash Flow</t>
  </si>
  <si>
    <t>rent increases, and six months of base rent abatement. If your leasing agreement</t>
  </si>
  <si>
    <t>called for a payment of 6.0% of the net contractual base rent for years 1-5 and 3.0% of the</t>
  </si>
  <si>
    <t>net contractual base rent for years 6-10, what is the total leasing commission owed to the broker?</t>
  </si>
  <si>
    <t>Your leasing broker helps you sign a 10-year lease with a local ice cream shop in your shopping</t>
  </si>
  <si>
    <t>center. The lease was signed for $26.00/SF/Year for 3,000 square feet with annual 3.0% base</t>
  </si>
  <si>
    <t>Commissions - Years 1-5</t>
  </si>
  <si>
    <t>Commissions - Years 6-10</t>
  </si>
  <si>
    <t>In order for the ice cream shop to agree to all other lease terms, the tenant is requesting an</t>
  </si>
  <si>
    <t>improvement allowance in order to absorb the cost of building out their store. The total</t>
  </si>
  <si>
    <t>TI allowance per square foot requested is $20. In this scenario, what is the total TI allowance</t>
  </si>
  <si>
    <t>owed by the landlord?</t>
  </si>
  <si>
    <t>Construction Costs</t>
  </si>
  <si>
    <t>Use Goal Seek to calculate the purchase price which</t>
  </si>
  <si>
    <t>would make the unlevered IRR exactly 10.00%</t>
  </si>
  <si>
    <t>What is the average base rent for 2BR - 1BA units with a lease term of greater than 11 months?</t>
  </si>
  <si>
    <t>What is the total square footage of all 1BR - 1BA units?</t>
  </si>
  <si>
    <t>What is the compound annual growth rate (CAGR) between 2014 and 2020 for raw land?</t>
  </si>
  <si>
    <t>Acquisition Date</t>
  </si>
  <si>
    <t>What is the rent for the tenant in cell A7 in the year in cell B7?</t>
  </si>
  <si>
    <t>vacancy loss of $21,000, total other income of $85,000,</t>
  </si>
  <si>
    <r>
      <t xml:space="preserve">www.breakintocre.com
</t>
    </r>
    <r>
      <rPr>
        <b/>
        <sz val="10"/>
        <color theme="8" tint="0.79998168889431442"/>
        <rFont val="Franklin Gothic Book"/>
        <family val="2"/>
      </rPr>
      <t>Welcome to the course! This file contains resources, exercises, and examples to help you become a real estate financial modeling pro. Great to have you here!</t>
    </r>
    <r>
      <rPr>
        <sz val="10"/>
        <color theme="0"/>
        <rFont val="Franklin Gothic Book"/>
        <family val="2"/>
      </rPr>
      <t xml:space="preserve">
</t>
    </r>
    <r>
      <rPr>
        <b/>
        <sz val="10"/>
        <color theme="0"/>
        <rFont val="Franklin Gothic Book"/>
        <family val="2"/>
      </rPr>
      <t>DISCLAIMER:</t>
    </r>
    <r>
      <rPr>
        <sz val="10"/>
        <color theme="0"/>
        <rFont val="Franklin Gothic Book"/>
        <family val="2"/>
      </rPr>
      <t xml:space="preserve">
YOU ACKNOWLEDGE AND AGREE THAT ALL MATERIALS, DOCUMENTS, MEDIA, FORMULAS, EXCEL FILES, AND ANY OTHER INFORMATION (HEREINAFTER COLLECTIVELY REFERRED TO AS THE “MATERIALS”) PROVIDED BY JBK ENTERPRISES, LLC (THE “COMPANY”) THROUGH BREAKINTOCRE.COM OR ANY OF ITS OTHER AFFILIATE WEBSITES OR SOURCES ARE PROVIDED ON AN “AS IS” AND “WITH ALL FAULTS” BASIS. YOU EXPRESSLY AGREE THAT USE OF THE MATERIALS IS AT YOUR SOLE RISK. 
THE COMPANY DOES NOT MAKE ANY REPRESENTATIONS OR GRANT ANY WARRANTIES, EXPRESS OR IMPLIED, EITHER IN FACT, BY OPERATION OF LAW, BY STATUTE, OR OTHERWISE; AND BY USING THE MATERIALS, YOU SPECIFICALLY WAIVE, AND THE COMPANY SPECIFICALLY DISCLAIMS, ANY OTHER WARRANTIES, WHETHER WRITTEN OR ORAL, EXPRESS OR IMPLIED, INCLUDING ANY WARRANTY OF QUALITY, MERCHANTABILITY, FITNESS FOR A PARTICULAR USE OR PURPOSE, OR NON-INFRINGEMENT OF ANY INTELLECTUAL PROPERTY RIGHTS. 
THE COMPANY MAKES NO WARRANTY THAT THE MATERIALS WILL MEET YOUR REQUIREMENTS, OR THAT IT WILL BE UNINTERRUPTED, TIMELY, SECURE, OR ERROR-FREE, OR THAT ANY DEFECTS, IF ANY, WILL BE CORRECTED OR FIXED BY THE COMPANY. YOU AGREE THAT THE COMPANY MAKES NO WARRANTY AS TO THE RESULTS THAT MAY BE OBTAINED FROM THE USE OF THE MATERIALS OR AS TO THE ACCURACY OR RELIABILITY OF ANY INFORMATION OBTAINED THROUGH THE MATERIALS. 
THE COMPANY IS NOT PROVIDING ANY TAX, LEGAL, ACCOUNTING, VALUATION, OR FINANCIAL ADVICE NOR IS THE COMPANY MAKING ANY RECOMMENDATIONS. ALL INFORMATION PROVIDED IS INTENDED SOLELY FOR EDUCATIONAL PURPOSES. YOU ARE HEREBY ADVISED TO CONSULT WITH YOUR OWN PERSONAL PROFESSIONAL ADVISORS REGARDING THE USE OF ANY MATERIALS PRIOR TO PUTTING ANY MATERIALS INTO ACTION. 
YOUR ACCESS TO AND USE OF THE MATERIALS ARE AT ALL TIMES SUBJECT TO, AND BY USING THE MATERIALS YOU AGREE TO BE BOUND BY, ALL OF THE TERMS AND CONDITIONS FOUND AT https://breakintocre.com/terms/, AND YOU FURTHER AGREE TO HOLD THE COMPANY AND ITS AFFILIATES HARMLESS FOR ANY CONSEQUENCES RELATED TO YOUR USE OF THE MATERIALS. NO COMMUNICATION (WRITTEN OR ORAL) SHALL BE DEEMED TO BE AN ASSURANCE, GUARANTEE, OR WARRANTY. </t>
    </r>
  </si>
  <si>
    <t>Use the drop-down feature to return the pro 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</si>
</sst>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8" formatCode="&quot;R&quot;#,##0.00;[Red]\-&quot;R&quot;#,##0.00"/>
    <numFmt numFmtId="164" formatCode="&quot;$&quot;#,##0_);[Red]\(&quot;$&quot;#,##0\)"/>
    <numFmt numFmtId="165" formatCode="&quot;$&quot;#,##0.00_);[Red]\(&quot;$&quot;#,##0.00\)"/>
    <numFmt numFmtId="166" formatCode="_(* #,##0.00_);_(* \(#,##0.00\);_(* &quot;-&quot;??_);_(@_)"/>
    <numFmt numFmtId="167" formatCode="&quot;$&quot;#,##0;[Red]\-&quot;$&quot;#,##0"/>
    <numFmt numFmtId="168" formatCode="&quot;$&quot;#,##0.00;[Red]\-&quot;$&quot;#,##0.00"/>
    <numFmt numFmtId="169" formatCode="&quot;Year&quot;\ 0"/>
    <numFmt numFmtId="170" formatCode="0.0"/>
    <numFmt numFmtId="171" formatCode="0.0%"/>
    <numFmt numFmtId="172" formatCode="&quot;$&quot;#,##0.00"/>
    <numFmt numFmtId="173" formatCode="&quot;$&quot;#,##0"/>
    <numFmt numFmtId="174" formatCode="0.00&quot;x&quot;"/>
    <numFmt numFmtId="175" formatCode="0&quot; Years&quot;"/>
    <numFmt numFmtId="176" formatCode="0\ &quot;Years&quot;"/>
    <numFmt numFmtId="177" formatCode="&quot;$&quot;#,##0;[Red]&quot;$&quot;#,##0"/>
    <numFmt numFmtId="178" formatCode="0\ &quot;Months&quot;"/>
    <numFmt numFmtId="179" formatCode="#0.00%_);\(#0.00%\)"/>
    <numFmt numFmtId="180" formatCode="#0.0%_);\(#0.0%\)"/>
    <numFmt numFmtId="181" formatCode="&quot;Acquisition&quot;"/>
    <numFmt numFmtId="182" formatCode="&quot;Unit&quot;\ 0"/>
    <numFmt numFmtId="183" formatCode="0\ &quot;SF&quot;"/>
    <numFmt numFmtId="184" formatCode="0.0\ &quot;Months&quot;"/>
    <numFmt numFmtId="185" formatCode="&quot;Month&quot;\ 0"/>
    <numFmt numFmtId="186" formatCode="&quot;$&quot;#,##0.00;[Red]&quot;$&quot;#,##0.00"/>
    <numFmt numFmtId="189" formatCode="&quot;R&quot;#,##0.00"/>
    <numFmt numFmtId="193" formatCode="&quot;R&quot;#,##0"/>
    <numFmt numFmtId="195" formatCode="0\ &quot;ft&quot;"/>
  </numFmts>
  <fonts count="35" x14ac:knownFonts="1">
    <font>
      <sz val="12"/>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name val="Franklin Gothic Book"/>
      <family val="2"/>
    </font>
    <font>
      <b/>
      <sz val="12"/>
      <color theme="1"/>
      <name val="Franklin Gothic Book"/>
      <family val="2"/>
    </font>
    <font>
      <b/>
      <u/>
      <sz val="12"/>
      <color theme="1"/>
      <name val="Franklin Gothic Book"/>
      <family val="2"/>
    </font>
    <font>
      <sz val="12"/>
      <name val="Franklin Gothic Book"/>
      <family val="2"/>
    </font>
    <font>
      <sz val="10"/>
      <color theme="1"/>
      <name val="Franklin Gothic Book"/>
      <family val="2"/>
    </font>
    <font>
      <sz val="10"/>
      <color theme="0"/>
      <name val="Franklin Gothic Book"/>
      <family val="2"/>
    </font>
    <font>
      <b/>
      <sz val="10"/>
      <color theme="0"/>
      <name val="Franklin Gothic Book"/>
      <family val="2"/>
    </font>
    <font>
      <sz val="12"/>
      <color indexed="12"/>
      <name val="Franklin Gothic Book"/>
      <family val="2"/>
    </font>
    <font>
      <b/>
      <u/>
      <sz val="12"/>
      <color theme="0"/>
      <name val="Franklin Gothic Book"/>
      <family val="2"/>
    </font>
    <font>
      <sz val="10"/>
      <color indexed="12"/>
      <name val="Franklin Gothic Book"/>
      <family val="2"/>
    </font>
    <font>
      <b/>
      <u/>
      <sz val="10"/>
      <color theme="0"/>
      <name val="Franklin Gothic Book"/>
      <family val="2"/>
    </font>
    <font>
      <sz val="10"/>
      <name val="Franklin Gothic Book"/>
      <family val="2"/>
    </font>
    <font>
      <sz val="10"/>
      <color rgb="FF0000FF"/>
      <name val="Franklin Gothic Book"/>
      <family val="2"/>
    </font>
    <font>
      <b/>
      <sz val="12"/>
      <color theme="0"/>
      <name val="Franklin Gothic Book"/>
      <family val="2"/>
    </font>
    <font>
      <sz val="12"/>
      <color theme="1"/>
      <name val="Calibri"/>
      <family val="2"/>
      <charset val="238"/>
      <scheme val="minor"/>
    </font>
    <font>
      <sz val="10"/>
      <color indexed="8"/>
      <name val="Franklin Gothic Book"/>
      <family val="2"/>
    </font>
    <font>
      <b/>
      <sz val="10"/>
      <color theme="8" tint="0.79998168889431442"/>
      <name val="Franklin Gothic Book"/>
      <family val="2"/>
    </font>
    <font>
      <b/>
      <sz val="10"/>
      <color theme="1"/>
      <name val="Franklin Gothic Book"/>
      <family val="2"/>
    </font>
    <font>
      <b/>
      <sz val="10"/>
      <name val="Franklin Gothic Book"/>
      <family val="2"/>
    </font>
    <font>
      <sz val="12"/>
      <color rgb="FF0000FF"/>
      <name val="Franklin Gothic Book"/>
      <family val="2"/>
    </font>
    <font>
      <b/>
      <u/>
      <sz val="10"/>
      <color theme="1"/>
      <name val="Franklin Gothic Book"/>
      <family val="2"/>
    </font>
    <font>
      <sz val="10"/>
      <color rgb="FF3366FF"/>
      <name val="Franklin Gothic Book"/>
      <family val="2"/>
    </font>
    <font>
      <u/>
      <sz val="10"/>
      <color theme="1"/>
      <name val="Franklin Gothic Book"/>
      <family val="2"/>
    </font>
    <font>
      <i/>
      <sz val="10"/>
      <color theme="1"/>
      <name val="Franklin Gothic Book"/>
      <family val="2"/>
    </font>
    <font>
      <b/>
      <i/>
      <sz val="10"/>
      <color theme="0"/>
      <name val="Franklin Gothic Book"/>
      <family val="2"/>
    </font>
    <font>
      <b/>
      <sz val="10"/>
      <color indexed="8"/>
      <name val="Franklin Gothic Book"/>
      <family val="2"/>
    </font>
    <font>
      <b/>
      <u/>
      <sz val="16"/>
      <color theme="0"/>
      <name val="Franklin Gothic Book"/>
      <family val="2"/>
    </font>
    <font>
      <sz val="16"/>
      <color theme="1"/>
      <name val="Franklin Gothic Book"/>
      <family val="2"/>
    </font>
  </fonts>
  <fills count="12">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tint="0.79998168889431442"/>
        <bgColor indexed="64"/>
      </patternFill>
    </fill>
  </fills>
  <borders count="16">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s>
  <cellStyleXfs count="746">
    <xf numFmtId="0" fontId="0" fillId="0" borderId="0"/>
    <xf numFmtId="166"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4" fillId="0" borderId="0"/>
    <xf numFmtId="0" fontId="2" fillId="0" borderId="0"/>
    <xf numFmtId="9" fontId="21" fillId="0" borderId="0" applyFont="0" applyFill="0" applyBorder="0" applyAlignment="0" applyProtection="0"/>
    <xf numFmtId="0" fontId="1" fillId="0" borderId="0"/>
  </cellStyleXfs>
  <cellXfs count="497">
    <xf numFmtId="0" fontId="0" fillId="0" borderId="0" xfId="0"/>
    <xf numFmtId="0" fontId="7" fillId="0" borderId="0" xfId="0" applyFont="1"/>
    <xf numFmtId="0" fontId="7" fillId="2" borderId="5" xfId="0" applyFont="1" applyFill="1" applyBorder="1" applyAlignment="1">
      <alignment horizontal="right"/>
    </xf>
    <xf numFmtId="0" fontId="7" fillId="2" borderId="6" xfId="0" applyFont="1" applyFill="1" applyBorder="1" applyAlignment="1">
      <alignment horizontal="right"/>
    </xf>
    <xf numFmtId="164" fontId="7" fillId="0" borderId="0" xfId="0" applyNumberFormat="1" applyFont="1"/>
    <xf numFmtId="0" fontId="7" fillId="2" borderId="4" xfId="0" applyFont="1" applyFill="1" applyBorder="1" applyAlignment="1">
      <alignment horizontal="right"/>
    </xf>
    <xf numFmtId="0" fontId="7" fillId="0" borderId="2" xfId="0" applyFont="1" applyBorder="1" applyAlignment="1">
      <alignment horizontal="center"/>
    </xf>
    <xf numFmtId="14" fontId="7" fillId="0" borderId="0" xfId="0" applyNumberFormat="1" applyFont="1"/>
    <xf numFmtId="165" fontId="7" fillId="0" borderId="0" xfId="0" applyNumberFormat="1" applyFont="1"/>
    <xf numFmtId="165" fontId="7" fillId="0" borderId="10" xfId="0" applyNumberFormat="1" applyFont="1" applyBorder="1"/>
    <xf numFmtId="165" fontId="7" fillId="0" borderId="2" xfId="0" applyNumberFormat="1" applyFont="1" applyBorder="1"/>
    <xf numFmtId="165" fontId="7" fillId="0" borderId="8" xfId="0" applyNumberFormat="1" applyFont="1" applyBorder="1"/>
    <xf numFmtId="0" fontId="15" fillId="3" borderId="11" xfId="0" applyFont="1" applyFill="1" applyBorder="1" applyAlignment="1">
      <alignment horizontal="center"/>
    </xf>
    <xf numFmtId="0" fontId="15" fillId="3" borderId="13" xfId="0" applyFont="1" applyFill="1" applyBorder="1" applyAlignment="1">
      <alignment horizontal="center"/>
    </xf>
    <xf numFmtId="0" fontId="15" fillId="3" borderId="12" xfId="0" applyFont="1" applyFill="1" applyBorder="1" applyAlignment="1">
      <alignment horizontal="center"/>
    </xf>
    <xf numFmtId="0" fontId="11" fillId="2" borderId="3" xfId="0" applyFont="1" applyFill="1" applyBorder="1" applyAlignment="1">
      <alignment horizontal="right"/>
    </xf>
    <xf numFmtId="0" fontId="17" fillId="3" borderId="12" xfId="0" applyFont="1" applyFill="1" applyBorder="1" applyAlignment="1">
      <alignment horizontal="center"/>
    </xf>
    <xf numFmtId="0" fontId="17" fillId="3" borderId="13" xfId="0" applyFont="1" applyFill="1" applyBorder="1" applyAlignment="1">
      <alignment horizontal="center"/>
    </xf>
    <xf numFmtId="0" fontId="17" fillId="3" borderId="11" xfId="0" applyFont="1" applyFill="1" applyBorder="1" applyAlignment="1">
      <alignment horizontal="center"/>
    </xf>
    <xf numFmtId="0" fontId="17" fillId="3" borderId="12" xfId="0" applyFont="1" applyFill="1" applyBorder="1" applyAlignment="1">
      <alignment horizontal="centerContinuous"/>
    </xf>
    <xf numFmtId="0" fontId="17" fillId="3" borderId="11" xfId="0" applyFont="1" applyFill="1" applyBorder="1" applyAlignment="1">
      <alignment horizontal="centerContinuous"/>
    </xf>
    <xf numFmtId="0" fontId="16" fillId="0" borderId="0" xfId="0" applyFont="1" applyAlignment="1">
      <alignment horizontal="center"/>
    </xf>
    <xf numFmtId="0" fontId="11" fillId="0" borderId="0" xfId="0" applyFont="1" applyAlignment="1">
      <alignment horizontal="center"/>
    </xf>
    <xf numFmtId="0" fontId="11" fillId="0" borderId="0" xfId="0" applyFont="1"/>
    <xf numFmtId="0" fontId="20" fillId="3" borderId="12" xfId="0" applyFont="1" applyFill="1" applyBorder="1" applyAlignment="1">
      <alignment horizontal="centerContinuous"/>
    </xf>
    <xf numFmtId="0" fontId="7" fillId="2" borderId="4" xfId="0" applyFont="1" applyFill="1" applyBorder="1" applyAlignment="1">
      <alignment horizontal="center"/>
    </xf>
    <xf numFmtId="0" fontId="7" fillId="2" borderId="6" xfId="0" applyFont="1" applyFill="1" applyBorder="1" applyAlignment="1">
      <alignment horizontal="center"/>
    </xf>
    <xf numFmtId="0" fontId="15" fillId="3" borderId="3" xfId="0" applyFont="1" applyFill="1" applyBorder="1" applyAlignment="1">
      <alignment horizontal="center"/>
    </xf>
    <xf numFmtId="167" fontId="16" fillId="0" borderId="7" xfId="0" applyNumberFormat="1" applyFont="1" applyBorder="1" applyAlignment="1">
      <alignment horizontal="center"/>
    </xf>
    <xf numFmtId="10" fontId="16" fillId="0" borderId="10" xfId="0" applyNumberFormat="1" applyFont="1" applyBorder="1" applyAlignment="1">
      <alignment horizontal="center"/>
    </xf>
    <xf numFmtId="178" fontId="16" fillId="0" borderId="10" xfId="0" applyNumberFormat="1" applyFont="1" applyBorder="1" applyAlignment="1">
      <alignment horizontal="center"/>
    </xf>
    <xf numFmtId="10" fontId="16" fillId="0" borderId="5" xfId="0" applyNumberFormat="1" applyFont="1" applyBorder="1" applyAlignment="1">
      <alignment horizontal="center"/>
    </xf>
    <xf numFmtId="176" fontId="16" fillId="0" borderId="8" xfId="0" applyNumberFormat="1" applyFont="1" applyBorder="1" applyAlignment="1">
      <alignment horizontal="center"/>
    </xf>
    <xf numFmtId="0" fontId="11" fillId="0" borderId="0" xfId="745" applyFont="1"/>
    <xf numFmtId="0" fontId="12" fillId="3" borderId="9" xfId="745" applyFont="1" applyFill="1" applyBorder="1" applyAlignment="1">
      <alignment vertical="top" wrapText="1"/>
    </xf>
    <xf numFmtId="0" fontId="12" fillId="3" borderId="0" xfId="745" applyFont="1" applyFill="1" applyAlignment="1">
      <alignment vertical="top" wrapText="1"/>
    </xf>
    <xf numFmtId="0" fontId="12" fillId="3" borderId="10" xfId="745" applyFont="1" applyFill="1" applyBorder="1" applyAlignment="1">
      <alignment vertical="top" wrapText="1"/>
    </xf>
    <xf numFmtId="0" fontId="12" fillId="0" borderId="1" xfId="745" applyFont="1" applyBorder="1" applyAlignment="1">
      <alignment vertical="top" wrapText="1"/>
    </xf>
    <xf numFmtId="0" fontId="18" fillId="0" borderId="1" xfId="745" applyFont="1" applyBorder="1" applyAlignment="1">
      <alignment vertical="top" wrapText="1"/>
    </xf>
    <xf numFmtId="0" fontId="12" fillId="0" borderId="0" xfId="745" applyFont="1" applyAlignment="1">
      <alignment vertical="top" wrapText="1"/>
    </xf>
    <xf numFmtId="0" fontId="20" fillId="3" borderId="11" xfId="0" applyFont="1" applyFill="1" applyBorder="1" applyAlignment="1">
      <alignment horizontal="centerContinuous"/>
    </xf>
    <xf numFmtId="0" fontId="13" fillId="3" borderId="12" xfId="0" applyFont="1" applyFill="1" applyBorder="1" applyAlignment="1">
      <alignment horizontal="centerContinuous"/>
    </xf>
    <xf numFmtId="0" fontId="12" fillId="3" borderId="12" xfId="0" applyFont="1" applyFill="1" applyBorder="1" applyAlignment="1">
      <alignment horizontal="centerContinuous"/>
    </xf>
    <xf numFmtId="0" fontId="18" fillId="2" borderId="4" xfId="0" applyFont="1" applyFill="1" applyBorder="1" applyAlignment="1">
      <alignment horizontal="right"/>
    </xf>
    <xf numFmtId="0" fontId="18" fillId="2" borderId="6" xfId="0" applyFont="1" applyFill="1" applyBorder="1" applyAlignment="1">
      <alignment horizontal="right"/>
    </xf>
    <xf numFmtId="0" fontId="25" fillId="2" borderId="6" xfId="0" applyFont="1" applyFill="1" applyBorder="1" applyAlignment="1">
      <alignment horizontal="right"/>
    </xf>
    <xf numFmtId="164" fontId="11" fillId="0" borderId="7" xfId="0" applyNumberFormat="1" applyFont="1" applyBorder="1" applyAlignment="1">
      <alignment horizontal="center"/>
    </xf>
    <xf numFmtId="9" fontId="11" fillId="0" borderId="0" xfId="2" applyFont="1"/>
    <xf numFmtId="164" fontId="24" fillId="5" borderId="8" xfId="0" applyNumberFormat="1" applyFont="1" applyFill="1" applyBorder="1" applyAlignment="1">
      <alignment horizontal="center"/>
    </xf>
    <xf numFmtId="0" fontId="25" fillId="2" borderId="8" xfId="0" applyFont="1" applyFill="1" applyBorder="1" applyAlignment="1">
      <alignment horizontal="right"/>
    </xf>
    <xf numFmtId="0" fontId="25" fillId="2" borderId="5" xfId="0" applyFont="1" applyFill="1" applyBorder="1" applyAlignment="1">
      <alignment horizontal="right"/>
    </xf>
    <xf numFmtId="164" fontId="24" fillId="5" borderId="10" xfId="0" applyNumberFormat="1" applyFont="1" applyFill="1" applyBorder="1" applyAlignment="1">
      <alignment horizontal="center"/>
    </xf>
    <xf numFmtId="0" fontId="13" fillId="3" borderId="8" xfId="0" applyFont="1" applyFill="1" applyBorder="1" applyAlignment="1">
      <alignment horizontal="centerContinuous"/>
    </xf>
    <xf numFmtId="0" fontId="12" fillId="3" borderId="8" xfId="0" applyFont="1" applyFill="1" applyBorder="1" applyAlignment="1">
      <alignment horizontal="centerContinuous"/>
    </xf>
    <xf numFmtId="0" fontId="25" fillId="0" borderId="13" xfId="0" applyFont="1" applyBorder="1" applyAlignment="1">
      <alignment horizontal="right"/>
    </xf>
    <xf numFmtId="164" fontId="24" fillId="0" borderId="13" xfId="0" applyNumberFormat="1" applyFont="1" applyBorder="1" applyAlignment="1">
      <alignment horizontal="center"/>
    </xf>
    <xf numFmtId="0" fontId="24" fillId="0" borderId="0" xfId="0" applyFont="1" applyAlignment="1">
      <alignment horizontal="center"/>
    </xf>
    <xf numFmtId="165" fontId="19" fillId="0" borderId="7" xfId="0" applyNumberFormat="1" applyFont="1" applyBorder="1" applyAlignment="1">
      <alignment horizontal="center"/>
    </xf>
    <xf numFmtId="3" fontId="19" fillId="0" borderId="8" xfId="1" applyNumberFormat="1" applyFont="1" applyBorder="1" applyAlignment="1">
      <alignment horizontal="center"/>
    </xf>
    <xf numFmtId="171" fontId="19" fillId="0" borderId="3" xfId="2" applyNumberFormat="1" applyFont="1" applyBorder="1" applyAlignment="1">
      <alignment horizontal="center"/>
    </xf>
    <xf numFmtId="10" fontId="19" fillId="0" borderId="8" xfId="2" applyNumberFormat="1" applyFont="1" applyBorder="1" applyAlignment="1">
      <alignment horizontal="center"/>
    </xf>
    <xf numFmtId="0" fontId="18" fillId="2" borderId="5" xfId="0" applyFont="1" applyFill="1" applyBorder="1" applyAlignment="1">
      <alignment horizontal="right"/>
    </xf>
    <xf numFmtId="0" fontId="25" fillId="2" borderId="3" xfId="0" applyFont="1" applyFill="1" applyBorder="1" applyAlignment="1">
      <alignment horizontal="right"/>
    </xf>
    <xf numFmtId="0" fontId="18" fillId="0" borderId="0" xfId="0" applyFont="1" applyAlignment="1">
      <alignment horizontal="center"/>
    </xf>
    <xf numFmtId="0" fontId="13" fillId="3" borderId="3" xfId="0" applyFont="1" applyFill="1" applyBorder="1" applyAlignment="1">
      <alignment horizontal="centerContinuous"/>
    </xf>
    <xf numFmtId="164" fontId="18" fillId="4" borderId="10" xfId="0" applyNumberFormat="1" applyFont="1" applyFill="1" applyBorder="1" applyAlignment="1">
      <alignment horizontal="center"/>
    </xf>
    <xf numFmtId="164" fontId="25" fillId="4" borderId="12" xfId="0" applyNumberFormat="1" applyFont="1" applyFill="1" applyBorder="1" applyAlignment="1">
      <alignment horizontal="center"/>
    </xf>
    <xf numFmtId="164" fontId="18" fillId="4" borderId="9" xfId="0" applyNumberFormat="1" applyFont="1" applyFill="1" applyBorder="1" applyAlignment="1">
      <alignment horizontal="center"/>
    </xf>
    <xf numFmtId="164" fontId="25" fillId="4" borderId="11" xfId="0" applyNumberFormat="1" applyFont="1" applyFill="1" applyBorder="1" applyAlignment="1">
      <alignment horizontal="center"/>
    </xf>
    <xf numFmtId="164" fontId="11" fillId="0" borderId="0" xfId="0" applyNumberFormat="1" applyFont="1"/>
    <xf numFmtId="165" fontId="19" fillId="4" borderId="15" xfId="0" applyNumberFormat="1" applyFont="1" applyFill="1" applyBorder="1" applyAlignment="1">
      <alignment horizontal="center"/>
    </xf>
    <xf numFmtId="164" fontId="18" fillId="4" borderId="0" xfId="0" applyNumberFormat="1" applyFont="1" applyFill="1" applyAlignment="1">
      <alignment horizontal="center"/>
    </xf>
    <xf numFmtId="164" fontId="25" fillId="4" borderId="13" xfId="0" applyNumberFormat="1" applyFont="1" applyFill="1" applyBorder="1" applyAlignment="1">
      <alignment horizontal="center"/>
    </xf>
    <xf numFmtId="169" fontId="27" fillId="5" borderId="13" xfId="0" applyNumberFormat="1" applyFont="1" applyFill="1" applyBorder="1" applyAlignment="1">
      <alignment horizontal="centerContinuous"/>
    </xf>
    <xf numFmtId="169" fontId="27" fillId="5" borderId="12" xfId="0" applyNumberFormat="1" applyFont="1" applyFill="1" applyBorder="1" applyAlignment="1">
      <alignment horizontal="centerContinuous"/>
    </xf>
    <xf numFmtId="0" fontId="27" fillId="5" borderId="11" xfId="0" applyFont="1" applyFill="1" applyBorder="1" applyAlignment="1">
      <alignment horizontal="centerContinuous"/>
    </xf>
    <xf numFmtId="164" fontId="11" fillId="0" borderId="0" xfId="0" applyNumberFormat="1" applyFont="1" applyAlignment="1">
      <alignment horizontal="center"/>
    </xf>
    <xf numFmtId="164" fontId="11" fillId="0" borderId="10" xfId="0" applyNumberFormat="1" applyFont="1" applyBorder="1" applyAlignment="1">
      <alignment horizontal="center"/>
    </xf>
    <xf numFmtId="0" fontId="11" fillId="4" borderId="0" xfId="0" applyFont="1" applyFill="1"/>
    <xf numFmtId="0" fontId="11" fillId="4" borderId="10" xfId="0" applyFont="1" applyFill="1" applyBorder="1"/>
    <xf numFmtId="164" fontId="11" fillId="4" borderId="0" xfId="0" applyNumberFormat="1" applyFont="1" applyFill="1" applyAlignment="1">
      <alignment horizontal="center"/>
    </xf>
    <xf numFmtId="164" fontId="11" fillId="4" borderId="10" xfId="0" applyNumberFormat="1" applyFont="1" applyFill="1" applyBorder="1" applyAlignment="1">
      <alignment horizontal="center"/>
    </xf>
    <xf numFmtId="0" fontId="11" fillId="4" borderId="0" xfId="0" applyFont="1" applyFill="1" applyAlignment="1">
      <alignment horizontal="center"/>
    </xf>
    <xf numFmtId="0" fontId="11" fillId="4" borderId="10" xfId="0" applyFont="1" applyFill="1" applyBorder="1" applyAlignment="1">
      <alignment horizontal="center"/>
    </xf>
    <xf numFmtId="0" fontId="11" fillId="3" borderId="1" xfId="0" applyFont="1" applyFill="1" applyBorder="1" applyAlignment="1">
      <alignment horizontal="centerContinuous"/>
    </xf>
    <xf numFmtId="0" fontId="11" fillId="3" borderId="7" xfId="0" applyFont="1" applyFill="1" applyBorder="1" applyAlignment="1">
      <alignment horizontal="centerContinuous"/>
    </xf>
    <xf numFmtId="165" fontId="19" fillId="4" borderId="0" xfId="0" applyNumberFormat="1" applyFont="1" applyFill="1" applyAlignment="1">
      <alignment horizontal="center"/>
    </xf>
    <xf numFmtId="172" fontId="7" fillId="5" borderId="6" xfId="2" applyNumberFormat="1" applyFont="1" applyFill="1" applyBorder="1" applyAlignment="1">
      <alignment horizontal="center"/>
    </xf>
    <xf numFmtId="0" fontId="9" fillId="5" borderId="11" xfId="0" applyFont="1" applyFill="1" applyBorder="1" applyAlignment="1">
      <alignment horizontal="center"/>
    </xf>
    <xf numFmtId="0" fontId="9" fillId="5" borderId="13" xfId="0" applyFont="1" applyFill="1" applyBorder="1" applyAlignment="1">
      <alignment horizontal="center"/>
    </xf>
    <xf numFmtId="0" fontId="9" fillId="5" borderId="12" xfId="0" applyFont="1" applyFill="1" applyBorder="1" applyAlignment="1">
      <alignment horizontal="center"/>
    </xf>
    <xf numFmtId="0" fontId="9" fillId="5" borderId="3" xfId="0" applyFont="1" applyFill="1" applyBorder="1" applyAlignment="1">
      <alignment horizontal="right"/>
    </xf>
    <xf numFmtId="0" fontId="15" fillId="0" borderId="0" xfId="0" applyFont="1" applyAlignment="1">
      <alignment horizontal="center"/>
    </xf>
    <xf numFmtId="165" fontId="7" fillId="0" borderId="0" xfId="0" applyNumberFormat="1" applyFont="1" applyAlignment="1">
      <alignment horizontal="center"/>
    </xf>
    <xf numFmtId="172" fontId="7" fillId="0" borderId="0" xfId="2" applyNumberFormat="1" applyFont="1" applyFill="1" applyBorder="1" applyAlignment="1">
      <alignment horizontal="center"/>
    </xf>
    <xf numFmtId="165" fontId="26" fillId="0" borderId="3" xfId="0" applyNumberFormat="1" applyFont="1" applyBorder="1" applyAlignment="1">
      <alignment horizontal="center"/>
    </xf>
    <xf numFmtId="1" fontId="26" fillId="0" borderId="3" xfId="0" applyNumberFormat="1" applyFont="1" applyBorder="1" applyAlignment="1">
      <alignment horizontal="center"/>
    </xf>
    <xf numFmtId="0" fontId="13" fillId="3" borderId="11" xfId="0" applyFont="1" applyFill="1" applyBorder="1" applyAlignment="1">
      <alignment horizontal="center"/>
    </xf>
    <xf numFmtId="0" fontId="11" fillId="2" borderId="3" xfId="0" applyFont="1" applyFill="1" applyBorder="1" applyAlignment="1">
      <alignment horizontal="right" wrapText="1"/>
    </xf>
    <xf numFmtId="164" fontId="24" fillId="5" borderId="3" xfId="0" applyNumberFormat="1" applyFont="1" applyFill="1" applyBorder="1" applyAlignment="1">
      <alignment horizontal="center" vertical="center"/>
    </xf>
    <xf numFmtId="164" fontId="16" fillId="0" borderId="3" xfId="0" applyNumberFormat="1" applyFont="1" applyBorder="1" applyAlignment="1">
      <alignment horizontal="center" vertical="center"/>
    </xf>
    <xf numFmtId="0" fontId="16" fillId="0" borderId="3" xfId="0" applyFont="1" applyBorder="1" applyAlignment="1">
      <alignment horizontal="center" vertical="center"/>
    </xf>
    <xf numFmtId="10" fontId="16" fillId="0" borderId="3" xfId="0" applyNumberFormat="1" applyFont="1" applyBorder="1" applyAlignment="1">
      <alignment horizontal="center" vertical="center"/>
    </xf>
    <xf numFmtId="165" fontId="16" fillId="0" borderId="3" xfId="0" applyNumberFormat="1" applyFont="1" applyBorder="1" applyAlignment="1">
      <alignment horizontal="center" vertical="center"/>
    </xf>
    <xf numFmtId="165" fontId="24" fillId="5" borderId="3" xfId="0" applyNumberFormat="1" applyFont="1" applyFill="1" applyBorder="1" applyAlignment="1">
      <alignment horizontal="center" vertical="center"/>
    </xf>
    <xf numFmtId="10" fontId="16" fillId="0" borderId="3" xfId="2" applyNumberFormat="1" applyFont="1" applyBorder="1" applyAlignment="1">
      <alignment horizontal="center" vertical="center"/>
    </xf>
    <xf numFmtId="170" fontId="24" fillId="5" borderId="3" xfId="2" applyNumberFormat="1" applyFont="1" applyFill="1" applyBorder="1" applyAlignment="1">
      <alignment horizontal="center" vertical="center"/>
    </xf>
    <xf numFmtId="10" fontId="24" fillId="5" borderId="3" xfId="2" applyNumberFormat="1" applyFont="1" applyFill="1" applyBorder="1" applyAlignment="1">
      <alignment horizontal="center" vertical="center"/>
    </xf>
    <xf numFmtId="10" fontId="16" fillId="0" borderId="3" xfId="2" applyNumberFormat="1" applyFont="1" applyFill="1" applyBorder="1" applyAlignment="1">
      <alignment horizontal="center" vertical="center"/>
    </xf>
    <xf numFmtId="164" fontId="25" fillId="5" borderId="3" xfId="0" applyNumberFormat="1" applyFont="1" applyFill="1" applyBorder="1" applyAlignment="1">
      <alignment horizontal="center" vertical="center"/>
    </xf>
    <xf numFmtId="0" fontId="11" fillId="0" borderId="1" xfId="0" applyFont="1" applyBorder="1" applyAlignment="1">
      <alignment horizontal="right" wrapText="1"/>
    </xf>
    <xf numFmtId="0" fontId="11" fillId="0" borderId="1" xfId="0" applyFont="1" applyBorder="1" applyAlignment="1">
      <alignment horizontal="center" vertical="center"/>
    </xf>
    <xf numFmtId="0" fontId="11" fillId="0" borderId="0" xfId="0" applyFont="1" applyAlignment="1">
      <alignment horizontal="right" wrapText="1"/>
    </xf>
    <xf numFmtId="0" fontId="11" fillId="0" borderId="0" xfId="0" applyFont="1" applyAlignment="1">
      <alignment horizontal="center" vertical="center"/>
    </xf>
    <xf numFmtId="165" fontId="11" fillId="0" borderId="0" xfId="0" applyNumberFormat="1" applyFont="1" applyAlignment="1">
      <alignment horizontal="center" vertical="center"/>
    </xf>
    <xf numFmtId="0" fontId="13" fillId="3" borderId="11" xfId="0" applyFont="1" applyFill="1" applyBorder="1" applyAlignment="1">
      <alignment horizontal="centerContinuous"/>
    </xf>
    <xf numFmtId="0" fontId="13" fillId="3" borderId="13" xfId="0" applyFont="1" applyFill="1" applyBorder="1" applyAlignment="1">
      <alignment horizontal="centerContinuous"/>
    </xf>
    <xf numFmtId="0" fontId="11" fillId="2" borderId="4" xfId="0" applyFont="1" applyFill="1" applyBorder="1" applyAlignment="1">
      <alignment horizontal="right"/>
    </xf>
    <xf numFmtId="164" fontId="19" fillId="0" borderId="4" xfId="0" applyNumberFormat="1" applyFont="1" applyBorder="1" applyAlignment="1">
      <alignment horizontal="center"/>
    </xf>
    <xf numFmtId="0" fontId="11" fillId="5" borderId="11" xfId="0" applyFont="1" applyFill="1" applyBorder="1"/>
    <xf numFmtId="181" fontId="27" fillId="5" borderId="13" xfId="0" applyNumberFormat="1" applyFont="1" applyFill="1" applyBorder="1" applyAlignment="1">
      <alignment horizontal="center"/>
    </xf>
    <xf numFmtId="169" fontId="27" fillId="5" borderId="13" xfId="0" applyNumberFormat="1" applyFont="1" applyFill="1" applyBorder="1" applyAlignment="1">
      <alignment horizontal="center"/>
    </xf>
    <xf numFmtId="169" fontId="27" fillId="5" borderId="12" xfId="0" applyNumberFormat="1" applyFont="1" applyFill="1" applyBorder="1" applyAlignment="1">
      <alignment horizontal="center"/>
    </xf>
    <xf numFmtId="0" fontId="11" fillId="2" borderId="5" xfId="0" applyFont="1" applyFill="1" applyBorder="1" applyAlignment="1">
      <alignment horizontal="right"/>
    </xf>
    <xf numFmtId="10" fontId="19" fillId="0" borderId="5" xfId="2" applyNumberFormat="1" applyFont="1" applyBorder="1" applyAlignment="1">
      <alignment horizontal="center"/>
    </xf>
    <xf numFmtId="164" fontId="19" fillId="0" borderId="5" xfId="0" applyNumberFormat="1" applyFont="1" applyBorder="1" applyAlignment="1">
      <alignment horizontal="center"/>
    </xf>
    <xf numFmtId="0" fontId="24" fillId="2" borderId="3" xfId="0" applyFont="1" applyFill="1" applyBorder="1" applyAlignment="1">
      <alignment horizontal="right"/>
    </xf>
    <xf numFmtId="10" fontId="19" fillId="0" borderId="5" xfId="0" applyNumberFormat="1" applyFont="1" applyBorder="1" applyAlignment="1">
      <alignment horizontal="center"/>
    </xf>
    <xf numFmtId="0" fontId="11" fillId="2" borderId="6" xfId="0" applyFont="1" applyFill="1" applyBorder="1" applyAlignment="1">
      <alignment horizontal="right"/>
    </xf>
    <xf numFmtId="10" fontId="19" fillId="0" borderId="6" xfId="0" applyNumberFormat="1" applyFont="1" applyBorder="1" applyAlignment="1">
      <alignment horizontal="center"/>
    </xf>
    <xf numFmtId="176" fontId="19" fillId="0" borderId="6" xfId="0" applyNumberFormat="1" applyFont="1" applyBorder="1" applyAlignment="1">
      <alignment horizontal="center"/>
    </xf>
    <xf numFmtId="0" fontId="11" fillId="0" borderId="1" xfId="0" applyFont="1" applyBorder="1"/>
    <xf numFmtId="164" fontId="18" fillId="5" borderId="5" xfId="0" applyNumberFormat="1" applyFont="1" applyFill="1" applyBorder="1" applyAlignment="1">
      <alignment horizontal="center"/>
    </xf>
    <xf numFmtId="0" fontId="11" fillId="0" borderId="2" xfId="0" applyFont="1" applyBorder="1"/>
    <xf numFmtId="10" fontId="18" fillId="5" borderId="5" xfId="2" applyNumberFormat="1" applyFont="1" applyFill="1" applyBorder="1" applyAlignment="1">
      <alignment horizontal="center"/>
    </xf>
    <xf numFmtId="10" fontId="18" fillId="5" borderId="5" xfId="0" applyNumberFormat="1" applyFont="1" applyFill="1" applyBorder="1" applyAlignment="1">
      <alignment horizontal="center"/>
    </xf>
    <xf numFmtId="174" fontId="18" fillId="5" borderId="5" xfId="0" applyNumberFormat="1" applyFont="1" applyFill="1" applyBorder="1" applyAlignment="1">
      <alignment horizontal="center"/>
    </xf>
    <xf numFmtId="10" fontId="18" fillId="5" borderId="6" xfId="2" applyNumberFormat="1" applyFont="1" applyFill="1" applyBorder="1" applyAlignment="1">
      <alignment horizontal="center"/>
    </xf>
    <xf numFmtId="164" fontId="16" fillId="0" borderId="7" xfId="0" applyNumberFormat="1" applyFont="1" applyBorder="1"/>
    <xf numFmtId="0" fontId="11" fillId="0" borderId="4" xfId="0" applyFont="1" applyBorder="1" applyAlignment="1">
      <alignment horizontal="center"/>
    </xf>
    <xf numFmtId="176" fontId="16" fillId="0" borderId="10" xfId="0" applyNumberFormat="1" applyFont="1" applyBorder="1" applyAlignment="1">
      <alignment horizontal="center"/>
    </xf>
    <xf numFmtId="0" fontId="11" fillId="0" borderId="5" xfId="0" applyFont="1" applyBorder="1" applyAlignment="1">
      <alignment horizontal="center"/>
    </xf>
    <xf numFmtId="0" fontId="11" fillId="0" borderId="0" xfId="0" applyFont="1" applyAlignment="1">
      <alignment horizontal="right"/>
    </xf>
    <xf numFmtId="10" fontId="28" fillId="0" borderId="0" xfId="0" applyNumberFormat="1" applyFont="1" applyAlignment="1">
      <alignment horizontal="center"/>
    </xf>
    <xf numFmtId="0" fontId="11" fillId="0" borderId="6" xfId="0" applyFont="1" applyBorder="1" applyAlignment="1">
      <alignment horizontal="center"/>
    </xf>
    <xf numFmtId="0" fontId="11" fillId="0" borderId="2" xfId="0" applyFont="1" applyBorder="1" applyAlignment="1">
      <alignment horizontal="center"/>
    </xf>
    <xf numFmtId="0" fontId="11" fillId="0" borderId="1" xfId="0" applyFont="1" applyBorder="1" applyAlignment="1">
      <alignment horizontal="center"/>
    </xf>
    <xf numFmtId="10" fontId="11" fillId="0" borderId="0" xfId="2" applyNumberFormat="1" applyFont="1" applyFill="1" applyBorder="1" applyAlignment="1">
      <alignment horizontal="center"/>
    </xf>
    <xf numFmtId="10" fontId="18" fillId="5" borderId="6" xfId="0" applyNumberFormat="1" applyFont="1" applyFill="1" applyBorder="1" applyAlignment="1">
      <alignment horizontal="center"/>
    </xf>
    <xf numFmtId="0" fontId="11" fillId="5" borderId="15" xfId="0" applyFont="1" applyFill="1" applyBorder="1"/>
    <xf numFmtId="14" fontId="27" fillId="5" borderId="1" xfId="0" applyNumberFormat="1" applyFont="1" applyFill="1" applyBorder="1" applyAlignment="1">
      <alignment horizontal="center"/>
    </xf>
    <xf numFmtId="14" fontId="27" fillId="5" borderId="7" xfId="0" applyNumberFormat="1" applyFont="1" applyFill="1" applyBorder="1" applyAlignment="1">
      <alignment horizontal="center"/>
    </xf>
    <xf numFmtId="0" fontId="11" fillId="5" borderId="14" xfId="0" applyFont="1" applyFill="1" applyBorder="1"/>
    <xf numFmtId="181" fontId="27" fillId="5" borderId="2" xfId="0" applyNumberFormat="1" applyFont="1" applyFill="1" applyBorder="1" applyAlignment="1">
      <alignment horizontal="center"/>
    </xf>
    <xf numFmtId="169" fontId="27" fillId="5" borderId="2" xfId="0" applyNumberFormat="1" applyFont="1" applyFill="1" applyBorder="1" applyAlignment="1">
      <alignment horizontal="center"/>
    </xf>
    <xf numFmtId="169" fontId="27" fillId="5" borderId="8" xfId="0" applyNumberFormat="1" applyFont="1" applyFill="1" applyBorder="1" applyAlignment="1">
      <alignment horizontal="center"/>
    </xf>
    <xf numFmtId="164" fontId="16" fillId="0" borderId="7" xfId="0" applyNumberFormat="1" applyFont="1" applyBorder="1" applyAlignment="1">
      <alignment horizontal="center"/>
    </xf>
    <xf numFmtId="0" fontId="24" fillId="2" borderId="6" xfId="0" applyFont="1" applyFill="1" applyBorder="1" applyAlignment="1">
      <alignment horizontal="right"/>
    </xf>
    <xf numFmtId="164" fontId="16" fillId="0" borderId="10" xfId="0" applyNumberFormat="1" applyFont="1" applyBorder="1" applyAlignment="1">
      <alignment horizontal="center"/>
    </xf>
    <xf numFmtId="10" fontId="11" fillId="0" borderId="0" xfId="2" applyNumberFormat="1" applyFont="1"/>
    <xf numFmtId="10" fontId="11" fillId="5" borderId="1" xfId="2" applyNumberFormat="1" applyFont="1" applyFill="1" applyBorder="1" applyAlignment="1">
      <alignment horizontal="center"/>
    </xf>
    <xf numFmtId="10" fontId="11" fillId="5" borderId="7" xfId="2" applyNumberFormat="1" applyFont="1" applyFill="1" applyBorder="1" applyAlignment="1">
      <alignment horizontal="center"/>
    </xf>
    <xf numFmtId="10" fontId="11" fillId="5" borderId="2" xfId="2" applyNumberFormat="1" applyFont="1" applyFill="1" applyBorder="1" applyAlignment="1">
      <alignment horizontal="center"/>
    </xf>
    <xf numFmtId="10" fontId="11" fillId="5" borderId="8" xfId="2" applyNumberFormat="1" applyFont="1" applyFill="1" applyBorder="1" applyAlignment="1">
      <alignment horizontal="center"/>
    </xf>
    <xf numFmtId="0" fontId="13" fillId="3" borderId="3" xfId="0" applyFont="1" applyFill="1" applyBorder="1" applyAlignment="1">
      <alignment horizontal="center"/>
    </xf>
    <xf numFmtId="0" fontId="13" fillId="3" borderId="12" xfId="0" applyFont="1" applyFill="1" applyBorder="1" applyAlignment="1">
      <alignment horizontal="center"/>
    </xf>
    <xf numFmtId="0" fontId="13" fillId="3" borderId="11" xfId="0" applyFont="1" applyFill="1" applyBorder="1"/>
    <xf numFmtId="169" fontId="13" fillId="3" borderId="13" xfId="0" applyNumberFormat="1" applyFont="1" applyFill="1" applyBorder="1" applyAlignment="1">
      <alignment horizontal="center"/>
    </xf>
    <xf numFmtId="169" fontId="13" fillId="3" borderId="12" xfId="0" applyNumberFormat="1" applyFont="1" applyFill="1" applyBorder="1" applyAlignment="1">
      <alignment horizontal="center"/>
    </xf>
    <xf numFmtId="168" fontId="16" fillId="0" borderId="7" xfId="0" applyNumberFormat="1" applyFont="1" applyBorder="1" applyAlignment="1">
      <alignment horizontal="center"/>
    </xf>
    <xf numFmtId="168" fontId="11" fillId="0" borderId="0" xfId="0" applyNumberFormat="1" applyFont="1"/>
    <xf numFmtId="10" fontId="16" fillId="0" borderId="8" xfId="0" applyNumberFormat="1" applyFont="1" applyBorder="1" applyAlignment="1">
      <alignment horizontal="center"/>
    </xf>
    <xf numFmtId="177" fontId="25" fillId="5" borderId="12" xfId="0" applyNumberFormat="1" applyFont="1" applyFill="1" applyBorder="1" applyAlignment="1">
      <alignment horizontal="center"/>
    </xf>
    <xf numFmtId="3" fontId="16" fillId="0" borderId="8" xfId="0" applyNumberFormat="1" applyFont="1" applyBorder="1" applyAlignment="1">
      <alignment horizontal="center"/>
    </xf>
    <xf numFmtId="0" fontId="13" fillId="3" borderId="13" xfId="0" applyFont="1" applyFill="1" applyBorder="1" applyAlignment="1">
      <alignment horizontal="center"/>
    </xf>
    <xf numFmtId="172" fontId="16" fillId="0" borderId="10" xfId="0" applyNumberFormat="1" applyFont="1" applyBorder="1" applyAlignment="1">
      <alignment horizontal="center"/>
    </xf>
    <xf numFmtId="38" fontId="16" fillId="0" borderId="7" xfId="0" applyNumberFormat="1" applyFont="1" applyBorder="1" applyAlignment="1">
      <alignment horizontal="center"/>
    </xf>
    <xf numFmtId="164" fontId="24" fillId="0" borderId="12" xfId="0" applyNumberFormat="1" applyFont="1" applyBorder="1" applyAlignment="1">
      <alignment horizontal="center"/>
    </xf>
    <xf numFmtId="3" fontId="11" fillId="0" borderId="10" xfId="0" applyNumberFormat="1" applyFont="1" applyBorder="1" applyAlignment="1">
      <alignment horizontal="center"/>
    </xf>
    <xf numFmtId="0" fontId="7" fillId="0" borderId="13" xfId="0" applyFont="1" applyBorder="1" applyAlignment="1">
      <alignment horizontal="center"/>
    </xf>
    <xf numFmtId="0" fontId="7" fillId="2" borderId="3" xfId="0" applyFont="1" applyFill="1" applyBorder="1" applyAlignment="1">
      <alignment horizontal="center"/>
    </xf>
    <xf numFmtId="0" fontId="7" fillId="0" borderId="1" xfId="0" applyFont="1" applyBorder="1" applyAlignment="1">
      <alignment horizontal="center"/>
    </xf>
    <xf numFmtId="0" fontId="15" fillId="3" borderId="11"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0" borderId="13" xfId="0" applyFont="1" applyBorder="1" applyAlignment="1">
      <alignment horizontal="center" vertical="center" wrapText="1"/>
    </xf>
    <xf numFmtId="165" fontId="8" fillId="5" borderId="3" xfId="0" applyNumberFormat="1" applyFont="1" applyFill="1" applyBorder="1" applyAlignment="1">
      <alignment horizontal="center" vertical="center" wrapText="1"/>
    </xf>
    <xf numFmtId="0" fontId="7" fillId="0" borderId="0" xfId="0" applyFont="1" applyAlignment="1">
      <alignment vertical="center" wrapText="1"/>
    </xf>
    <xf numFmtId="0" fontId="7" fillId="0" borderId="3" xfId="0" applyFont="1" applyBorder="1" applyAlignment="1">
      <alignment horizontal="center" vertical="center" wrapText="1"/>
    </xf>
    <xf numFmtId="1" fontId="8" fillId="5" borderId="3" xfId="2" applyNumberFormat="1" applyFont="1" applyFill="1" applyBorder="1" applyAlignment="1">
      <alignment horizontal="center" vertical="center" wrapText="1"/>
    </xf>
    <xf numFmtId="1" fontId="8" fillId="5" borderId="3" xfId="0" applyNumberFormat="1" applyFont="1" applyFill="1" applyBorder="1" applyAlignment="1">
      <alignment horizontal="center" vertical="center" wrapText="1"/>
    </xf>
    <xf numFmtId="3" fontId="8" fillId="5" borderId="3" xfId="0" applyNumberFormat="1" applyFont="1" applyFill="1" applyBorder="1" applyAlignment="1">
      <alignment horizontal="center" vertical="center" wrapText="1"/>
    </xf>
    <xf numFmtId="173" fontId="8" fillId="5" borderId="3" xfId="2" applyNumberFormat="1" applyFont="1" applyFill="1" applyBorder="1" applyAlignment="1">
      <alignment horizontal="center" vertical="center" wrapText="1"/>
    </xf>
    <xf numFmtId="0" fontId="15" fillId="3" borderId="13" xfId="0" applyFont="1" applyFill="1" applyBorder="1" applyAlignment="1">
      <alignment horizontal="centerContinuous"/>
    </xf>
    <xf numFmtId="0" fontId="15" fillId="3" borderId="12" xfId="0" applyFont="1" applyFill="1" applyBorder="1" applyAlignment="1">
      <alignment horizontal="centerContinuous"/>
    </xf>
    <xf numFmtId="0" fontId="29" fillId="5" borderId="11" xfId="0" applyFont="1" applyFill="1" applyBorder="1" applyAlignment="1">
      <alignment horizontal="center"/>
    </xf>
    <xf numFmtId="0" fontId="29" fillId="5" borderId="13" xfId="0" applyFont="1" applyFill="1" applyBorder="1" applyAlignment="1">
      <alignment horizontal="center"/>
    </xf>
    <xf numFmtId="0" fontId="29" fillId="5" borderId="12" xfId="0" applyFont="1" applyFill="1" applyBorder="1" applyAlignment="1">
      <alignment horizontal="center"/>
    </xf>
    <xf numFmtId="0" fontId="11" fillId="0" borderId="15" xfId="0" applyFont="1" applyBorder="1" applyAlignment="1">
      <alignment horizontal="center"/>
    </xf>
    <xf numFmtId="0" fontId="11" fillId="0" borderId="9" xfId="0" applyFont="1" applyBorder="1" applyAlignment="1">
      <alignment horizontal="center"/>
    </xf>
    <xf numFmtId="0" fontId="11" fillId="0" borderId="14" xfId="0" applyFont="1" applyBorder="1" applyAlignment="1">
      <alignment horizontal="center"/>
    </xf>
    <xf numFmtId="0" fontId="11" fillId="2" borderId="11" xfId="0" applyFont="1" applyFill="1" applyBorder="1"/>
    <xf numFmtId="0" fontId="24" fillId="2" borderId="12" xfId="0" applyFont="1" applyFill="1" applyBorder="1" applyAlignment="1">
      <alignment horizontal="center"/>
    </xf>
    <xf numFmtId="173" fontId="11" fillId="0" borderId="4" xfId="0" applyNumberFormat="1" applyFont="1" applyBorder="1" applyAlignment="1">
      <alignment horizontal="center"/>
    </xf>
    <xf numFmtId="173" fontId="11" fillId="0" borderId="5" xfId="0" applyNumberFormat="1" applyFont="1" applyBorder="1" applyAlignment="1">
      <alignment horizontal="center"/>
    </xf>
    <xf numFmtId="173" fontId="11" fillId="0" borderId="6" xfId="0" applyNumberFormat="1" applyFont="1" applyBorder="1" applyAlignment="1">
      <alignment horizontal="center"/>
    </xf>
    <xf numFmtId="173" fontId="24" fillId="0" borderId="6" xfId="0" applyNumberFormat="1" applyFont="1" applyBorder="1" applyAlignment="1">
      <alignment horizontal="center"/>
    </xf>
    <xf numFmtId="3" fontId="11" fillId="0" borderId="4" xfId="0" applyNumberFormat="1" applyFont="1" applyBorder="1" applyAlignment="1">
      <alignment horizontal="center"/>
    </xf>
    <xf numFmtId="3" fontId="11" fillId="0" borderId="5" xfId="0" applyNumberFormat="1" applyFont="1" applyBorder="1" applyAlignment="1">
      <alignment horizontal="center"/>
    </xf>
    <xf numFmtId="3" fontId="11" fillId="0" borderId="6" xfId="0" applyNumberFormat="1" applyFont="1" applyBorder="1" applyAlignment="1">
      <alignment horizontal="center"/>
    </xf>
    <xf numFmtId="3" fontId="24" fillId="0" borderId="6" xfId="0" applyNumberFormat="1" applyFont="1" applyBorder="1" applyAlignment="1">
      <alignment horizontal="center"/>
    </xf>
    <xf numFmtId="0" fontId="11" fillId="0" borderId="13" xfId="0" applyFont="1" applyBorder="1"/>
    <xf numFmtId="0" fontId="13" fillId="3" borderId="5" xfId="0" applyFont="1" applyFill="1" applyBorder="1" applyAlignment="1">
      <alignment horizontal="right"/>
    </xf>
    <xf numFmtId="0" fontId="13" fillId="3" borderId="1" xfId="0" applyFont="1" applyFill="1" applyBorder="1"/>
    <xf numFmtId="0" fontId="13" fillId="3" borderId="7" xfId="0" applyFont="1" applyFill="1" applyBorder="1" applyAlignment="1">
      <alignment horizontal="center"/>
    </xf>
    <xf numFmtId="0" fontId="11" fillId="5" borderId="3" xfId="0" applyFont="1" applyFill="1" applyBorder="1" applyAlignment="1">
      <alignment horizontal="center"/>
    </xf>
    <xf numFmtId="0" fontId="13" fillId="3" borderId="3" xfId="0" applyFont="1" applyFill="1" applyBorder="1" applyAlignment="1">
      <alignment horizontal="right"/>
    </xf>
    <xf numFmtId="0" fontId="13" fillId="3" borderId="15" xfId="0" applyFont="1" applyFill="1" applyBorder="1" applyAlignment="1">
      <alignment horizontal="right"/>
    </xf>
    <xf numFmtId="0" fontId="13" fillId="3" borderId="1" xfId="0" applyFont="1" applyFill="1" applyBorder="1" applyAlignment="1">
      <alignment horizontal="center"/>
    </xf>
    <xf numFmtId="0" fontId="13" fillId="0" borderId="0" xfId="0" applyFont="1" applyAlignment="1">
      <alignment horizontal="center"/>
    </xf>
    <xf numFmtId="0" fontId="13" fillId="0" borderId="9" xfId="0" applyFont="1" applyBorder="1" applyAlignment="1">
      <alignment horizontal="center"/>
    </xf>
    <xf numFmtId="183" fontId="11" fillId="5" borderId="3" xfId="0" applyNumberFormat="1" applyFont="1" applyFill="1" applyBorder="1" applyAlignment="1">
      <alignment horizontal="center"/>
    </xf>
    <xf numFmtId="182" fontId="19" fillId="5" borderId="11" xfId="0" applyNumberFormat="1" applyFont="1" applyFill="1" applyBorder="1" applyAlignment="1">
      <alignment horizontal="center"/>
    </xf>
    <xf numFmtId="0" fontId="7" fillId="4" borderId="3" xfId="0" applyFont="1" applyFill="1" applyBorder="1" applyAlignment="1">
      <alignment horizontal="center"/>
    </xf>
    <xf numFmtId="164" fontId="7" fillId="4" borderId="3" xfId="0" applyNumberFormat="1" applyFont="1" applyFill="1" applyBorder="1" applyAlignment="1">
      <alignment horizontal="center"/>
    </xf>
    <xf numFmtId="14" fontId="7" fillId="4" borderId="3" xfId="0" applyNumberFormat="1" applyFont="1" applyFill="1" applyBorder="1" applyAlignment="1">
      <alignment horizontal="center"/>
    </xf>
    <xf numFmtId="1" fontId="7" fillId="4" borderId="3" xfId="0" applyNumberFormat="1" applyFont="1" applyFill="1" applyBorder="1" applyAlignment="1">
      <alignment horizontal="center"/>
    </xf>
    <xf numFmtId="0" fontId="11" fillId="0" borderId="3" xfId="0" applyFont="1" applyBorder="1" applyAlignment="1">
      <alignment horizontal="center"/>
    </xf>
    <xf numFmtId="3" fontId="11" fillId="0" borderId="0" xfId="0" applyNumberFormat="1" applyFont="1" applyAlignment="1">
      <alignment horizontal="center"/>
    </xf>
    <xf numFmtId="164" fontId="11" fillId="0" borderId="2" xfId="0" applyNumberFormat="1" applyFont="1" applyBorder="1" applyAlignment="1">
      <alignment horizontal="center"/>
    </xf>
    <xf numFmtId="3" fontId="11" fillId="0" borderId="2" xfId="0" applyNumberFormat="1" applyFont="1" applyBorder="1" applyAlignment="1">
      <alignment horizontal="center"/>
    </xf>
    <xf numFmtId="164" fontId="11" fillId="0" borderId="8" xfId="0" applyNumberFormat="1" applyFont="1" applyBorder="1" applyAlignment="1">
      <alignment horizontal="center"/>
    </xf>
    <xf numFmtId="179" fontId="11" fillId="0" borderId="0" xfId="2" applyNumberFormat="1" applyFont="1"/>
    <xf numFmtId="180" fontId="11" fillId="0" borderId="0" xfId="2" applyNumberFormat="1" applyFont="1"/>
    <xf numFmtId="1" fontId="11" fillId="0" borderId="9" xfId="0" applyNumberFormat="1" applyFont="1" applyBorder="1" applyAlignment="1">
      <alignment horizontal="center"/>
    </xf>
    <xf numFmtId="172" fontId="11" fillId="0" borderId="0" xfId="0" applyNumberFormat="1" applyFont="1" applyAlignment="1">
      <alignment horizontal="center"/>
    </xf>
    <xf numFmtId="1" fontId="11" fillId="0" borderId="14" xfId="0" applyNumberFormat="1" applyFont="1" applyBorder="1" applyAlignment="1">
      <alignment horizontal="center"/>
    </xf>
    <xf numFmtId="172" fontId="11" fillId="0" borderId="2" xfId="0" applyNumberFormat="1" applyFont="1" applyBorder="1" applyAlignment="1">
      <alignment horizontal="center"/>
    </xf>
    <xf numFmtId="3" fontId="11" fillId="0" borderId="8" xfId="0" applyNumberFormat="1" applyFont="1" applyBorder="1" applyAlignment="1">
      <alignment horizontal="center"/>
    </xf>
    <xf numFmtId="0" fontId="11" fillId="2" borderId="3" xfId="0" applyFont="1" applyFill="1" applyBorder="1" applyAlignment="1">
      <alignment horizontal="center"/>
    </xf>
    <xf numFmtId="173" fontId="11" fillId="5" borderId="3" xfId="0" applyNumberFormat="1" applyFont="1" applyFill="1" applyBorder="1" applyAlignment="1">
      <alignment horizontal="center"/>
    </xf>
    <xf numFmtId="10" fontId="11" fillId="5" borderId="3" xfId="2" applyNumberFormat="1" applyFont="1" applyFill="1" applyBorder="1" applyAlignment="1">
      <alignment horizontal="center"/>
    </xf>
    <xf numFmtId="173" fontId="11" fillId="5" borderId="3" xfId="2" applyNumberFormat="1" applyFont="1" applyFill="1" applyBorder="1" applyAlignment="1">
      <alignment horizontal="center"/>
    </xf>
    <xf numFmtId="1" fontId="11" fillId="5" borderId="3" xfId="2" applyNumberFormat="1" applyFont="1" applyFill="1" applyBorder="1" applyAlignment="1">
      <alignment horizontal="center"/>
    </xf>
    <xf numFmtId="2" fontId="11" fillId="5" borderId="3" xfId="2" applyNumberFormat="1" applyFont="1" applyFill="1" applyBorder="1" applyAlignment="1">
      <alignment horizontal="center"/>
    </xf>
    <xf numFmtId="0" fontId="11" fillId="2" borderId="4" xfId="0" applyFont="1" applyFill="1" applyBorder="1" applyAlignment="1">
      <alignment horizontal="center"/>
    </xf>
    <xf numFmtId="14" fontId="11" fillId="0" borderId="1" xfId="2" applyNumberFormat="1" applyFont="1" applyFill="1" applyBorder="1" applyAlignment="1">
      <alignment horizontal="center"/>
    </xf>
    <xf numFmtId="167" fontId="11" fillId="0" borderId="0" xfId="0" applyNumberFormat="1" applyFont="1"/>
    <xf numFmtId="10" fontId="24" fillId="5" borderId="12" xfId="2" applyNumberFormat="1" applyFont="1" applyFill="1" applyBorder="1" applyAlignment="1">
      <alignment horizontal="center"/>
    </xf>
    <xf numFmtId="177" fontId="24" fillId="5" borderId="12" xfId="2" applyNumberFormat="1" applyFont="1" applyFill="1" applyBorder="1" applyAlignment="1">
      <alignment horizontal="center"/>
    </xf>
    <xf numFmtId="164" fontId="11" fillId="5" borderId="0" xfId="0" applyNumberFormat="1" applyFont="1" applyFill="1" applyAlignment="1">
      <alignment horizontal="center"/>
    </xf>
    <xf numFmtId="164" fontId="11" fillId="5" borderId="10" xfId="0" applyNumberFormat="1" applyFont="1" applyFill="1" applyBorder="1" applyAlignment="1">
      <alignment horizontal="center"/>
    </xf>
    <xf numFmtId="164" fontId="11" fillId="5" borderId="0" xfId="0" applyNumberFormat="1" applyFont="1" applyFill="1"/>
    <xf numFmtId="164" fontId="11" fillId="5" borderId="10" xfId="0" applyNumberFormat="1" applyFont="1" applyFill="1" applyBorder="1"/>
    <xf numFmtId="164" fontId="11" fillId="5" borderId="2" xfId="0" applyNumberFormat="1" applyFont="1" applyFill="1" applyBorder="1" applyAlignment="1">
      <alignment horizontal="center"/>
    </xf>
    <xf numFmtId="164" fontId="11" fillId="5" borderId="2" xfId="0" applyNumberFormat="1" applyFont="1" applyFill="1" applyBorder="1"/>
    <xf numFmtId="164" fontId="11" fillId="5" borderId="8" xfId="0" applyNumberFormat="1" applyFont="1" applyFill="1" applyBorder="1"/>
    <xf numFmtId="164" fontId="24" fillId="5" borderId="11" xfId="0" applyNumberFormat="1" applyFont="1" applyFill="1" applyBorder="1" applyAlignment="1">
      <alignment horizontal="center"/>
    </xf>
    <xf numFmtId="164" fontId="24" fillId="5" borderId="13" xfId="0" applyNumberFormat="1" applyFont="1" applyFill="1" applyBorder="1" applyAlignment="1">
      <alignment horizontal="center"/>
    </xf>
    <xf numFmtId="164" fontId="24" fillId="5" borderId="12" xfId="0" applyNumberFormat="1" applyFont="1" applyFill="1" applyBorder="1" applyAlignment="1">
      <alignment horizontal="center"/>
    </xf>
    <xf numFmtId="167" fontId="16" fillId="4" borderId="10" xfId="0" applyNumberFormat="1" applyFont="1" applyFill="1" applyBorder="1" applyAlignment="1">
      <alignment horizontal="center"/>
    </xf>
    <xf numFmtId="0" fontId="11" fillId="4" borderId="9" xfId="0" applyFont="1" applyFill="1" applyBorder="1" applyAlignment="1">
      <alignment horizontal="center"/>
    </xf>
    <xf numFmtId="176" fontId="16" fillId="4" borderId="10" xfId="0" applyNumberFormat="1" applyFont="1" applyFill="1" applyBorder="1" applyAlignment="1">
      <alignment horizontal="center"/>
    </xf>
    <xf numFmtId="178" fontId="16" fillId="4" borderId="10" xfId="0" applyNumberFormat="1" applyFont="1" applyFill="1" applyBorder="1" applyAlignment="1">
      <alignment horizontal="center"/>
    </xf>
    <xf numFmtId="10" fontId="16" fillId="4" borderId="10" xfId="0" applyNumberFormat="1" applyFont="1" applyFill="1" applyBorder="1" applyAlignment="1">
      <alignment horizontal="center"/>
    </xf>
    <xf numFmtId="0" fontId="11" fillId="4" borderId="14" xfId="0" applyFont="1" applyFill="1" applyBorder="1" applyAlignment="1">
      <alignment horizontal="center"/>
    </xf>
    <xf numFmtId="177" fontId="11" fillId="0" borderId="0" xfId="0" applyNumberFormat="1" applyFont="1"/>
    <xf numFmtId="10" fontId="24" fillId="5" borderId="3" xfId="2" applyNumberFormat="1" applyFont="1" applyFill="1" applyBorder="1" applyAlignment="1">
      <alignment horizontal="center"/>
    </xf>
    <xf numFmtId="179" fontId="22" fillId="5" borderId="12" xfId="2" applyNumberFormat="1" applyFont="1" applyFill="1" applyBorder="1" applyAlignment="1">
      <alignment horizontal="centerContinuous"/>
    </xf>
    <xf numFmtId="179" fontId="22" fillId="5" borderId="12" xfId="2" applyNumberFormat="1" applyFont="1" applyFill="1" applyBorder="1" applyAlignment="1">
      <alignment horizontal="center"/>
    </xf>
    <xf numFmtId="164" fontId="24" fillId="3" borderId="3" xfId="0" applyNumberFormat="1" applyFont="1" applyFill="1" applyBorder="1" applyAlignment="1">
      <alignment horizontal="centerContinuous"/>
    </xf>
    <xf numFmtId="0" fontId="22" fillId="2" borderId="4" xfId="0" applyFont="1" applyFill="1" applyBorder="1" applyAlignment="1">
      <alignment horizontal="right"/>
    </xf>
    <xf numFmtId="164" fontId="16" fillId="4" borderId="7" xfId="0" applyNumberFormat="1" applyFont="1" applyFill="1" applyBorder="1" applyAlignment="1">
      <alignment horizontal="center"/>
    </xf>
    <xf numFmtId="0" fontId="22" fillId="2" borderId="5" xfId="0" applyFont="1" applyFill="1" applyBorder="1" applyAlignment="1">
      <alignment horizontal="right"/>
    </xf>
    <xf numFmtId="164" fontId="16" fillId="4" borderId="10" xfId="0" applyNumberFormat="1" applyFont="1" applyFill="1" applyBorder="1" applyAlignment="1">
      <alignment horizontal="center"/>
    </xf>
    <xf numFmtId="10" fontId="18" fillId="5" borderId="8" xfId="0" applyNumberFormat="1" applyFont="1" applyFill="1" applyBorder="1" applyAlignment="1">
      <alignment horizontal="center"/>
    </xf>
    <xf numFmtId="0" fontId="30" fillId="0" borderId="0" xfId="0" applyFont="1"/>
    <xf numFmtId="179" fontId="16" fillId="0" borderId="10" xfId="2" applyNumberFormat="1" applyFont="1" applyBorder="1" applyAlignment="1">
      <alignment horizontal="center"/>
    </xf>
    <xf numFmtId="0" fontId="13" fillId="3" borderId="4" xfId="0" applyFont="1" applyFill="1" applyBorder="1" applyAlignment="1">
      <alignment horizontal="right"/>
    </xf>
    <xf numFmtId="168" fontId="13" fillId="3" borderId="7" xfId="0" applyNumberFormat="1" applyFont="1" applyFill="1" applyBorder="1" applyAlignment="1">
      <alignment horizontal="center"/>
    </xf>
    <xf numFmtId="0" fontId="12" fillId="3" borderId="13" xfId="0" applyFont="1" applyFill="1" applyBorder="1" applyAlignment="1">
      <alignment horizontal="centerContinuous"/>
    </xf>
    <xf numFmtId="0" fontId="17" fillId="3" borderId="11" xfId="0" applyFont="1" applyFill="1" applyBorder="1"/>
    <xf numFmtId="169" fontId="17" fillId="3" borderId="13" xfId="0" applyNumberFormat="1" applyFont="1" applyFill="1" applyBorder="1" applyAlignment="1">
      <alignment horizontal="center"/>
    </xf>
    <xf numFmtId="169" fontId="17" fillId="3" borderId="12" xfId="0" applyNumberFormat="1" applyFont="1" applyFill="1" applyBorder="1" applyAlignment="1">
      <alignment horizontal="center"/>
    </xf>
    <xf numFmtId="164" fontId="24" fillId="0" borderId="2" xfId="0" applyNumberFormat="1" applyFont="1" applyBorder="1" applyAlignment="1">
      <alignment horizontal="center"/>
    </xf>
    <xf numFmtId="164" fontId="24" fillId="0" borderId="8" xfId="0" applyNumberFormat="1" applyFont="1" applyBorder="1" applyAlignment="1">
      <alignment horizontal="center"/>
    </xf>
    <xf numFmtId="10" fontId="11" fillId="2" borderId="1" xfId="0" applyNumberFormat="1" applyFont="1" applyFill="1" applyBorder="1" applyAlignment="1">
      <alignment horizontal="center"/>
    </xf>
    <xf numFmtId="10" fontId="11" fillId="2" borderId="7" xfId="0" applyNumberFormat="1" applyFont="1" applyFill="1" applyBorder="1" applyAlignment="1">
      <alignment horizontal="center"/>
    </xf>
    <xf numFmtId="10" fontId="30" fillId="2" borderId="15" xfId="0" applyNumberFormat="1" applyFont="1" applyFill="1" applyBorder="1"/>
    <xf numFmtId="10" fontId="11" fillId="2" borderId="13" xfId="0" applyNumberFormat="1" applyFont="1" applyFill="1" applyBorder="1" applyAlignment="1">
      <alignment horizontal="center"/>
    </xf>
    <xf numFmtId="10" fontId="11" fillId="2" borderId="12" xfId="0" applyNumberFormat="1" applyFont="1" applyFill="1" applyBorder="1" applyAlignment="1">
      <alignment horizontal="center"/>
    </xf>
    <xf numFmtId="10" fontId="11" fillId="2" borderId="5" xfId="0" applyNumberFormat="1" applyFont="1" applyFill="1" applyBorder="1"/>
    <xf numFmtId="10" fontId="11" fillId="2" borderId="6" xfId="0" applyNumberFormat="1" applyFont="1" applyFill="1" applyBorder="1"/>
    <xf numFmtId="10" fontId="19" fillId="0" borderId="7" xfId="2" applyNumberFormat="1" applyFont="1" applyBorder="1" applyAlignment="1">
      <alignment horizontal="center"/>
    </xf>
    <xf numFmtId="10" fontId="19" fillId="0" borderId="10" xfId="2" applyNumberFormat="1" applyFont="1" applyBorder="1" applyAlignment="1">
      <alignment horizontal="center"/>
    </xf>
    <xf numFmtId="179" fontId="18" fillId="5" borderId="10" xfId="2" applyNumberFormat="1" applyFont="1" applyFill="1" applyBorder="1" applyAlignment="1">
      <alignment horizontal="center"/>
    </xf>
    <xf numFmtId="10" fontId="18" fillId="5" borderId="10" xfId="0" applyNumberFormat="1" applyFont="1" applyFill="1" applyBorder="1" applyAlignment="1">
      <alignment horizontal="center"/>
    </xf>
    <xf numFmtId="0" fontId="13" fillId="0" borderId="0" xfId="0" applyFont="1" applyAlignment="1">
      <alignment horizontal="centerContinuous"/>
    </xf>
    <xf numFmtId="10" fontId="13" fillId="0" borderId="0" xfId="0" applyNumberFormat="1" applyFont="1" applyAlignment="1">
      <alignment horizontal="centerContinuous"/>
    </xf>
    <xf numFmtId="10" fontId="30" fillId="5" borderId="3" xfId="2" applyNumberFormat="1" applyFont="1" applyFill="1" applyBorder="1" applyAlignment="1">
      <alignment horizontal="center"/>
    </xf>
    <xf numFmtId="10" fontId="25" fillId="0" borderId="8" xfId="2" applyNumberFormat="1" applyFont="1" applyBorder="1" applyAlignment="1">
      <alignment horizontal="center"/>
    </xf>
    <xf numFmtId="173" fontId="16" fillId="0" borderId="10" xfId="2" applyNumberFormat="1" applyFont="1" applyBorder="1" applyAlignment="1">
      <alignment horizontal="center"/>
    </xf>
    <xf numFmtId="167" fontId="11" fillId="5" borderId="0" xfId="0" applyNumberFormat="1" applyFont="1" applyFill="1" applyAlignment="1">
      <alignment horizontal="center"/>
    </xf>
    <xf numFmtId="177" fontId="11" fillId="5" borderId="0" xfId="0" applyNumberFormat="1" applyFont="1" applyFill="1" applyAlignment="1">
      <alignment horizontal="center"/>
    </xf>
    <xf numFmtId="167" fontId="11" fillId="5" borderId="10" xfId="0" applyNumberFormat="1" applyFont="1" applyFill="1" applyBorder="1" applyAlignment="1">
      <alignment horizontal="center"/>
    </xf>
    <xf numFmtId="167" fontId="11" fillId="5" borderId="2" xfId="0" applyNumberFormat="1" applyFont="1" applyFill="1" applyBorder="1" applyAlignment="1">
      <alignment horizontal="center"/>
    </xf>
    <xf numFmtId="177" fontId="11" fillId="5" borderId="2" xfId="0" applyNumberFormat="1" applyFont="1" applyFill="1" applyBorder="1" applyAlignment="1">
      <alignment horizontal="center"/>
    </xf>
    <xf numFmtId="167" fontId="11" fillId="5" borderId="8" xfId="0" applyNumberFormat="1" applyFont="1" applyFill="1" applyBorder="1" applyAlignment="1">
      <alignment horizontal="center"/>
    </xf>
    <xf numFmtId="177" fontId="18" fillId="5" borderId="8" xfId="0" applyNumberFormat="1" applyFont="1" applyFill="1" applyBorder="1" applyAlignment="1">
      <alignment horizontal="center"/>
    </xf>
    <xf numFmtId="181" fontId="27" fillId="5" borderId="0" xfId="0" applyNumberFormat="1" applyFont="1" applyFill="1" applyAlignment="1">
      <alignment horizontal="center"/>
    </xf>
    <xf numFmtId="0" fontId="31" fillId="3" borderId="4" xfId="0" applyFont="1" applyFill="1" applyBorder="1" applyAlignment="1">
      <alignment horizontal="right"/>
    </xf>
    <xf numFmtId="0" fontId="31" fillId="3" borderId="5" xfId="0" applyFont="1" applyFill="1" applyBorder="1" applyAlignment="1">
      <alignment horizontal="right"/>
    </xf>
    <xf numFmtId="0" fontId="31" fillId="3" borderId="6" xfId="0" applyFont="1" applyFill="1" applyBorder="1" applyAlignment="1">
      <alignment horizontal="right"/>
    </xf>
    <xf numFmtId="185" fontId="27" fillId="5" borderId="0" xfId="0" applyNumberFormat="1" applyFont="1" applyFill="1" applyAlignment="1">
      <alignment horizontal="center"/>
    </xf>
    <xf numFmtId="185" fontId="27" fillId="5" borderId="10" xfId="0" applyNumberFormat="1" applyFont="1" applyFill="1" applyBorder="1" applyAlignment="1">
      <alignment horizontal="center"/>
    </xf>
    <xf numFmtId="164" fontId="11" fillId="5" borderId="9" xfId="0" applyNumberFormat="1" applyFont="1" applyFill="1" applyBorder="1" applyAlignment="1">
      <alignment horizontal="center"/>
    </xf>
    <xf numFmtId="164" fontId="18" fillId="5" borderId="0" xfId="0" applyNumberFormat="1" applyFont="1" applyFill="1" applyAlignment="1">
      <alignment horizontal="center"/>
    </xf>
    <xf numFmtId="164" fontId="18" fillId="5" borderId="1" xfId="0" applyNumberFormat="1" applyFont="1" applyFill="1" applyBorder="1" applyAlignment="1">
      <alignment horizontal="center"/>
    </xf>
    <xf numFmtId="164" fontId="18" fillId="5" borderId="7" xfId="0" applyNumberFormat="1" applyFont="1" applyFill="1" applyBorder="1" applyAlignment="1">
      <alignment horizontal="center"/>
    </xf>
    <xf numFmtId="164" fontId="18" fillId="5" borderId="10" xfId="0" applyNumberFormat="1" applyFont="1" applyFill="1" applyBorder="1" applyAlignment="1">
      <alignment horizontal="center"/>
    </xf>
    <xf numFmtId="164" fontId="25" fillId="5" borderId="13" xfId="0" applyNumberFormat="1" applyFont="1" applyFill="1" applyBorder="1" applyAlignment="1">
      <alignment horizontal="center"/>
    </xf>
    <xf numFmtId="164" fontId="25" fillId="5" borderId="12" xfId="0" applyNumberFormat="1" applyFont="1" applyFill="1" applyBorder="1" applyAlignment="1">
      <alignment horizontal="center"/>
    </xf>
    <xf numFmtId="164" fontId="11" fillId="5" borderId="1" xfId="0" applyNumberFormat="1" applyFont="1" applyFill="1" applyBorder="1" applyAlignment="1">
      <alignment horizontal="center"/>
    </xf>
    <xf numFmtId="185" fontId="19" fillId="0" borderId="5" xfId="0" applyNumberFormat="1" applyFont="1" applyBorder="1" applyAlignment="1">
      <alignment horizontal="center"/>
    </xf>
    <xf numFmtId="174" fontId="18" fillId="5" borderId="6" xfId="0" applyNumberFormat="1" applyFont="1" applyFill="1" applyBorder="1" applyAlignment="1">
      <alignment horizontal="center"/>
    </xf>
    <xf numFmtId="167" fontId="16" fillId="5" borderId="7" xfId="0" applyNumberFormat="1" applyFont="1" applyFill="1" applyBorder="1" applyAlignment="1">
      <alignment horizontal="center"/>
    </xf>
    <xf numFmtId="10" fontId="18" fillId="5" borderId="10" xfId="2" applyNumberFormat="1" applyFont="1" applyFill="1" applyBorder="1" applyAlignment="1">
      <alignment horizontal="center"/>
    </xf>
    <xf numFmtId="164" fontId="11" fillId="5" borderId="7" xfId="0" applyNumberFormat="1" applyFont="1" applyFill="1" applyBorder="1" applyAlignment="1">
      <alignment horizontal="center"/>
    </xf>
    <xf numFmtId="164" fontId="11" fillId="5" borderId="8" xfId="1" applyNumberFormat="1" applyFont="1" applyFill="1" applyBorder="1" applyAlignment="1">
      <alignment horizontal="center"/>
    </xf>
    <xf numFmtId="168" fontId="18" fillId="5" borderId="10" xfId="0" applyNumberFormat="1" applyFont="1" applyFill="1" applyBorder="1" applyAlignment="1">
      <alignment horizontal="center"/>
    </xf>
    <xf numFmtId="184" fontId="18" fillId="5" borderId="8" xfId="0" applyNumberFormat="1" applyFont="1" applyFill="1" applyBorder="1" applyAlignment="1">
      <alignment horizontal="center"/>
    </xf>
    <xf numFmtId="164" fontId="7" fillId="5" borderId="7" xfId="0" applyNumberFormat="1" applyFont="1" applyFill="1" applyBorder="1" applyAlignment="1">
      <alignment horizontal="center"/>
    </xf>
    <xf numFmtId="177" fontId="7" fillId="5" borderId="10" xfId="0" applyNumberFormat="1" applyFont="1" applyFill="1" applyBorder="1" applyAlignment="1">
      <alignment horizontal="center"/>
    </xf>
    <xf numFmtId="177" fontId="7" fillId="5" borderId="8" xfId="0" applyNumberFormat="1" applyFont="1" applyFill="1" applyBorder="1" applyAlignment="1">
      <alignment horizontal="center"/>
    </xf>
    <xf numFmtId="0" fontId="11" fillId="2" borderId="5" xfId="0" applyFont="1" applyFill="1" applyBorder="1" applyAlignment="1">
      <alignment horizontal="center"/>
    </xf>
    <xf numFmtId="0" fontId="11" fillId="2" borderId="6" xfId="0" applyFont="1" applyFill="1" applyBorder="1" applyAlignment="1">
      <alignment horizontal="center"/>
    </xf>
    <xf numFmtId="0" fontId="18" fillId="0" borderId="0" xfId="0" applyFont="1" applyAlignment="1">
      <alignment horizontal="left"/>
    </xf>
    <xf numFmtId="0" fontId="11" fillId="4" borderId="3" xfId="0" applyFont="1" applyFill="1" applyBorder="1" applyAlignment="1">
      <alignment horizontal="center"/>
    </xf>
    <xf numFmtId="14" fontId="11" fillId="4" borderId="3" xfId="0" applyNumberFormat="1" applyFont="1" applyFill="1" applyBorder="1" applyAlignment="1">
      <alignment horizontal="center"/>
    </xf>
    <xf numFmtId="164" fontId="19" fillId="4" borderId="7" xfId="0" applyNumberFormat="1" applyFont="1" applyFill="1" applyBorder="1" applyAlignment="1">
      <alignment horizontal="center"/>
    </xf>
    <xf numFmtId="10" fontId="19" fillId="4" borderId="10" xfId="1" applyNumberFormat="1" applyFont="1" applyFill="1" applyBorder="1" applyAlignment="1">
      <alignment horizontal="center"/>
    </xf>
    <xf numFmtId="164" fontId="19" fillId="4" borderId="8" xfId="1" applyNumberFormat="1" applyFont="1" applyFill="1" applyBorder="1" applyAlignment="1">
      <alignment horizontal="center"/>
    </xf>
    <xf numFmtId="9" fontId="16" fillId="4" borderId="0" xfId="0" applyNumberFormat="1" applyFont="1" applyFill="1" applyAlignment="1">
      <alignment horizontal="center"/>
    </xf>
    <xf numFmtId="9" fontId="18" fillId="4" borderId="0" xfId="0" applyNumberFormat="1" applyFont="1" applyFill="1" applyAlignment="1">
      <alignment horizontal="center"/>
    </xf>
    <xf numFmtId="168" fontId="16" fillId="4" borderId="0" xfId="0" applyNumberFormat="1" applyFont="1" applyFill="1" applyAlignment="1">
      <alignment horizontal="center"/>
    </xf>
    <xf numFmtId="10" fontId="16" fillId="4" borderId="0" xfId="0" applyNumberFormat="1" applyFont="1" applyFill="1" applyAlignment="1">
      <alignment horizontal="center"/>
    </xf>
    <xf numFmtId="167" fontId="16" fillId="4" borderId="0" xfId="0" applyNumberFormat="1" applyFont="1" applyFill="1" applyAlignment="1">
      <alignment horizontal="center"/>
    </xf>
    <xf numFmtId="178" fontId="16" fillId="4" borderId="2" xfId="0" applyNumberFormat="1" applyFont="1" applyFill="1" applyBorder="1" applyAlignment="1">
      <alignment horizontal="center"/>
    </xf>
    <xf numFmtId="9" fontId="18" fillId="4" borderId="7" xfId="0" applyNumberFormat="1" applyFont="1" applyFill="1" applyBorder="1" applyAlignment="1">
      <alignment horizontal="center"/>
    </xf>
    <xf numFmtId="0" fontId="11" fillId="4" borderId="5" xfId="0" applyFont="1" applyFill="1" applyBorder="1" applyAlignment="1">
      <alignment horizontal="center"/>
    </xf>
    <xf numFmtId="0" fontId="11" fillId="4" borderId="6" xfId="0" applyFont="1" applyFill="1" applyBorder="1" applyAlignment="1">
      <alignment horizontal="center"/>
    </xf>
    <xf numFmtId="164" fontId="11" fillId="5" borderId="4" xfId="0" applyNumberFormat="1" applyFont="1" applyFill="1" applyBorder="1" applyAlignment="1">
      <alignment horizontal="center"/>
    </xf>
    <xf numFmtId="164" fontId="11" fillId="5" borderId="5" xfId="0" applyNumberFormat="1" applyFont="1" applyFill="1" applyBorder="1" applyAlignment="1">
      <alignment horizontal="center"/>
    </xf>
    <xf numFmtId="173" fontId="11" fillId="5" borderId="5" xfId="2" applyNumberFormat="1" applyFont="1" applyFill="1" applyBorder="1" applyAlignment="1">
      <alignment horizontal="center"/>
    </xf>
    <xf numFmtId="177" fontId="11" fillId="5" borderId="6" xfId="0" applyNumberFormat="1" applyFont="1" applyFill="1" applyBorder="1" applyAlignment="1">
      <alignment horizontal="center"/>
    </xf>
    <xf numFmtId="164" fontId="16" fillId="4" borderId="8" xfId="0" applyNumberFormat="1" applyFont="1" applyFill="1" applyBorder="1" applyAlignment="1">
      <alignment horizontal="center"/>
    </xf>
    <xf numFmtId="175" fontId="16" fillId="4" borderId="10" xfId="0" applyNumberFormat="1" applyFont="1" applyFill="1" applyBorder="1" applyAlignment="1">
      <alignment horizontal="center"/>
    </xf>
    <xf numFmtId="164" fontId="22" fillId="4" borderId="8" xfId="0" applyNumberFormat="1" applyFont="1" applyFill="1" applyBorder="1" applyAlignment="1">
      <alignment horizontal="center"/>
    </xf>
    <xf numFmtId="174" fontId="24" fillId="5" borderId="3" xfId="2" applyNumberFormat="1" applyFont="1" applyFill="1" applyBorder="1" applyAlignment="1">
      <alignment horizontal="center"/>
    </xf>
    <xf numFmtId="164" fontId="14" fillId="4" borderId="7" xfId="0" applyNumberFormat="1" applyFont="1" applyFill="1" applyBorder="1" applyAlignment="1">
      <alignment horizontal="center"/>
    </xf>
    <xf numFmtId="167" fontId="14" fillId="4" borderId="10" xfId="0" applyNumberFormat="1" applyFont="1" applyFill="1" applyBorder="1" applyAlignment="1">
      <alignment horizontal="center"/>
    </xf>
    <xf numFmtId="10" fontId="14" fillId="4" borderId="10" xfId="0" applyNumberFormat="1" applyFont="1" applyFill="1" applyBorder="1" applyAlignment="1">
      <alignment horizontal="center"/>
    </xf>
    <xf numFmtId="175" fontId="14" fillId="4" borderId="10" xfId="0" applyNumberFormat="1" applyFont="1" applyFill="1" applyBorder="1" applyAlignment="1">
      <alignment horizontal="center"/>
    </xf>
    <xf numFmtId="164" fontId="14" fillId="4" borderId="8" xfId="0" applyNumberFormat="1" applyFont="1" applyFill="1" applyBorder="1" applyAlignment="1">
      <alignment horizontal="center"/>
    </xf>
    <xf numFmtId="9" fontId="14" fillId="4" borderId="10" xfId="0" applyNumberFormat="1" applyFont="1" applyFill="1" applyBorder="1" applyAlignment="1">
      <alignment horizontal="center"/>
    </xf>
    <xf numFmtId="174" fontId="14" fillId="4" borderId="10" xfId="0" applyNumberFormat="1" applyFont="1" applyFill="1" applyBorder="1" applyAlignment="1">
      <alignment horizontal="center"/>
    </xf>
    <xf numFmtId="10" fontId="14" fillId="4" borderId="8" xfId="0" applyNumberFormat="1" applyFont="1" applyFill="1" applyBorder="1" applyAlignment="1">
      <alignment horizontal="center"/>
    </xf>
    <xf numFmtId="177" fontId="7" fillId="5" borderId="6" xfId="0" applyNumberFormat="1" applyFont="1" applyFill="1" applyBorder="1" applyAlignment="1">
      <alignment horizontal="center"/>
    </xf>
    <xf numFmtId="0" fontId="10" fillId="5" borderId="4" xfId="0" applyFont="1" applyFill="1" applyBorder="1" applyAlignment="1">
      <alignment horizontal="center"/>
    </xf>
    <xf numFmtId="0" fontId="20" fillId="0" borderId="0" xfId="0" applyFont="1" applyAlignment="1">
      <alignment horizontal="centerContinuous"/>
    </xf>
    <xf numFmtId="0" fontId="7" fillId="0" borderId="0" xfId="0" applyFont="1" applyAlignment="1">
      <alignment horizontal="right"/>
    </xf>
    <xf numFmtId="10" fontId="10" fillId="0" borderId="0" xfId="0" applyNumberFormat="1" applyFont="1" applyAlignment="1">
      <alignment horizontal="center"/>
    </xf>
    <xf numFmtId="0" fontId="32" fillId="2" borderId="3" xfId="0" applyFont="1" applyFill="1" applyBorder="1" applyAlignment="1">
      <alignment horizontal="right"/>
    </xf>
    <xf numFmtId="10" fontId="25" fillId="5" borderId="12" xfId="0" applyNumberFormat="1" applyFont="1" applyFill="1" applyBorder="1" applyAlignment="1">
      <alignment horizontal="center"/>
    </xf>
    <xf numFmtId="173" fontId="25" fillId="5" borderId="12" xfId="0" applyNumberFormat="1" applyFont="1" applyFill="1" applyBorder="1" applyAlignment="1">
      <alignment horizontal="center"/>
    </xf>
    <xf numFmtId="164" fontId="11" fillId="4" borderId="9" xfId="0" applyNumberFormat="1" applyFont="1" applyFill="1" applyBorder="1" applyAlignment="1">
      <alignment horizontal="center"/>
    </xf>
    <xf numFmtId="164" fontId="24" fillId="4" borderId="11" xfId="0" applyNumberFormat="1" applyFont="1" applyFill="1" applyBorder="1" applyAlignment="1">
      <alignment horizontal="center"/>
    </xf>
    <xf numFmtId="164" fontId="11" fillId="4" borderId="1" xfId="0" applyNumberFormat="1" applyFont="1" applyFill="1" applyBorder="1" applyAlignment="1">
      <alignment horizontal="center"/>
    </xf>
    <xf numFmtId="164" fontId="18" fillId="4" borderId="1" xfId="0" applyNumberFormat="1" applyFont="1" applyFill="1" applyBorder="1" applyAlignment="1">
      <alignment horizontal="center"/>
    </xf>
    <xf numFmtId="164" fontId="18" fillId="4" borderId="7" xfId="0" applyNumberFormat="1" applyFont="1" applyFill="1" applyBorder="1" applyAlignment="1">
      <alignment horizontal="center"/>
    </xf>
    <xf numFmtId="164" fontId="24" fillId="4" borderId="13" xfId="0" applyNumberFormat="1" applyFont="1" applyFill="1" applyBorder="1" applyAlignment="1">
      <alignment horizontal="center"/>
    </xf>
    <xf numFmtId="164" fontId="18" fillId="4" borderId="0" xfId="0" applyNumberFormat="1" applyFont="1" applyFill="1"/>
    <xf numFmtId="164" fontId="18" fillId="4" borderId="10" xfId="0" applyNumberFormat="1" applyFont="1" applyFill="1" applyBorder="1"/>
    <xf numFmtId="172" fontId="7" fillId="5" borderId="4" xfId="0" applyNumberFormat="1" applyFont="1" applyFill="1" applyBorder="1" applyAlignment="1">
      <alignment horizontal="center"/>
    </xf>
    <xf numFmtId="172" fontId="7" fillId="5" borderId="3" xfId="0" applyNumberFormat="1" applyFont="1" applyFill="1" applyBorder="1" applyAlignment="1">
      <alignment horizontal="center"/>
    </xf>
    <xf numFmtId="0" fontId="16" fillId="0" borderId="0" xfId="0" applyFont="1" applyAlignment="1">
      <alignment horizontal="left"/>
    </xf>
    <xf numFmtId="14" fontId="11" fillId="0" borderId="0" xfId="0" applyNumberFormat="1" applyFont="1"/>
    <xf numFmtId="173" fontId="16" fillId="0" borderId="4" xfId="0" applyNumberFormat="1" applyFont="1" applyBorder="1" applyAlignment="1">
      <alignment horizontal="center"/>
    </xf>
    <xf numFmtId="10" fontId="16" fillId="0" borderId="5" xfId="2" applyNumberFormat="1" applyFont="1" applyFill="1" applyBorder="1" applyAlignment="1">
      <alignment horizontal="center"/>
    </xf>
    <xf numFmtId="173" fontId="18" fillId="0" borderId="5" xfId="0" applyNumberFormat="1" applyFont="1" applyBorder="1" applyAlignment="1">
      <alignment horizontal="center"/>
    </xf>
    <xf numFmtId="173" fontId="16" fillId="0" borderId="6" xfId="0" applyNumberFormat="1" applyFont="1" applyBorder="1" applyAlignment="1">
      <alignment horizontal="center"/>
    </xf>
    <xf numFmtId="0" fontId="11" fillId="5" borderId="11" xfId="0" applyFont="1" applyFill="1" applyBorder="1" applyAlignment="1">
      <alignment horizontal="center"/>
    </xf>
    <xf numFmtId="0" fontId="11" fillId="5" borderId="13" xfId="0" applyFont="1" applyFill="1" applyBorder="1" applyAlignment="1">
      <alignment horizontal="center"/>
    </xf>
    <xf numFmtId="0" fontId="11" fillId="5" borderId="12" xfId="0" applyFont="1" applyFill="1" applyBorder="1" applyAlignment="1">
      <alignment horizontal="center"/>
    </xf>
    <xf numFmtId="0" fontId="18" fillId="0" borderId="5" xfId="0" applyFont="1" applyBorder="1" applyAlignment="1">
      <alignment horizontal="center"/>
    </xf>
    <xf numFmtId="3" fontId="16" fillId="0" borderId="6" xfId="0" applyNumberFormat="1" applyFont="1" applyBorder="1" applyAlignment="1">
      <alignment horizontal="center"/>
    </xf>
    <xf numFmtId="173" fontId="16" fillId="0" borderId="3" xfId="0" applyNumberFormat="1" applyFont="1" applyBorder="1" applyAlignment="1">
      <alignment horizontal="center"/>
    </xf>
    <xf numFmtId="3" fontId="16" fillId="0" borderId="3" xfId="0" applyNumberFormat="1" applyFont="1" applyBorder="1" applyAlignment="1">
      <alignment horizontal="center"/>
    </xf>
    <xf numFmtId="0" fontId="18" fillId="0" borderId="6" xfId="0" applyFont="1" applyBorder="1" applyAlignment="1">
      <alignment horizontal="center"/>
    </xf>
    <xf numFmtId="0" fontId="11" fillId="2" borderId="12" xfId="0" applyFont="1" applyFill="1" applyBorder="1" applyAlignment="1">
      <alignment horizontal="right"/>
    </xf>
    <xf numFmtId="173" fontId="11" fillId="0" borderId="3" xfId="0" applyNumberFormat="1" applyFont="1" applyBorder="1" applyAlignment="1">
      <alignment horizontal="center"/>
    </xf>
    <xf numFmtId="3" fontId="11" fillId="0" borderId="3" xfId="0" applyNumberFormat="1" applyFont="1" applyBorder="1" applyAlignment="1">
      <alignment horizontal="center"/>
    </xf>
    <xf numFmtId="0" fontId="12" fillId="3" borderId="11" xfId="0" applyFont="1" applyFill="1" applyBorder="1" applyAlignment="1">
      <alignment horizontal="centerContinuous"/>
    </xf>
    <xf numFmtId="0" fontId="11" fillId="0" borderId="4" xfId="0" applyFont="1" applyBorder="1" applyAlignment="1">
      <alignment horizontal="center" wrapText="1"/>
    </xf>
    <xf numFmtId="0" fontId="11" fillId="2" borderId="4" xfId="0" applyFont="1" applyFill="1" applyBorder="1" applyAlignment="1">
      <alignment horizontal="center" vertical="center"/>
    </xf>
    <xf numFmtId="0" fontId="11" fillId="4" borderId="3" xfId="0" applyFont="1" applyFill="1" applyBorder="1" applyAlignment="1">
      <alignment horizontal="center" vertical="center"/>
    </xf>
    <xf numFmtId="14" fontId="11" fillId="4" borderId="3" xfId="0" applyNumberFormat="1" applyFont="1" applyFill="1" applyBorder="1" applyAlignment="1">
      <alignment horizontal="center" vertical="center"/>
    </xf>
    <xf numFmtId="14" fontId="11" fillId="5" borderId="4" xfId="2" applyNumberFormat="1" applyFont="1" applyFill="1" applyBorder="1" applyAlignment="1">
      <alignment horizontal="center" vertical="center"/>
    </xf>
    <xf numFmtId="173" fontId="19" fillId="4" borderId="7" xfId="0" applyNumberFormat="1" applyFont="1" applyFill="1" applyBorder="1" applyAlignment="1">
      <alignment horizontal="center"/>
    </xf>
    <xf numFmtId="173" fontId="19" fillId="4" borderId="10" xfId="0" applyNumberFormat="1" applyFont="1" applyFill="1" applyBorder="1" applyAlignment="1">
      <alignment horizontal="center"/>
    </xf>
    <xf numFmtId="177" fontId="19" fillId="4" borderId="10" xfId="2" applyNumberFormat="1" applyFont="1" applyFill="1" applyBorder="1" applyAlignment="1">
      <alignment horizontal="center"/>
    </xf>
    <xf numFmtId="10" fontId="11" fillId="5" borderId="10" xfId="2" applyNumberFormat="1" applyFont="1" applyFill="1" applyBorder="1" applyAlignment="1">
      <alignment horizontal="center"/>
    </xf>
    <xf numFmtId="173" fontId="11" fillId="5" borderId="10" xfId="0" applyNumberFormat="1" applyFont="1" applyFill="1" applyBorder="1" applyAlignment="1">
      <alignment horizontal="center"/>
    </xf>
    <xf numFmtId="3" fontId="19" fillId="0" borderId="7" xfId="0" applyNumberFormat="1" applyFont="1" applyBorder="1" applyAlignment="1">
      <alignment horizontal="center"/>
    </xf>
    <xf numFmtId="3" fontId="19" fillId="0" borderId="10" xfId="0" applyNumberFormat="1" applyFont="1" applyBorder="1" applyAlignment="1">
      <alignment horizontal="center"/>
    </xf>
    <xf numFmtId="186" fontId="7" fillId="0" borderId="0" xfId="0" applyNumberFormat="1" applyFont="1"/>
    <xf numFmtId="0" fontId="11" fillId="0" borderId="0" xfId="0" applyFont="1" applyAlignment="1">
      <alignment horizontal="left"/>
    </xf>
    <xf numFmtId="0" fontId="11" fillId="0" borderId="0" xfId="2" applyNumberFormat="1" applyFont="1" applyAlignment="1">
      <alignment horizontal="left"/>
    </xf>
    <xf numFmtId="14" fontId="19" fillId="0" borderId="5" xfId="0" applyNumberFormat="1" applyFont="1" applyBorder="1" applyAlignment="1">
      <alignment horizontal="center"/>
    </xf>
    <xf numFmtId="9" fontId="18" fillId="0" borderId="5" xfId="0" applyNumberFormat="1" applyFont="1" applyBorder="1" applyAlignment="1">
      <alignment horizontal="center"/>
    </xf>
    <xf numFmtId="10" fontId="24" fillId="2" borderId="9" xfId="0" applyNumberFormat="1" applyFont="1" applyFill="1" applyBorder="1"/>
    <xf numFmtId="0" fontId="19" fillId="5" borderId="11" xfId="0" applyFont="1" applyFill="1" applyBorder="1" applyAlignment="1">
      <alignment horizontal="center"/>
    </xf>
    <xf numFmtId="0" fontId="11" fillId="5" borderId="1" xfId="0" applyFont="1" applyFill="1" applyBorder="1" applyAlignment="1">
      <alignment horizontal="left"/>
    </xf>
    <xf numFmtId="0" fontId="11" fillId="5" borderId="7" xfId="0" applyFont="1" applyFill="1" applyBorder="1" applyAlignment="1">
      <alignment horizontal="left"/>
    </xf>
    <xf numFmtId="0" fontId="11" fillId="5" borderId="0" xfId="0" applyFont="1" applyFill="1" applyAlignment="1">
      <alignment horizontal="left"/>
    </xf>
    <xf numFmtId="0" fontId="11" fillId="5" borderId="10" xfId="0" applyFont="1" applyFill="1" applyBorder="1" applyAlignment="1">
      <alignment horizontal="left"/>
    </xf>
    <xf numFmtId="0" fontId="11" fillId="5" borderId="2" xfId="0" applyFont="1" applyFill="1" applyBorder="1" applyAlignment="1">
      <alignment horizontal="left"/>
    </xf>
    <xf numFmtId="0" fontId="11" fillId="5" borderId="8" xfId="0" applyFont="1" applyFill="1" applyBorder="1" applyAlignment="1">
      <alignment horizontal="left"/>
    </xf>
    <xf numFmtId="0" fontId="12" fillId="3" borderId="15" xfId="745" applyFont="1" applyFill="1" applyBorder="1" applyAlignment="1">
      <alignment horizontal="center" vertical="top" wrapText="1"/>
    </xf>
    <xf numFmtId="0" fontId="12" fillId="3" borderId="1" xfId="745" applyFont="1" applyFill="1" applyBorder="1" applyAlignment="1">
      <alignment horizontal="center" vertical="top" wrapText="1"/>
    </xf>
    <xf numFmtId="0" fontId="12" fillId="3" borderId="7" xfId="745" applyFont="1" applyFill="1" applyBorder="1" applyAlignment="1">
      <alignment horizontal="center" vertical="top" wrapText="1"/>
    </xf>
    <xf numFmtId="0" fontId="12" fillId="3" borderId="9" xfId="745" applyFont="1" applyFill="1" applyBorder="1" applyAlignment="1">
      <alignment horizontal="center" vertical="top" wrapText="1"/>
    </xf>
    <xf numFmtId="0" fontId="12" fillId="3" borderId="0" xfId="745" applyFont="1" applyFill="1" applyAlignment="1">
      <alignment horizontal="center" vertical="top" wrapText="1"/>
    </xf>
    <xf numFmtId="0" fontId="12" fillId="3" borderId="10" xfId="745" applyFont="1" applyFill="1" applyBorder="1" applyAlignment="1">
      <alignment horizontal="center" vertical="top" wrapText="1"/>
    </xf>
    <xf numFmtId="0" fontId="24" fillId="6" borderId="15"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24" fillId="6" borderId="7" xfId="0" applyFont="1" applyFill="1" applyBorder="1" applyAlignment="1">
      <alignment horizontal="center" vertical="center" wrapText="1"/>
    </xf>
    <xf numFmtId="0" fontId="24" fillId="6" borderId="9" xfId="0" applyFont="1" applyFill="1" applyBorder="1" applyAlignment="1">
      <alignment horizontal="center" vertical="center" wrapText="1"/>
    </xf>
    <xf numFmtId="0" fontId="24" fillId="6" borderId="0" xfId="0" applyFont="1" applyFill="1" applyAlignment="1">
      <alignment horizontal="center" vertical="center" wrapText="1"/>
    </xf>
    <xf numFmtId="0" fontId="24" fillId="6" borderId="10" xfId="0" applyFont="1" applyFill="1" applyBorder="1" applyAlignment="1">
      <alignment horizontal="center" vertical="center" wrapText="1"/>
    </xf>
    <xf numFmtId="0" fontId="24" fillId="6" borderId="14" xfId="0" applyFont="1" applyFill="1" applyBorder="1" applyAlignment="1">
      <alignment horizontal="center" vertical="center" wrapText="1"/>
    </xf>
    <xf numFmtId="0" fontId="24" fillId="6" borderId="2" xfId="0" applyFont="1" applyFill="1" applyBorder="1" applyAlignment="1">
      <alignment horizontal="center" vertical="center" wrapText="1"/>
    </xf>
    <xf numFmtId="0" fontId="24" fillId="6" borderId="8" xfId="0" applyFont="1" applyFill="1" applyBorder="1" applyAlignment="1">
      <alignment horizontal="center" vertical="center" wrapText="1"/>
    </xf>
    <xf numFmtId="0" fontId="24" fillId="2" borderId="15"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24" fillId="2" borderId="7" xfId="0" applyFont="1" applyFill="1" applyBorder="1" applyAlignment="1">
      <alignment horizontal="center" vertical="center" wrapText="1"/>
    </xf>
    <xf numFmtId="0" fontId="24" fillId="2" borderId="9"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10" xfId="0" applyFont="1" applyFill="1" applyBorder="1" applyAlignment="1">
      <alignment horizontal="center" vertical="center" wrapText="1"/>
    </xf>
    <xf numFmtId="0" fontId="24" fillId="2" borderId="14" xfId="0" applyFont="1" applyFill="1" applyBorder="1" applyAlignment="1">
      <alignment horizontal="center" vertical="center" wrapText="1"/>
    </xf>
    <xf numFmtId="0" fontId="24" fillId="2" borderId="2" xfId="0" applyFont="1" applyFill="1" applyBorder="1" applyAlignment="1">
      <alignment horizontal="center" vertical="center" wrapText="1"/>
    </xf>
    <xf numFmtId="0" fontId="24" fillId="2" borderId="8" xfId="0" applyFont="1" applyFill="1" applyBorder="1" applyAlignment="1">
      <alignment horizontal="center" vertical="center" wrapText="1"/>
    </xf>
    <xf numFmtId="0" fontId="24" fillId="9" borderId="15" xfId="0" applyFont="1" applyFill="1" applyBorder="1" applyAlignment="1">
      <alignment horizontal="center" vertical="center"/>
    </xf>
    <xf numFmtId="0" fontId="24" fillId="9" borderId="1" xfId="0" applyFont="1" applyFill="1" applyBorder="1" applyAlignment="1">
      <alignment horizontal="center" vertical="center"/>
    </xf>
    <xf numFmtId="0" fontId="24" fillId="9" borderId="7" xfId="0" applyFont="1" applyFill="1" applyBorder="1" applyAlignment="1">
      <alignment horizontal="center" vertical="center"/>
    </xf>
    <xf numFmtId="0" fontId="24" fillId="9" borderId="9" xfId="0" applyFont="1" applyFill="1" applyBorder="1" applyAlignment="1">
      <alignment horizontal="center" vertical="center"/>
    </xf>
    <xf numFmtId="0" fontId="24" fillId="9" borderId="0" xfId="0" applyFont="1" applyFill="1" applyAlignment="1">
      <alignment horizontal="center" vertical="center"/>
    </xf>
    <xf numFmtId="0" fontId="24" fillId="9" borderId="10" xfId="0" applyFont="1" applyFill="1" applyBorder="1" applyAlignment="1">
      <alignment horizontal="center" vertical="center"/>
    </xf>
    <xf numFmtId="0" fontId="24" fillId="9" borderId="14" xfId="0" applyFont="1" applyFill="1" applyBorder="1" applyAlignment="1">
      <alignment horizontal="center" vertical="center"/>
    </xf>
    <xf numFmtId="0" fontId="24" fillId="9" borderId="2" xfId="0" applyFont="1" applyFill="1" applyBorder="1" applyAlignment="1">
      <alignment horizontal="center" vertical="center"/>
    </xf>
    <xf numFmtId="0" fontId="24" fillId="9" borderId="8" xfId="0" applyFont="1" applyFill="1" applyBorder="1" applyAlignment="1">
      <alignment horizontal="center" vertical="center"/>
    </xf>
    <xf numFmtId="0" fontId="24" fillId="7" borderId="15"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4" fillId="7" borderId="9" xfId="0" applyFont="1" applyFill="1" applyBorder="1" applyAlignment="1">
      <alignment horizontal="center" vertical="center" wrapText="1"/>
    </xf>
    <xf numFmtId="0" fontId="24" fillId="7" borderId="0" xfId="0" applyFont="1" applyFill="1" applyAlignment="1">
      <alignment horizontal="center" vertical="center" wrapText="1"/>
    </xf>
    <xf numFmtId="0" fontId="24" fillId="7" borderId="10" xfId="0" applyFont="1" applyFill="1" applyBorder="1" applyAlignment="1">
      <alignment horizontal="center" vertical="center" wrapText="1"/>
    </xf>
    <xf numFmtId="0" fontId="24" fillId="7" borderId="14" xfId="0" applyFont="1" applyFill="1" applyBorder="1" applyAlignment="1">
      <alignment horizontal="center" vertical="center" wrapText="1"/>
    </xf>
    <xf numFmtId="0" fontId="24" fillId="7" borderId="2"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8" borderId="15" xfId="0" applyFont="1" applyFill="1" applyBorder="1" applyAlignment="1">
      <alignment horizontal="center" vertical="center" wrapText="1" shrinkToFit="1"/>
    </xf>
    <xf numFmtId="0" fontId="24" fillId="8" borderId="7" xfId="0" applyFont="1" applyFill="1" applyBorder="1" applyAlignment="1">
      <alignment horizontal="center" vertical="center" wrapText="1" shrinkToFit="1"/>
    </xf>
    <xf numFmtId="0" fontId="24" fillId="8" borderId="9" xfId="0" applyFont="1" applyFill="1" applyBorder="1" applyAlignment="1">
      <alignment horizontal="center" vertical="center" wrapText="1" shrinkToFit="1"/>
    </xf>
    <xf numFmtId="0" fontId="24" fillId="8" borderId="10" xfId="0" applyFont="1" applyFill="1" applyBorder="1" applyAlignment="1">
      <alignment horizontal="center" vertical="center" wrapText="1" shrinkToFit="1"/>
    </xf>
    <xf numFmtId="0" fontId="24" fillId="8" borderId="14" xfId="0" applyFont="1" applyFill="1" applyBorder="1" applyAlignment="1">
      <alignment horizontal="center" vertical="center" wrapText="1" shrinkToFit="1"/>
    </xf>
    <xf numFmtId="0" fontId="24" fillId="8" borderId="8" xfId="0" applyFont="1" applyFill="1" applyBorder="1" applyAlignment="1">
      <alignment horizontal="center" vertical="center" wrapText="1" shrinkToFit="1"/>
    </xf>
    <xf numFmtId="193" fontId="16" fillId="0" borderId="4" xfId="0" applyNumberFormat="1" applyFont="1" applyBorder="1" applyAlignment="1">
      <alignment horizontal="center"/>
    </xf>
    <xf numFmtId="193" fontId="18" fillId="0" borderId="5" xfId="0" applyNumberFormat="1" applyFont="1" applyBorder="1" applyAlignment="1">
      <alignment horizontal="center"/>
    </xf>
    <xf numFmtId="193" fontId="16" fillId="0" borderId="6" xfId="0" applyNumberFormat="1" applyFont="1" applyBorder="1" applyAlignment="1">
      <alignment horizontal="center"/>
    </xf>
    <xf numFmtId="0" fontId="11" fillId="11" borderId="3" xfId="0" applyFont="1" applyFill="1" applyBorder="1" applyAlignment="1">
      <alignment horizontal="center"/>
    </xf>
    <xf numFmtId="0" fontId="18" fillId="0" borderId="9" xfId="0" applyFont="1" applyBorder="1" applyAlignment="1">
      <alignment horizontal="center"/>
    </xf>
    <xf numFmtId="0" fontId="12" fillId="10" borderId="0" xfId="0" applyFont="1" applyFill="1" applyAlignment="1">
      <alignment horizontal="centerContinuous"/>
    </xf>
    <xf numFmtId="0" fontId="11" fillId="2" borderId="11" xfId="0" applyFont="1" applyFill="1" applyBorder="1" applyAlignment="1">
      <alignment horizontal="center"/>
    </xf>
    <xf numFmtId="193" fontId="16" fillId="0" borderId="0" xfId="0" applyNumberFormat="1" applyFont="1" applyAlignment="1">
      <alignment horizontal="center"/>
    </xf>
    <xf numFmtId="189" fontId="16" fillId="0" borderId="10" xfId="0" applyNumberFormat="1" applyFont="1" applyBorder="1" applyAlignment="1">
      <alignment horizontal="center"/>
    </xf>
    <xf numFmtId="189" fontId="11" fillId="2" borderId="12" xfId="0" applyNumberFormat="1" applyFont="1" applyFill="1" applyBorder="1" applyAlignment="1">
      <alignment horizontal="center"/>
    </xf>
    <xf numFmtId="0" fontId="11" fillId="0" borderId="0" xfId="0" applyFont="1" applyFill="1" applyBorder="1"/>
    <xf numFmtId="189" fontId="11" fillId="0" borderId="0" xfId="0" applyNumberFormat="1" applyFont="1" applyFill="1" applyBorder="1" applyAlignment="1">
      <alignment horizontal="center"/>
    </xf>
    <xf numFmtId="195" fontId="16" fillId="0" borderId="10" xfId="0" applyNumberFormat="1" applyFont="1" applyBorder="1" applyAlignment="1">
      <alignment horizontal="center"/>
    </xf>
    <xf numFmtId="195" fontId="11" fillId="2" borderId="12" xfId="0" applyNumberFormat="1" applyFont="1" applyFill="1" applyBorder="1" applyAlignment="1">
      <alignment horizontal="center"/>
    </xf>
    <xf numFmtId="0" fontId="33" fillId="3" borderId="3" xfId="0" applyFont="1" applyFill="1" applyBorder="1" applyAlignment="1">
      <alignment horizontal="center"/>
    </xf>
    <xf numFmtId="0" fontId="34" fillId="4" borderId="3" xfId="0" applyFont="1" applyFill="1" applyBorder="1" applyAlignment="1">
      <alignment horizontal="center"/>
    </xf>
    <xf numFmtId="164" fontId="34" fillId="4" borderId="3" xfId="0" applyNumberFormat="1" applyFont="1" applyFill="1" applyBorder="1" applyAlignment="1">
      <alignment horizontal="center"/>
    </xf>
    <xf numFmtId="14" fontId="34" fillId="4" borderId="3" xfId="0" applyNumberFormat="1" applyFont="1" applyFill="1" applyBorder="1" applyAlignment="1">
      <alignment horizontal="center"/>
    </xf>
    <xf numFmtId="1" fontId="34" fillId="4" borderId="3" xfId="0" applyNumberFormat="1" applyFont="1" applyFill="1" applyBorder="1" applyAlignment="1">
      <alignment horizontal="center"/>
    </xf>
    <xf numFmtId="8" fontId="11" fillId="0" borderId="0" xfId="0" applyNumberFormat="1" applyFont="1"/>
  </cellXfs>
  <cellStyles count="746">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Normal" xfId="0" builtinId="0"/>
    <cellStyle name="Normal 2" xfId="741"/>
    <cellStyle name="Normal 2 2" xfId="743"/>
    <cellStyle name="Normal 2 2 2" xfId="745"/>
    <cellStyle name="Normal 3" xfId="742"/>
    <cellStyle name="Percent" xfId="2" builtinId="5"/>
    <cellStyle name="Percent 2" xfId="744"/>
  </cellStyles>
  <dxfs count="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Medium4"/>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350521</xdr:colOff>
      <xdr:row>0</xdr:row>
      <xdr:rowOff>38686</xdr:rowOff>
    </xdr:from>
    <xdr:to>
      <xdr:col>9</xdr:col>
      <xdr:colOff>220981</xdr:colOff>
      <xdr:row>3</xdr:row>
      <xdr:rowOff>142930</xdr:rowOff>
    </xdr:to>
    <xdr:pic>
      <xdr:nvPicPr>
        <xdr:cNvPr id="2" name="Picture 1">
          <a:extLst>
            <a:ext uri="{FF2B5EF4-FFF2-40B4-BE49-F238E27FC236}">
              <a16:creationId xmlns:a16="http://schemas.microsoft.com/office/drawing/2014/main" id="{A8742C3A-3F52-4761-A617-1E46D342DFD0}"/>
            </a:ext>
          </a:extLst>
        </xdr:cNvPr>
        <xdr:cNvPicPr>
          <a:picLocks noChangeAspect="1"/>
        </xdr:cNvPicPr>
      </xdr:nvPicPr>
      <xdr:blipFill>
        <a:blip xmlns:r="http://schemas.openxmlformats.org/officeDocument/2006/relationships" r:embed="rId1"/>
        <a:stretch>
          <a:fillRect/>
        </a:stretch>
      </xdr:blipFill>
      <xdr:spPr>
        <a:xfrm>
          <a:off x="3032761" y="38686"/>
          <a:ext cx="3223260" cy="5728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301838</xdr:colOff>
      <xdr:row>0</xdr:row>
      <xdr:rowOff>0</xdr:rowOff>
    </xdr:from>
    <xdr:to>
      <xdr:col>10</xdr:col>
      <xdr:colOff>620608</xdr:colOff>
      <xdr:row>3</xdr:row>
      <xdr:rowOff>6350</xdr:rowOff>
    </xdr:to>
    <xdr:pic>
      <xdr:nvPicPr>
        <xdr:cNvPr id="2" name="Picture 1">
          <a:extLst>
            <a:ext uri="{FF2B5EF4-FFF2-40B4-BE49-F238E27FC236}">
              <a16:creationId xmlns:a16="http://schemas.microsoft.com/office/drawing/2014/main" id="{C3674695-971A-452A-9C89-10F9DDAD8B83}"/>
            </a:ext>
          </a:extLst>
        </xdr:cNvPr>
        <xdr:cNvPicPr>
          <a:picLocks noChangeAspect="1"/>
        </xdr:cNvPicPr>
      </xdr:nvPicPr>
      <xdr:blipFill>
        <a:blip xmlns:r="http://schemas.openxmlformats.org/officeDocument/2006/relationships" r:embed="rId1"/>
        <a:stretch>
          <a:fillRect/>
        </a:stretch>
      </xdr:blipFill>
      <xdr:spPr>
        <a:xfrm>
          <a:off x="11990918" y="0"/>
          <a:ext cx="635000" cy="474980"/>
        </a:xfrm>
        <a:prstGeom prst="rect">
          <a:avLst/>
        </a:prstGeom>
      </xdr:spPr>
    </xdr:pic>
    <xdr:clientData/>
  </xdr:twoCellAnchor>
  <xdr:twoCellAnchor editAs="oneCell">
    <xdr:from>
      <xdr:col>9</xdr:col>
      <xdr:colOff>190500</xdr:colOff>
      <xdr:row>9</xdr:row>
      <xdr:rowOff>140123</xdr:rowOff>
    </xdr:from>
    <xdr:to>
      <xdr:col>10</xdr:col>
      <xdr:colOff>1639570</xdr:colOff>
      <xdr:row>12</xdr:row>
      <xdr:rowOff>106258</xdr:rowOff>
    </xdr:to>
    <xdr:pic>
      <xdr:nvPicPr>
        <xdr:cNvPr id="3" name="Picture 2">
          <a:extLst>
            <a:ext uri="{FF2B5EF4-FFF2-40B4-BE49-F238E27FC236}">
              <a16:creationId xmlns:a16="http://schemas.microsoft.com/office/drawing/2014/main" id="{EDCD93BB-FCDE-4139-893D-B9E057832B89}"/>
            </a:ext>
          </a:extLst>
        </xdr:cNvPr>
        <xdr:cNvPicPr>
          <a:picLocks noChangeAspect="1"/>
        </xdr:cNvPicPr>
      </xdr:nvPicPr>
      <xdr:blipFill rotWithShape="1">
        <a:blip xmlns:r="http://schemas.openxmlformats.org/officeDocument/2006/relationships" r:embed="rId2"/>
        <a:srcRect l="9483" t="35982" r="7377" b="36637"/>
        <a:stretch/>
      </xdr:blipFill>
      <xdr:spPr>
        <a:xfrm>
          <a:off x="11879580" y="1546013"/>
          <a:ext cx="1765300" cy="434765"/>
        </a:xfrm>
        <a:prstGeom prst="rect">
          <a:avLst/>
        </a:prstGeom>
      </xdr:spPr>
    </xdr:pic>
    <xdr:clientData/>
  </xdr:twoCellAnchor>
  <xdr:twoCellAnchor editAs="oneCell">
    <xdr:from>
      <xdr:col>5</xdr:col>
      <xdr:colOff>620887</xdr:colOff>
      <xdr:row>10</xdr:row>
      <xdr:rowOff>46567</xdr:rowOff>
    </xdr:from>
    <xdr:to>
      <xdr:col>8</xdr:col>
      <xdr:colOff>231025</xdr:colOff>
      <xdr:row>12</xdr:row>
      <xdr:rowOff>139700</xdr:rowOff>
    </xdr:to>
    <xdr:pic>
      <xdr:nvPicPr>
        <xdr:cNvPr id="4" name="Picture 3">
          <a:extLst>
            <a:ext uri="{FF2B5EF4-FFF2-40B4-BE49-F238E27FC236}">
              <a16:creationId xmlns:a16="http://schemas.microsoft.com/office/drawing/2014/main" id="{E28395DC-C10F-497A-85EA-7B62E994C4B5}"/>
            </a:ext>
          </a:extLst>
        </xdr:cNvPr>
        <xdr:cNvPicPr>
          <a:picLocks noChangeAspect="1"/>
        </xdr:cNvPicPr>
      </xdr:nvPicPr>
      <xdr:blipFill rotWithShape="1">
        <a:blip xmlns:r="http://schemas.openxmlformats.org/officeDocument/2006/relationships" r:embed="rId3"/>
        <a:srcRect t="28638" b="36115"/>
        <a:stretch/>
      </xdr:blipFill>
      <xdr:spPr>
        <a:xfrm>
          <a:off x="8983837" y="1608667"/>
          <a:ext cx="2048538" cy="405553"/>
        </a:xfrm>
        <a:prstGeom prst="rect">
          <a:avLst/>
        </a:prstGeom>
      </xdr:spPr>
    </xdr:pic>
    <xdr:clientData/>
  </xdr:twoCellAnchor>
  <xdr:twoCellAnchor editAs="oneCell">
    <xdr:from>
      <xdr:col>6</xdr:col>
      <xdr:colOff>424</xdr:colOff>
      <xdr:row>0</xdr:row>
      <xdr:rowOff>12277</xdr:rowOff>
    </xdr:from>
    <xdr:to>
      <xdr:col>6</xdr:col>
      <xdr:colOff>449156</xdr:colOff>
      <xdr:row>2</xdr:row>
      <xdr:rowOff>147742</xdr:rowOff>
    </xdr:to>
    <xdr:pic>
      <xdr:nvPicPr>
        <xdr:cNvPr id="5" name="Picture 4">
          <a:extLst>
            <a:ext uri="{FF2B5EF4-FFF2-40B4-BE49-F238E27FC236}">
              <a16:creationId xmlns:a16="http://schemas.microsoft.com/office/drawing/2014/main" id="{9E955058-9073-470A-8CBF-48995CA98882}"/>
            </a:ext>
          </a:extLst>
        </xdr:cNvPr>
        <xdr:cNvPicPr>
          <a:picLocks noChangeAspect="1"/>
        </xdr:cNvPicPr>
      </xdr:nvPicPr>
      <xdr:blipFill>
        <a:blip xmlns:r="http://schemas.openxmlformats.org/officeDocument/2006/relationships" r:embed="rId4"/>
        <a:stretch>
          <a:fillRect/>
        </a:stretch>
      </xdr:blipFill>
      <xdr:spPr>
        <a:xfrm>
          <a:off x="9353974" y="12277"/>
          <a:ext cx="448732" cy="4478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301838</xdr:colOff>
      <xdr:row>0</xdr:row>
      <xdr:rowOff>0</xdr:rowOff>
    </xdr:from>
    <xdr:to>
      <xdr:col>10</xdr:col>
      <xdr:colOff>620608</xdr:colOff>
      <xdr:row>3</xdr:row>
      <xdr:rowOff>6350</xdr:rowOff>
    </xdr:to>
    <xdr:pic>
      <xdr:nvPicPr>
        <xdr:cNvPr id="2" name="Picture 1">
          <a:extLst>
            <a:ext uri="{FF2B5EF4-FFF2-40B4-BE49-F238E27FC236}">
              <a16:creationId xmlns:a16="http://schemas.microsoft.com/office/drawing/2014/main" id="{9C28B626-AA65-4DEE-B610-656A5E6FB3C6}"/>
            </a:ext>
          </a:extLst>
        </xdr:cNvPr>
        <xdr:cNvPicPr>
          <a:picLocks noChangeAspect="1"/>
        </xdr:cNvPicPr>
      </xdr:nvPicPr>
      <xdr:blipFill>
        <a:blip xmlns:r="http://schemas.openxmlformats.org/officeDocument/2006/relationships" r:embed="rId1"/>
        <a:stretch>
          <a:fillRect/>
        </a:stretch>
      </xdr:blipFill>
      <xdr:spPr>
        <a:xfrm>
          <a:off x="11990918" y="0"/>
          <a:ext cx="635000" cy="474980"/>
        </a:xfrm>
        <a:prstGeom prst="rect">
          <a:avLst/>
        </a:prstGeom>
      </xdr:spPr>
    </xdr:pic>
    <xdr:clientData/>
  </xdr:twoCellAnchor>
  <xdr:twoCellAnchor editAs="oneCell">
    <xdr:from>
      <xdr:col>9</xdr:col>
      <xdr:colOff>190500</xdr:colOff>
      <xdr:row>9</xdr:row>
      <xdr:rowOff>140123</xdr:rowOff>
    </xdr:from>
    <xdr:to>
      <xdr:col>10</xdr:col>
      <xdr:colOff>1639570</xdr:colOff>
      <xdr:row>12</xdr:row>
      <xdr:rowOff>106258</xdr:rowOff>
    </xdr:to>
    <xdr:pic>
      <xdr:nvPicPr>
        <xdr:cNvPr id="3" name="Picture 2">
          <a:extLst>
            <a:ext uri="{FF2B5EF4-FFF2-40B4-BE49-F238E27FC236}">
              <a16:creationId xmlns:a16="http://schemas.microsoft.com/office/drawing/2014/main" id="{A221E67C-7B36-4748-AFC9-E5F5DA9D9B31}"/>
            </a:ext>
          </a:extLst>
        </xdr:cNvPr>
        <xdr:cNvPicPr>
          <a:picLocks noChangeAspect="1"/>
        </xdr:cNvPicPr>
      </xdr:nvPicPr>
      <xdr:blipFill rotWithShape="1">
        <a:blip xmlns:r="http://schemas.openxmlformats.org/officeDocument/2006/relationships" r:embed="rId2"/>
        <a:srcRect l="9483" t="35982" r="7377" b="36637"/>
        <a:stretch/>
      </xdr:blipFill>
      <xdr:spPr>
        <a:xfrm>
          <a:off x="11879580" y="1546013"/>
          <a:ext cx="1765300" cy="434765"/>
        </a:xfrm>
        <a:prstGeom prst="rect">
          <a:avLst/>
        </a:prstGeom>
      </xdr:spPr>
    </xdr:pic>
    <xdr:clientData/>
  </xdr:twoCellAnchor>
  <xdr:twoCellAnchor editAs="oneCell">
    <xdr:from>
      <xdr:col>5</xdr:col>
      <xdr:colOff>620887</xdr:colOff>
      <xdr:row>10</xdr:row>
      <xdr:rowOff>46567</xdr:rowOff>
    </xdr:from>
    <xdr:to>
      <xdr:col>8</xdr:col>
      <xdr:colOff>231025</xdr:colOff>
      <xdr:row>12</xdr:row>
      <xdr:rowOff>139700</xdr:rowOff>
    </xdr:to>
    <xdr:pic>
      <xdr:nvPicPr>
        <xdr:cNvPr id="4" name="Picture 3">
          <a:extLst>
            <a:ext uri="{FF2B5EF4-FFF2-40B4-BE49-F238E27FC236}">
              <a16:creationId xmlns:a16="http://schemas.microsoft.com/office/drawing/2014/main" id="{06D29E23-3CAA-4B88-8FC1-43D75EED661D}"/>
            </a:ext>
          </a:extLst>
        </xdr:cNvPr>
        <xdr:cNvPicPr>
          <a:picLocks noChangeAspect="1"/>
        </xdr:cNvPicPr>
      </xdr:nvPicPr>
      <xdr:blipFill rotWithShape="1">
        <a:blip xmlns:r="http://schemas.openxmlformats.org/officeDocument/2006/relationships" r:embed="rId3"/>
        <a:srcRect t="28638" b="36115"/>
        <a:stretch/>
      </xdr:blipFill>
      <xdr:spPr>
        <a:xfrm>
          <a:off x="8983837" y="1608667"/>
          <a:ext cx="2048538" cy="405553"/>
        </a:xfrm>
        <a:prstGeom prst="rect">
          <a:avLst/>
        </a:prstGeom>
      </xdr:spPr>
    </xdr:pic>
    <xdr:clientData/>
  </xdr:twoCellAnchor>
  <xdr:twoCellAnchor editAs="oneCell">
    <xdr:from>
      <xdr:col>6</xdr:col>
      <xdr:colOff>424</xdr:colOff>
      <xdr:row>0</xdr:row>
      <xdr:rowOff>12277</xdr:rowOff>
    </xdr:from>
    <xdr:to>
      <xdr:col>6</xdr:col>
      <xdr:colOff>449156</xdr:colOff>
      <xdr:row>2</xdr:row>
      <xdr:rowOff>147742</xdr:rowOff>
    </xdr:to>
    <xdr:pic>
      <xdr:nvPicPr>
        <xdr:cNvPr id="5" name="Picture 4">
          <a:extLst>
            <a:ext uri="{FF2B5EF4-FFF2-40B4-BE49-F238E27FC236}">
              <a16:creationId xmlns:a16="http://schemas.microsoft.com/office/drawing/2014/main" id="{C9C1ED43-1B45-4294-B6C4-C9A3EE1F9A7E}"/>
            </a:ext>
          </a:extLst>
        </xdr:cNvPr>
        <xdr:cNvPicPr>
          <a:picLocks noChangeAspect="1"/>
        </xdr:cNvPicPr>
      </xdr:nvPicPr>
      <xdr:blipFill>
        <a:blip xmlns:r="http://schemas.openxmlformats.org/officeDocument/2006/relationships" r:embed="rId4"/>
        <a:stretch>
          <a:fillRect/>
        </a:stretch>
      </xdr:blipFill>
      <xdr:spPr>
        <a:xfrm>
          <a:off x="9353974" y="12277"/>
          <a:ext cx="448732" cy="4478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sti/Documents/Course%20Files/The%20Complete%20Guide%20To%20Investing%20In%20Retail%20Properties/49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ARED/1999/BUDGET/NED/492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porate%20Analysis/2003/2003%20Budgets%20and%20Reforecasting/2003%20budget%20templates/Wells%20University/Wells%20University%202003%20budget%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9 BUDGET"/>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9 BUDGET"/>
      <sheetName val="1998 REFORECAST"/>
      <sheetName val="VARIANCE ANALYSIS"/>
      <sheetName val="PSF"/>
      <sheetName val="4 YEAR NOI"/>
      <sheetName val="CAPITAL EXPENDITURES"/>
      <sheetName val="CAM DEP'N_AMORTIZATION_2000"/>
      <sheetName val="CAM DEP'N_AMORTIZATION"/>
      <sheetName val="DEFERRED EXPENSES"/>
      <sheetName val="MINIMUM &amp; OVERAGE RENT"/>
      <sheetName val="SPECIALTY LEASING INCOME"/>
      <sheetName val="CAM INCOME"/>
      <sheetName val="REAL ESTATE TAX INCOME"/>
      <sheetName val="UTILITY INCOME"/>
      <sheetName val="INTEREST-OTHER INCOME"/>
      <sheetName val="4001 PAYROLL"/>
      <sheetName val="4002 PAYROLL TAXES"/>
      <sheetName val="4004 BENEFITS"/>
      <sheetName val="4005 REIMBURSEMENTS"/>
      <sheetName val="4008 CLEANING"/>
      <sheetName val="4010 TRAVEL"/>
      <sheetName val="4012 CONTRACTED SERVICES"/>
      <sheetName val="4013 MATERIALS &amp; SUPPLIES"/>
      <sheetName val="4014 REPAIRS &amp; MAINTENANCE"/>
      <sheetName val="4015 EQUIPMENT RENTAL"/>
      <sheetName val="4016 UTILITIES - ELECTRIC"/>
      <sheetName val="4017 UTILITIES - GAS &amp; OIL"/>
      <sheetName val="4018 UTILITIES- WATER &amp; SEWER"/>
      <sheetName val="4019 DUES"/>
      <sheetName val="4020 SUBSCRIPTIONS"/>
      <sheetName val="4021 OFFICE EXPENSES"/>
      <sheetName val="4022 COPIER EXPENSE"/>
      <sheetName val="4023 TELEPHONE"/>
      <sheetName val="4024 GIFT &amp; HOLIDAY"/>
      <sheetName val="4025 PARKING LOT REPAIR"/>
      <sheetName val="4026 ROAD REPAIR"/>
      <sheetName val="4027 ROOF REPAIR"/>
      <sheetName val="4030 SALES PROMOTION"/>
      <sheetName val="4031 SPECIALTY LEASING EXPENSE"/>
      <sheetName val="4034 EDUCATION"/>
      <sheetName val="4040 MANAGEMENT FEE"/>
      <sheetName val="4041 SNOW REMOVAL"/>
      <sheetName val="4042 MANAGEMENT FEE"/>
      <sheetName val="4043 PARKING LOT RENTAL"/>
      <sheetName val="4044 ACCOUNTING AND AUDITING"/>
      <sheetName val="4045 PROF SERVICES - LEGAL"/>
      <sheetName val="4046 PROF SERVICES - OTHER"/>
      <sheetName val="4047 INSURANCE"/>
      <sheetName val="4049 MARKETING CONTRIBUTIONS"/>
      <sheetName val="4050 BAD DEBTS"/>
      <sheetName val="4070 CHARITABLE CONTRIBUTIONS"/>
      <sheetName val="4071 REAL ESTATE TAXES"/>
      <sheetName val="4072 INTEREST EXPENSE"/>
      <sheetName val="4073 DEPRECIATION"/>
      <sheetName val="4074 AMORTIZATION"/>
      <sheetName val="PROMO INTERCOMPANY"/>
      <sheetName val="SQUARE FOOTAGE"/>
      <sheetName val="PAYROLL"/>
      <sheetName val="BENEFITS"/>
      <sheetName val="UTILITIES"/>
      <sheetName val="AP ALLOC"/>
      <sheetName val="PROOF PAGE"/>
      <sheetName val="Interfa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 Employee driven"/>
      <sheetName val="Temps"/>
      <sheetName val="Internal-nonEmployee driven"/>
      <sheetName val="Wells University-Internal"/>
      <sheetName val="MAPS driven"/>
      <sheetName val="External-nonMAPS driven"/>
      <sheetName val="Wells University-External"/>
      <sheetName val="DropZone"/>
    </sheetNames>
    <sheetDataSet>
      <sheetData sheetId="0"/>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50"/>
  <sheetViews>
    <sheetView showGridLines="0" view="pageBreakPreview" zoomScaleNormal="100" zoomScaleSheetLayoutView="100" workbookViewId="0"/>
  </sheetViews>
  <sheetFormatPr defaultColWidth="8.75" defaultRowHeight="13.5" x14ac:dyDescent="0.25"/>
  <cols>
    <col min="1" max="16384" width="8.75" style="33"/>
  </cols>
  <sheetData>
    <row r="5" spans="1:14" ht="12.4" customHeight="1" x14ac:dyDescent="0.25">
      <c r="A5" s="429" t="s">
        <v>408</v>
      </c>
      <c r="B5" s="430"/>
      <c r="C5" s="430"/>
      <c r="D5" s="430"/>
      <c r="E5" s="430"/>
      <c r="F5" s="430"/>
      <c r="G5" s="430"/>
      <c r="H5" s="430"/>
      <c r="I5" s="430"/>
      <c r="J5" s="430"/>
      <c r="K5" s="430"/>
      <c r="L5" s="430"/>
      <c r="M5" s="430"/>
      <c r="N5" s="431"/>
    </row>
    <row r="6" spans="1:14" x14ac:dyDescent="0.25">
      <c r="A6" s="432"/>
      <c r="B6" s="433"/>
      <c r="C6" s="433"/>
      <c r="D6" s="433"/>
      <c r="E6" s="433"/>
      <c r="F6" s="433"/>
      <c r="G6" s="433"/>
      <c r="H6" s="433"/>
      <c r="I6" s="433"/>
      <c r="J6" s="433"/>
      <c r="K6" s="433"/>
      <c r="L6" s="433"/>
      <c r="M6" s="433"/>
      <c r="N6" s="434"/>
    </row>
    <row r="7" spans="1:14" x14ac:dyDescent="0.25">
      <c r="A7" s="432"/>
      <c r="B7" s="433"/>
      <c r="C7" s="433"/>
      <c r="D7" s="433"/>
      <c r="E7" s="433"/>
      <c r="F7" s="433"/>
      <c r="G7" s="433"/>
      <c r="H7" s="433"/>
      <c r="I7" s="433"/>
      <c r="J7" s="433"/>
      <c r="K7" s="433"/>
      <c r="L7" s="433"/>
      <c r="M7" s="433"/>
      <c r="N7" s="434"/>
    </row>
    <row r="8" spans="1:14" x14ac:dyDescent="0.25">
      <c r="A8" s="432"/>
      <c r="B8" s="433"/>
      <c r="C8" s="433"/>
      <c r="D8" s="433"/>
      <c r="E8" s="433"/>
      <c r="F8" s="433"/>
      <c r="G8" s="433"/>
      <c r="H8" s="433"/>
      <c r="I8" s="433"/>
      <c r="J8" s="433"/>
      <c r="K8" s="433"/>
      <c r="L8" s="433"/>
      <c r="M8" s="433"/>
      <c r="N8" s="434"/>
    </row>
    <row r="9" spans="1:14" x14ac:dyDescent="0.25">
      <c r="A9" s="432"/>
      <c r="B9" s="433"/>
      <c r="C9" s="433"/>
      <c r="D9" s="433"/>
      <c r="E9" s="433"/>
      <c r="F9" s="433"/>
      <c r="G9" s="433"/>
      <c r="H9" s="433"/>
      <c r="I9" s="433"/>
      <c r="J9" s="433"/>
      <c r="K9" s="433"/>
      <c r="L9" s="433"/>
      <c r="M9" s="433"/>
      <c r="N9" s="434"/>
    </row>
    <row r="10" spans="1:14" x14ac:dyDescent="0.25">
      <c r="A10" s="432"/>
      <c r="B10" s="433"/>
      <c r="C10" s="433"/>
      <c r="D10" s="433"/>
      <c r="E10" s="433"/>
      <c r="F10" s="433"/>
      <c r="G10" s="433"/>
      <c r="H10" s="433"/>
      <c r="I10" s="433"/>
      <c r="J10" s="433"/>
      <c r="K10" s="433"/>
      <c r="L10" s="433"/>
      <c r="M10" s="433"/>
      <c r="N10" s="434"/>
    </row>
    <row r="11" spans="1:14" x14ac:dyDescent="0.25">
      <c r="A11" s="432"/>
      <c r="B11" s="433"/>
      <c r="C11" s="433"/>
      <c r="D11" s="433"/>
      <c r="E11" s="433"/>
      <c r="F11" s="433"/>
      <c r="G11" s="433"/>
      <c r="H11" s="433"/>
      <c r="I11" s="433"/>
      <c r="J11" s="433"/>
      <c r="K11" s="433"/>
      <c r="L11" s="433"/>
      <c r="M11" s="433"/>
      <c r="N11" s="434"/>
    </row>
    <row r="12" spans="1:14" x14ac:dyDescent="0.25">
      <c r="A12" s="432"/>
      <c r="B12" s="433"/>
      <c r="C12" s="433"/>
      <c r="D12" s="433"/>
      <c r="E12" s="433"/>
      <c r="F12" s="433"/>
      <c r="G12" s="433"/>
      <c r="H12" s="433"/>
      <c r="I12" s="433"/>
      <c r="J12" s="433"/>
      <c r="K12" s="433"/>
      <c r="L12" s="433"/>
      <c r="M12" s="433"/>
      <c r="N12" s="434"/>
    </row>
    <row r="13" spans="1:14" x14ac:dyDescent="0.25">
      <c r="A13" s="432"/>
      <c r="B13" s="433"/>
      <c r="C13" s="433"/>
      <c r="D13" s="433"/>
      <c r="E13" s="433"/>
      <c r="F13" s="433"/>
      <c r="G13" s="433"/>
      <c r="H13" s="433"/>
      <c r="I13" s="433"/>
      <c r="J13" s="433"/>
      <c r="K13" s="433"/>
      <c r="L13" s="433"/>
      <c r="M13" s="433"/>
      <c r="N13" s="434"/>
    </row>
    <row r="14" spans="1:14" x14ac:dyDescent="0.25">
      <c r="A14" s="432"/>
      <c r="B14" s="433"/>
      <c r="C14" s="433"/>
      <c r="D14" s="433"/>
      <c r="E14" s="433"/>
      <c r="F14" s="433"/>
      <c r="G14" s="433"/>
      <c r="H14" s="433"/>
      <c r="I14" s="433"/>
      <c r="J14" s="433"/>
      <c r="K14" s="433"/>
      <c r="L14" s="433"/>
      <c r="M14" s="433"/>
      <c r="N14" s="434"/>
    </row>
    <row r="15" spans="1:14" x14ac:dyDescent="0.25">
      <c r="A15" s="432"/>
      <c r="B15" s="433"/>
      <c r="C15" s="433"/>
      <c r="D15" s="433"/>
      <c r="E15" s="433"/>
      <c r="F15" s="433"/>
      <c r="G15" s="433"/>
      <c r="H15" s="433"/>
      <c r="I15" s="433"/>
      <c r="J15" s="433"/>
      <c r="K15" s="433"/>
      <c r="L15" s="433"/>
      <c r="M15" s="433"/>
      <c r="N15" s="434"/>
    </row>
    <row r="16" spans="1:14" x14ac:dyDescent="0.25">
      <c r="A16" s="432"/>
      <c r="B16" s="433"/>
      <c r="C16" s="433"/>
      <c r="D16" s="433"/>
      <c r="E16" s="433"/>
      <c r="F16" s="433"/>
      <c r="G16" s="433"/>
      <c r="H16" s="433"/>
      <c r="I16" s="433"/>
      <c r="J16" s="433"/>
      <c r="K16" s="433"/>
      <c r="L16" s="433"/>
      <c r="M16" s="433"/>
      <c r="N16" s="434"/>
    </row>
    <row r="17" spans="1:14" x14ac:dyDescent="0.25">
      <c r="A17" s="432"/>
      <c r="B17" s="433"/>
      <c r="C17" s="433"/>
      <c r="D17" s="433"/>
      <c r="E17" s="433"/>
      <c r="F17" s="433"/>
      <c r="G17" s="433"/>
      <c r="H17" s="433"/>
      <c r="I17" s="433"/>
      <c r="J17" s="433"/>
      <c r="K17" s="433"/>
      <c r="L17" s="433"/>
      <c r="M17" s="433"/>
      <c r="N17" s="434"/>
    </row>
    <row r="18" spans="1:14" x14ac:dyDescent="0.25">
      <c r="A18" s="432"/>
      <c r="B18" s="433"/>
      <c r="C18" s="433"/>
      <c r="D18" s="433"/>
      <c r="E18" s="433"/>
      <c r="F18" s="433"/>
      <c r="G18" s="433"/>
      <c r="H18" s="433"/>
      <c r="I18" s="433"/>
      <c r="J18" s="433"/>
      <c r="K18" s="433"/>
      <c r="L18" s="433"/>
      <c r="M18" s="433"/>
      <c r="N18" s="434"/>
    </row>
    <row r="19" spans="1:14" x14ac:dyDescent="0.25">
      <c r="A19" s="432"/>
      <c r="B19" s="433"/>
      <c r="C19" s="433"/>
      <c r="D19" s="433"/>
      <c r="E19" s="433"/>
      <c r="F19" s="433"/>
      <c r="G19" s="433"/>
      <c r="H19" s="433"/>
      <c r="I19" s="433"/>
      <c r="J19" s="433"/>
      <c r="K19" s="433"/>
      <c r="L19" s="433"/>
      <c r="M19" s="433"/>
      <c r="N19" s="434"/>
    </row>
    <row r="20" spans="1:14" x14ac:dyDescent="0.25">
      <c r="A20" s="432"/>
      <c r="B20" s="433"/>
      <c r="C20" s="433"/>
      <c r="D20" s="433"/>
      <c r="E20" s="433"/>
      <c r="F20" s="433"/>
      <c r="G20" s="433"/>
      <c r="H20" s="433"/>
      <c r="I20" s="433"/>
      <c r="J20" s="433"/>
      <c r="K20" s="433"/>
      <c r="L20" s="433"/>
      <c r="M20" s="433"/>
      <c r="N20" s="434"/>
    </row>
    <row r="21" spans="1:14" x14ac:dyDescent="0.25">
      <c r="A21" s="432"/>
      <c r="B21" s="433"/>
      <c r="C21" s="433"/>
      <c r="D21" s="433"/>
      <c r="E21" s="433"/>
      <c r="F21" s="433"/>
      <c r="G21" s="433"/>
      <c r="H21" s="433"/>
      <c r="I21" s="433"/>
      <c r="J21" s="433"/>
      <c r="K21" s="433"/>
      <c r="L21" s="433"/>
      <c r="M21" s="433"/>
      <c r="N21" s="434"/>
    </row>
    <row r="22" spans="1:14" x14ac:dyDescent="0.25">
      <c r="A22" s="432"/>
      <c r="B22" s="433"/>
      <c r="C22" s="433"/>
      <c r="D22" s="433"/>
      <c r="E22" s="433"/>
      <c r="F22" s="433"/>
      <c r="G22" s="433"/>
      <c r="H22" s="433"/>
      <c r="I22" s="433"/>
      <c r="J22" s="433"/>
      <c r="K22" s="433"/>
      <c r="L22" s="433"/>
      <c r="M22" s="433"/>
      <c r="N22" s="434"/>
    </row>
    <row r="23" spans="1:14" x14ac:dyDescent="0.25">
      <c r="A23" s="432"/>
      <c r="B23" s="433"/>
      <c r="C23" s="433"/>
      <c r="D23" s="433"/>
      <c r="E23" s="433"/>
      <c r="F23" s="433"/>
      <c r="G23" s="433"/>
      <c r="H23" s="433"/>
      <c r="I23" s="433"/>
      <c r="J23" s="433"/>
      <c r="K23" s="433"/>
      <c r="L23" s="433"/>
      <c r="M23" s="433"/>
      <c r="N23" s="434"/>
    </row>
    <row r="24" spans="1:14" x14ac:dyDescent="0.25">
      <c r="A24" s="432"/>
      <c r="B24" s="433"/>
      <c r="C24" s="433"/>
      <c r="D24" s="433"/>
      <c r="E24" s="433"/>
      <c r="F24" s="433"/>
      <c r="G24" s="433"/>
      <c r="H24" s="433"/>
      <c r="I24" s="433"/>
      <c r="J24" s="433"/>
      <c r="K24" s="433"/>
      <c r="L24" s="433"/>
      <c r="M24" s="433"/>
      <c r="N24" s="434"/>
    </row>
    <row r="25" spans="1:14" x14ac:dyDescent="0.25">
      <c r="A25" s="432"/>
      <c r="B25" s="433"/>
      <c r="C25" s="433"/>
      <c r="D25" s="433"/>
      <c r="E25" s="433"/>
      <c r="F25" s="433"/>
      <c r="G25" s="433"/>
      <c r="H25" s="433"/>
      <c r="I25" s="433"/>
      <c r="J25" s="433"/>
      <c r="K25" s="433"/>
      <c r="L25" s="433"/>
      <c r="M25" s="433"/>
      <c r="N25" s="434"/>
    </row>
    <row r="26" spans="1:14" x14ac:dyDescent="0.25">
      <c r="A26" s="432"/>
      <c r="B26" s="433"/>
      <c r="C26" s="433"/>
      <c r="D26" s="433"/>
      <c r="E26" s="433"/>
      <c r="F26" s="433"/>
      <c r="G26" s="433"/>
      <c r="H26" s="433"/>
      <c r="I26" s="433"/>
      <c r="J26" s="433"/>
      <c r="K26" s="433"/>
      <c r="L26" s="433"/>
      <c r="M26" s="433"/>
      <c r="N26" s="434"/>
    </row>
    <row r="27" spans="1:14" x14ac:dyDescent="0.25">
      <c r="A27" s="432"/>
      <c r="B27" s="433"/>
      <c r="C27" s="433"/>
      <c r="D27" s="433"/>
      <c r="E27" s="433"/>
      <c r="F27" s="433"/>
      <c r="G27" s="433"/>
      <c r="H27" s="433"/>
      <c r="I27" s="433"/>
      <c r="J27" s="433"/>
      <c r="K27" s="433"/>
      <c r="L27" s="433"/>
      <c r="M27" s="433"/>
      <c r="N27" s="434"/>
    </row>
    <row r="28" spans="1:14" x14ac:dyDescent="0.25">
      <c r="A28" s="432"/>
      <c r="B28" s="433"/>
      <c r="C28" s="433"/>
      <c r="D28" s="433"/>
      <c r="E28" s="433"/>
      <c r="F28" s="433"/>
      <c r="G28" s="433"/>
      <c r="H28" s="433"/>
      <c r="I28" s="433"/>
      <c r="J28" s="433"/>
      <c r="K28" s="433"/>
      <c r="L28" s="433"/>
      <c r="M28" s="433"/>
      <c r="N28" s="434"/>
    </row>
    <row r="29" spans="1:14" x14ac:dyDescent="0.25">
      <c r="A29" s="432"/>
      <c r="B29" s="433"/>
      <c r="C29" s="433"/>
      <c r="D29" s="433"/>
      <c r="E29" s="433"/>
      <c r="F29" s="433"/>
      <c r="G29" s="433"/>
      <c r="H29" s="433"/>
      <c r="I29" s="433"/>
      <c r="J29" s="433"/>
      <c r="K29" s="433"/>
      <c r="L29" s="433"/>
      <c r="M29" s="433"/>
      <c r="N29" s="434"/>
    </row>
    <row r="30" spans="1:14" x14ac:dyDescent="0.25">
      <c r="A30" s="432"/>
      <c r="B30" s="433"/>
      <c r="C30" s="433"/>
      <c r="D30" s="433"/>
      <c r="E30" s="433"/>
      <c r="F30" s="433"/>
      <c r="G30" s="433"/>
      <c r="H30" s="433"/>
      <c r="I30" s="433"/>
      <c r="J30" s="433"/>
      <c r="K30" s="433"/>
      <c r="L30" s="433"/>
      <c r="M30" s="433"/>
      <c r="N30" s="434"/>
    </row>
    <row r="31" spans="1:14" x14ac:dyDescent="0.25">
      <c r="A31" s="432"/>
      <c r="B31" s="433"/>
      <c r="C31" s="433"/>
      <c r="D31" s="433"/>
      <c r="E31" s="433"/>
      <c r="F31" s="433"/>
      <c r="G31" s="433"/>
      <c r="H31" s="433"/>
      <c r="I31" s="433"/>
      <c r="J31" s="433"/>
      <c r="K31" s="433"/>
      <c r="L31" s="433"/>
      <c r="M31" s="433"/>
      <c r="N31" s="434"/>
    </row>
    <row r="32" spans="1:14" x14ac:dyDescent="0.25">
      <c r="A32" s="34"/>
      <c r="B32" s="35"/>
      <c r="C32" s="35"/>
      <c r="D32" s="35"/>
      <c r="E32" s="35"/>
      <c r="F32" s="35"/>
      <c r="G32" s="35"/>
      <c r="H32" s="35"/>
      <c r="I32" s="35"/>
      <c r="J32" s="35"/>
      <c r="K32" s="35"/>
      <c r="L32" s="35"/>
      <c r="M32" s="35"/>
      <c r="N32" s="36"/>
    </row>
    <row r="33" spans="1:14" x14ac:dyDescent="0.25">
      <c r="A33" s="432" t="str">
        <f ca="1">"©  "&amp;YEAR(TODAY())&amp;" Break Into CRE (www.breakintocre.com). All Rights Reserved."</f>
        <v>©  2023 Break Into CRE (www.breakintocre.com). All Rights Reserved.</v>
      </c>
      <c r="B33" s="433"/>
      <c r="C33" s="433"/>
      <c r="D33" s="433"/>
      <c r="E33" s="433"/>
      <c r="F33" s="433"/>
      <c r="G33" s="433"/>
      <c r="H33" s="433"/>
      <c r="I33" s="433"/>
      <c r="J33" s="433"/>
      <c r="K33" s="433"/>
      <c r="L33" s="433"/>
      <c r="M33" s="433"/>
      <c r="N33" s="434"/>
    </row>
    <row r="34" spans="1:14" x14ac:dyDescent="0.25">
      <c r="A34" s="34"/>
      <c r="B34" s="35"/>
      <c r="C34" s="35"/>
      <c r="D34" s="35"/>
      <c r="E34" s="35"/>
      <c r="F34" s="35"/>
      <c r="G34" s="35"/>
      <c r="H34" s="35"/>
      <c r="I34" s="35"/>
      <c r="J34" s="35"/>
      <c r="K34" s="35"/>
      <c r="L34" s="35"/>
      <c r="M34" s="35"/>
      <c r="N34" s="36"/>
    </row>
    <row r="35" spans="1:14" x14ac:dyDescent="0.25">
      <c r="A35" s="37"/>
      <c r="B35" s="37"/>
      <c r="C35" s="37"/>
      <c r="D35" s="37"/>
      <c r="E35" s="37"/>
      <c r="F35" s="37"/>
      <c r="G35" s="37"/>
      <c r="H35" s="38"/>
      <c r="I35" s="37"/>
      <c r="J35" s="37"/>
      <c r="K35" s="37"/>
      <c r="L35" s="37"/>
      <c r="M35" s="37"/>
      <c r="N35" s="37"/>
    </row>
    <row r="36" spans="1:14" x14ac:dyDescent="0.25">
      <c r="A36" s="39"/>
      <c r="B36" s="39"/>
      <c r="C36" s="39"/>
      <c r="D36" s="39"/>
      <c r="E36" s="39"/>
      <c r="F36" s="39"/>
      <c r="G36" s="39"/>
      <c r="H36" s="39"/>
      <c r="I36" s="39"/>
      <c r="J36" s="39"/>
      <c r="K36" s="39"/>
      <c r="L36" s="39"/>
      <c r="M36" s="39"/>
      <c r="N36" s="39"/>
    </row>
    <row r="37" spans="1:14" x14ac:dyDescent="0.25">
      <c r="A37" s="39"/>
      <c r="B37" s="39"/>
      <c r="C37" s="39"/>
      <c r="D37" s="39"/>
      <c r="E37" s="39"/>
      <c r="F37" s="39"/>
      <c r="G37" s="39"/>
      <c r="H37" s="39"/>
      <c r="I37" s="39"/>
      <c r="J37" s="39"/>
      <c r="K37" s="39"/>
      <c r="L37" s="39"/>
      <c r="M37" s="39"/>
      <c r="N37" s="39"/>
    </row>
    <row r="38" spans="1:14" x14ac:dyDescent="0.25">
      <c r="A38" s="39"/>
      <c r="B38" s="39"/>
      <c r="C38" s="39"/>
      <c r="D38" s="39"/>
      <c r="E38" s="39"/>
      <c r="F38" s="39"/>
      <c r="G38" s="39"/>
      <c r="H38" s="39"/>
      <c r="I38" s="39"/>
      <c r="J38" s="39"/>
      <c r="K38" s="39"/>
      <c r="L38" s="39"/>
      <c r="M38" s="39"/>
      <c r="N38" s="39"/>
    </row>
    <row r="39" spans="1:14" x14ac:dyDescent="0.25">
      <c r="A39" s="39"/>
      <c r="B39" s="39"/>
      <c r="C39" s="39"/>
      <c r="D39" s="39"/>
      <c r="E39" s="39"/>
      <c r="F39" s="39"/>
      <c r="G39" s="39"/>
      <c r="H39" s="39"/>
      <c r="I39" s="39"/>
      <c r="J39" s="39"/>
      <c r="K39" s="39"/>
      <c r="L39" s="39"/>
      <c r="M39" s="39"/>
      <c r="N39" s="39"/>
    </row>
    <row r="40" spans="1:14" x14ac:dyDescent="0.25">
      <c r="A40" s="39"/>
      <c r="B40" s="39"/>
      <c r="C40" s="39"/>
      <c r="D40" s="39"/>
      <c r="E40" s="39"/>
      <c r="F40" s="39"/>
      <c r="G40" s="39"/>
      <c r="H40" s="39"/>
      <c r="I40" s="39"/>
      <c r="J40" s="39"/>
      <c r="K40" s="39"/>
      <c r="L40" s="39"/>
      <c r="M40" s="39"/>
      <c r="N40" s="39"/>
    </row>
    <row r="41" spans="1:14" x14ac:dyDescent="0.25">
      <c r="A41" s="39"/>
      <c r="B41" s="39"/>
      <c r="C41" s="39"/>
      <c r="D41" s="39"/>
      <c r="E41" s="39"/>
      <c r="F41" s="39"/>
      <c r="G41" s="39"/>
      <c r="H41" s="39"/>
      <c r="I41" s="39"/>
      <c r="J41" s="39"/>
      <c r="K41" s="39"/>
      <c r="L41" s="39"/>
      <c r="M41" s="39"/>
      <c r="N41" s="39"/>
    </row>
    <row r="42" spans="1:14" x14ac:dyDescent="0.25">
      <c r="A42" s="39"/>
      <c r="B42" s="39"/>
      <c r="C42" s="39"/>
      <c r="D42" s="39"/>
      <c r="E42" s="39"/>
      <c r="F42" s="39"/>
      <c r="G42" s="39"/>
      <c r="H42" s="39"/>
      <c r="I42" s="39"/>
      <c r="J42" s="39"/>
      <c r="K42" s="39"/>
      <c r="L42" s="39"/>
      <c r="M42" s="39"/>
      <c r="N42" s="39"/>
    </row>
    <row r="43" spans="1:14" x14ac:dyDescent="0.25">
      <c r="A43" s="39"/>
      <c r="B43" s="39"/>
      <c r="C43" s="39"/>
      <c r="D43" s="39"/>
      <c r="E43" s="39"/>
      <c r="F43" s="39"/>
      <c r="G43" s="39"/>
      <c r="H43" s="39"/>
      <c r="I43" s="39"/>
      <c r="J43" s="39"/>
      <c r="K43" s="39"/>
      <c r="L43" s="39"/>
      <c r="M43" s="39"/>
      <c r="N43" s="39"/>
    </row>
    <row r="44" spans="1:14" x14ac:dyDescent="0.25">
      <c r="A44" s="39"/>
      <c r="B44" s="39"/>
      <c r="C44" s="39"/>
      <c r="D44" s="39"/>
      <c r="E44" s="39"/>
      <c r="F44" s="39"/>
      <c r="G44" s="39"/>
      <c r="H44" s="39"/>
      <c r="I44" s="39"/>
      <c r="J44" s="39"/>
      <c r="K44" s="39"/>
      <c r="L44" s="39"/>
      <c r="M44" s="39"/>
      <c r="N44" s="39"/>
    </row>
    <row r="45" spans="1:14" x14ac:dyDescent="0.25">
      <c r="A45" s="39"/>
      <c r="B45" s="39"/>
      <c r="C45" s="39"/>
      <c r="D45" s="39"/>
      <c r="E45" s="39"/>
      <c r="F45" s="39"/>
      <c r="G45" s="39"/>
      <c r="H45" s="39"/>
      <c r="I45" s="39"/>
      <c r="J45" s="39"/>
      <c r="K45" s="39"/>
      <c r="L45" s="39"/>
      <c r="M45" s="39"/>
      <c r="N45" s="39"/>
    </row>
    <row r="46" spans="1:14" x14ac:dyDescent="0.25">
      <c r="A46" s="39"/>
      <c r="B46" s="39"/>
      <c r="C46" s="39"/>
      <c r="D46" s="39"/>
      <c r="E46" s="39"/>
      <c r="F46" s="39"/>
      <c r="G46" s="39"/>
      <c r="H46" s="39"/>
      <c r="I46" s="39"/>
      <c r="J46" s="39"/>
      <c r="K46" s="39"/>
      <c r="L46" s="39"/>
      <c r="M46" s="39"/>
      <c r="N46" s="39"/>
    </row>
    <row r="47" spans="1:14" x14ac:dyDescent="0.25">
      <c r="A47" s="39"/>
      <c r="B47" s="39"/>
      <c r="C47" s="39"/>
      <c r="D47" s="39"/>
      <c r="E47" s="39"/>
      <c r="F47" s="39"/>
      <c r="G47" s="39"/>
      <c r="H47" s="39"/>
      <c r="I47" s="39"/>
      <c r="J47" s="39"/>
      <c r="K47" s="39"/>
      <c r="L47" s="39"/>
      <c r="M47" s="39"/>
      <c r="N47" s="39"/>
    </row>
    <row r="48" spans="1:14" x14ac:dyDescent="0.25">
      <c r="A48" s="39"/>
      <c r="B48" s="39"/>
      <c r="C48" s="39"/>
      <c r="D48" s="39"/>
      <c r="E48" s="39"/>
      <c r="F48" s="39"/>
      <c r="G48" s="39"/>
      <c r="H48" s="39"/>
      <c r="I48" s="39"/>
      <c r="J48" s="39"/>
      <c r="K48" s="39"/>
      <c r="L48" s="39"/>
      <c r="M48" s="39"/>
      <c r="N48" s="39"/>
    </row>
    <row r="49" spans="1:14" x14ac:dyDescent="0.25">
      <c r="A49" s="39"/>
      <c r="B49" s="39"/>
      <c r="C49" s="39"/>
      <c r="D49" s="39"/>
      <c r="E49" s="39"/>
      <c r="F49" s="39"/>
      <c r="G49" s="39"/>
      <c r="H49" s="39"/>
      <c r="I49" s="39"/>
      <c r="J49" s="39"/>
      <c r="K49" s="39"/>
      <c r="L49" s="39"/>
      <c r="M49" s="39"/>
      <c r="N49" s="39"/>
    </row>
    <row r="50" spans="1:14" x14ac:dyDescent="0.25">
      <c r="A50" s="39"/>
      <c r="B50" s="39"/>
      <c r="C50" s="39"/>
      <c r="D50" s="39"/>
      <c r="E50" s="39"/>
      <c r="F50" s="39"/>
      <c r="G50" s="39"/>
      <c r="H50" s="39"/>
      <c r="I50" s="39"/>
      <c r="J50" s="39"/>
      <c r="K50" s="39"/>
      <c r="L50" s="39"/>
      <c r="M50" s="39"/>
      <c r="N50" s="39"/>
    </row>
  </sheetData>
  <mergeCells count="2">
    <mergeCell ref="A5:N31"/>
    <mergeCell ref="A33:N33"/>
  </mergeCells>
  <pageMargins left="0.7" right="0.7" top="0.75" bottom="0.75" header="0.3" footer="0.3"/>
  <pageSetup scale="6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zoomScaleNormal="100" zoomScalePageLayoutView="200" workbookViewId="0"/>
  </sheetViews>
  <sheetFormatPr defaultColWidth="10.875" defaultRowHeight="13.5" x14ac:dyDescent="0.25"/>
  <cols>
    <col min="1" max="1" width="26.375" style="23" bestFit="1" customWidth="1"/>
    <col min="2" max="2" width="10.625" style="63" bestFit="1" customWidth="1"/>
    <col min="3" max="3" width="9.5" style="63" bestFit="1" customWidth="1"/>
    <col min="4" max="4" width="10.5" style="23" bestFit="1" customWidth="1"/>
    <col min="5" max="16384" width="10.875" style="23"/>
  </cols>
  <sheetData>
    <row r="1" spans="1:12" x14ac:dyDescent="0.25">
      <c r="A1" s="64" t="s">
        <v>192</v>
      </c>
      <c r="B1" s="42"/>
      <c r="C1" s="42"/>
      <c r="D1" s="84"/>
      <c r="E1" s="84"/>
      <c r="F1" s="84"/>
      <c r="G1" s="84"/>
      <c r="H1" s="84"/>
      <c r="I1" s="84"/>
      <c r="J1" s="84"/>
      <c r="K1" s="84"/>
      <c r="L1" s="85"/>
    </row>
    <row r="2" spans="1:12" x14ac:dyDescent="0.25">
      <c r="A2" s="75"/>
      <c r="B2" s="73">
        <v>0</v>
      </c>
      <c r="C2" s="73">
        <v>1</v>
      </c>
      <c r="D2" s="73">
        <v>2</v>
      </c>
      <c r="E2" s="73">
        <v>3</v>
      </c>
      <c r="F2" s="73">
        <v>4</v>
      </c>
      <c r="G2" s="73">
        <v>5</v>
      </c>
      <c r="H2" s="73">
        <v>6</v>
      </c>
      <c r="I2" s="73">
        <v>7</v>
      </c>
      <c r="J2" s="73">
        <v>8</v>
      </c>
      <c r="K2" s="73">
        <v>9</v>
      </c>
      <c r="L2" s="74">
        <v>10</v>
      </c>
    </row>
    <row r="3" spans="1:12" x14ac:dyDescent="0.25">
      <c r="A3" s="50" t="s">
        <v>173</v>
      </c>
      <c r="B3" s="70"/>
      <c r="C3" s="86"/>
      <c r="D3" s="78"/>
      <c r="E3" s="78"/>
      <c r="F3" s="78"/>
      <c r="G3" s="78"/>
      <c r="H3" s="78"/>
      <c r="I3" s="78"/>
      <c r="J3" s="78"/>
      <c r="K3" s="78"/>
      <c r="L3" s="79"/>
    </row>
    <row r="4" spans="1:12" x14ac:dyDescent="0.25">
      <c r="A4" s="61" t="s">
        <v>0</v>
      </c>
      <c r="B4" s="67"/>
      <c r="C4" s="71">
        <v>350000</v>
      </c>
      <c r="D4" s="80">
        <v>360500</v>
      </c>
      <c r="E4" s="80">
        <v>371315</v>
      </c>
      <c r="F4" s="80">
        <v>382454.45</v>
      </c>
      <c r="G4" s="80">
        <v>321874</v>
      </c>
      <c r="H4" s="80">
        <v>405745.92600500002</v>
      </c>
      <c r="I4" s="80">
        <v>417918.30378515006</v>
      </c>
      <c r="J4" s="80">
        <v>430455.85289870459</v>
      </c>
      <c r="K4" s="80">
        <v>260932</v>
      </c>
      <c r="L4" s="81">
        <v>456670.61434023571</v>
      </c>
    </row>
    <row r="5" spans="1:12" x14ac:dyDescent="0.25">
      <c r="A5" s="61" t="s">
        <v>169</v>
      </c>
      <c r="B5" s="67"/>
      <c r="C5" s="71">
        <v>-24500.000000000004</v>
      </c>
      <c r="D5" s="71">
        <v>-25235.000000000004</v>
      </c>
      <c r="E5" s="71">
        <v>-25992.050000000003</v>
      </c>
      <c r="F5" s="71">
        <v>-26771.811500000003</v>
      </c>
      <c r="G5" s="71">
        <v>-22531.180000000004</v>
      </c>
      <c r="H5" s="71">
        <v>-28402.214820350004</v>
      </c>
      <c r="I5" s="71">
        <v>-29254.281264960508</v>
      </c>
      <c r="J5" s="71">
        <v>-30131.909702909325</v>
      </c>
      <c r="K5" s="71">
        <v>-18265.240000000002</v>
      </c>
      <c r="L5" s="65">
        <v>-31966.943003816505</v>
      </c>
    </row>
    <row r="6" spans="1:12" x14ac:dyDescent="0.25">
      <c r="A6" s="61" t="s">
        <v>1</v>
      </c>
      <c r="B6" s="67"/>
      <c r="C6" s="71">
        <v>-3255</v>
      </c>
      <c r="D6" s="71">
        <v>-3352.65</v>
      </c>
      <c r="E6" s="71">
        <v>-3453.2295000000004</v>
      </c>
      <c r="F6" s="71">
        <v>-3556.8263850000003</v>
      </c>
      <c r="G6" s="71">
        <v>-2993.4282000000003</v>
      </c>
      <c r="H6" s="71">
        <v>-3773.4371118465001</v>
      </c>
      <c r="I6" s="71">
        <v>-3886.6402252018952</v>
      </c>
      <c r="J6" s="71">
        <v>-4003.239431957953</v>
      </c>
      <c r="K6" s="71">
        <v>-2426.6676000000002</v>
      </c>
      <c r="L6" s="65">
        <v>-4247.0367133641921</v>
      </c>
    </row>
    <row r="7" spans="1:12" x14ac:dyDescent="0.25">
      <c r="A7" s="61" t="s">
        <v>174</v>
      </c>
      <c r="B7" s="67"/>
      <c r="C7" s="71">
        <v>-1627.5</v>
      </c>
      <c r="D7" s="71">
        <v>-1676.325</v>
      </c>
      <c r="E7" s="71">
        <v>-1726.6147500000002</v>
      </c>
      <c r="F7" s="71">
        <v>-1778.4131925000002</v>
      </c>
      <c r="G7" s="71">
        <v>-1496.7141000000001</v>
      </c>
      <c r="H7" s="71">
        <v>-1886.7185559232501</v>
      </c>
      <c r="I7" s="71">
        <v>-1943.3201126009476</v>
      </c>
      <c r="J7" s="71">
        <v>-2001.6197159789765</v>
      </c>
      <c r="K7" s="71">
        <v>-1213.3338000000001</v>
      </c>
      <c r="L7" s="65">
        <v>-2123.5183566820961</v>
      </c>
    </row>
    <row r="8" spans="1:12" x14ac:dyDescent="0.25">
      <c r="A8" s="62" t="s">
        <v>172</v>
      </c>
      <c r="B8" s="68"/>
      <c r="C8" s="72">
        <v>320617.5</v>
      </c>
      <c r="D8" s="72">
        <v>330236.02499999997</v>
      </c>
      <c r="E8" s="72">
        <v>340143.10574999999</v>
      </c>
      <c r="F8" s="72">
        <v>350347.39892249997</v>
      </c>
      <c r="G8" s="72">
        <v>294852.6777</v>
      </c>
      <c r="H8" s="72">
        <v>371683.55551688024</v>
      </c>
      <c r="I8" s="72">
        <v>382834.0621823867</v>
      </c>
      <c r="J8" s="72">
        <v>394319.08404785837</v>
      </c>
      <c r="K8" s="72">
        <v>239026.75860000003</v>
      </c>
      <c r="L8" s="66">
        <v>418333.1162663729</v>
      </c>
    </row>
    <row r="9" spans="1:12" x14ac:dyDescent="0.25">
      <c r="A9" s="61"/>
      <c r="B9" s="67"/>
      <c r="C9" s="71"/>
      <c r="D9" s="82"/>
      <c r="E9" s="82"/>
      <c r="F9" s="82"/>
      <c r="G9" s="82"/>
      <c r="H9" s="82"/>
      <c r="I9" s="82"/>
      <c r="J9" s="82"/>
      <c r="K9" s="82"/>
      <c r="L9" s="83"/>
    </row>
    <row r="10" spans="1:12" x14ac:dyDescent="0.25">
      <c r="A10" s="50" t="s">
        <v>175</v>
      </c>
      <c r="B10" s="67"/>
      <c r="C10" s="71"/>
      <c r="D10" s="82"/>
      <c r="E10" s="82"/>
      <c r="F10" s="82"/>
      <c r="G10" s="82"/>
      <c r="H10" s="82"/>
      <c r="I10" s="82"/>
      <c r="J10" s="82"/>
      <c r="K10" s="82"/>
      <c r="L10" s="83"/>
    </row>
    <row r="11" spans="1:12" x14ac:dyDescent="0.25">
      <c r="A11" s="61" t="s">
        <v>176</v>
      </c>
      <c r="B11" s="67"/>
      <c r="C11" s="71">
        <v>52500</v>
      </c>
      <c r="D11" s="71">
        <v>54075</v>
      </c>
      <c r="E11" s="71">
        <v>55697.25</v>
      </c>
      <c r="F11" s="71">
        <v>57368.167500000003</v>
      </c>
      <c r="G11" s="71">
        <v>48281.1</v>
      </c>
      <c r="H11" s="71">
        <v>60861.888900749997</v>
      </c>
      <c r="I11" s="71">
        <v>62687.745567772508</v>
      </c>
      <c r="J11" s="71">
        <v>64568.377934805685</v>
      </c>
      <c r="K11" s="71">
        <v>39139.799999999996</v>
      </c>
      <c r="L11" s="65">
        <v>68500.592151035351</v>
      </c>
    </row>
    <row r="12" spans="1:12" x14ac:dyDescent="0.25">
      <c r="A12" s="61" t="s">
        <v>2</v>
      </c>
      <c r="B12" s="67"/>
      <c r="C12" s="71">
        <v>8750</v>
      </c>
      <c r="D12" s="71">
        <v>9012.5</v>
      </c>
      <c r="E12" s="71">
        <v>9282.875</v>
      </c>
      <c r="F12" s="71">
        <v>9561.3612499999999</v>
      </c>
      <c r="G12" s="71">
        <v>8046.85</v>
      </c>
      <c r="H12" s="71">
        <v>10143.648150125002</v>
      </c>
      <c r="I12" s="71">
        <v>10447.957594628751</v>
      </c>
      <c r="J12" s="71">
        <v>10761.396322467615</v>
      </c>
      <c r="K12" s="71">
        <v>6523.3</v>
      </c>
      <c r="L12" s="65">
        <v>11416.765358505894</v>
      </c>
    </row>
    <row r="13" spans="1:12" x14ac:dyDescent="0.25">
      <c r="A13" s="61" t="s">
        <v>177</v>
      </c>
      <c r="B13" s="67"/>
      <c r="C13" s="71">
        <v>5000</v>
      </c>
      <c r="D13" s="71">
        <v>5150</v>
      </c>
      <c r="E13" s="71">
        <v>5304.5</v>
      </c>
      <c r="F13" s="71">
        <v>5463.6350000000002</v>
      </c>
      <c r="G13" s="71">
        <v>5627.5440500000004</v>
      </c>
      <c r="H13" s="71">
        <v>5796.3703715000001</v>
      </c>
      <c r="I13" s="71">
        <v>5970.2614826449999</v>
      </c>
      <c r="J13" s="71">
        <v>6149.3693271243501</v>
      </c>
      <c r="K13" s="71">
        <v>6333.8504069380806</v>
      </c>
      <c r="L13" s="65">
        <v>6523.865919146223</v>
      </c>
    </row>
    <row r="14" spans="1:12" x14ac:dyDescent="0.25">
      <c r="A14" s="61" t="s">
        <v>175</v>
      </c>
      <c r="B14" s="67"/>
      <c r="C14" s="71">
        <v>1000</v>
      </c>
      <c r="D14" s="71">
        <v>1030</v>
      </c>
      <c r="E14" s="71">
        <v>1060.9000000000001</v>
      </c>
      <c r="F14" s="71">
        <v>1092.7270000000001</v>
      </c>
      <c r="G14" s="71">
        <v>1125.50881</v>
      </c>
      <c r="H14" s="71">
        <v>1159.2740743000002</v>
      </c>
      <c r="I14" s="71">
        <v>1194.0522965290002</v>
      </c>
      <c r="J14" s="71">
        <v>1229.8738654248702</v>
      </c>
      <c r="K14" s="71">
        <v>1266.7700813876163</v>
      </c>
      <c r="L14" s="65">
        <v>1304.7731838292448</v>
      </c>
    </row>
    <row r="15" spans="1:12" x14ac:dyDescent="0.25">
      <c r="A15" s="62" t="s">
        <v>193</v>
      </c>
      <c r="B15" s="68"/>
      <c r="C15" s="72">
        <v>67250</v>
      </c>
      <c r="D15" s="72">
        <v>69267.5</v>
      </c>
      <c r="E15" s="72">
        <v>71345.524999999994</v>
      </c>
      <c r="F15" s="72">
        <v>73485.890749999991</v>
      </c>
      <c r="G15" s="72">
        <v>63081.002859999993</v>
      </c>
      <c r="H15" s="72">
        <v>77961.181496674995</v>
      </c>
      <c r="I15" s="72">
        <v>80300.016941575261</v>
      </c>
      <c r="J15" s="72">
        <v>82709.017449822524</v>
      </c>
      <c r="K15" s="72">
        <v>53263.720488325693</v>
      </c>
      <c r="L15" s="66">
        <v>87745.996612516697</v>
      </c>
    </row>
    <row r="16" spans="1:12" x14ac:dyDescent="0.25">
      <c r="A16" s="61"/>
      <c r="B16" s="67"/>
      <c r="C16" s="71"/>
      <c r="D16" s="71"/>
      <c r="E16" s="71"/>
      <c r="F16" s="71"/>
      <c r="G16" s="71"/>
      <c r="H16" s="71"/>
      <c r="I16" s="71"/>
      <c r="J16" s="71"/>
      <c r="K16" s="71"/>
      <c r="L16" s="65"/>
    </row>
    <row r="17" spans="1:12" x14ac:dyDescent="0.25">
      <c r="A17" s="62" t="s">
        <v>178</v>
      </c>
      <c r="B17" s="68"/>
      <c r="C17" s="72">
        <v>387867.5</v>
      </c>
      <c r="D17" s="72">
        <v>399503.52499999997</v>
      </c>
      <c r="E17" s="72">
        <v>411488.63075000001</v>
      </c>
      <c r="F17" s="72">
        <v>423833.28967249999</v>
      </c>
      <c r="G17" s="72">
        <v>357933.68056000001</v>
      </c>
      <c r="H17" s="72">
        <v>449644.73701355525</v>
      </c>
      <c r="I17" s="72">
        <v>463134.07912396197</v>
      </c>
      <c r="J17" s="72">
        <v>477028.10149768088</v>
      </c>
      <c r="K17" s="72">
        <v>292290.47908832575</v>
      </c>
      <c r="L17" s="66">
        <v>506079.1128788896</v>
      </c>
    </row>
    <row r="18" spans="1:12" x14ac:dyDescent="0.25">
      <c r="A18" s="61"/>
      <c r="B18" s="67"/>
      <c r="C18" s="71"/>
      <c r="D18" s="71"/>
      <c r="E18" s="71"/>
      <c r="F18" s="71"/>
      <c r="G18" s="71"/>
      <c r="H18" s="71"/>
      <c r="I18" s="71"/>
      <c r="J18" s="71"/>
      <c r="K18" s="71"/>
      <c r="L18" s="65"/>
    </row>
    <row r="19" spans="1:12" x14ac:dyDescent="0.25">
      <c r="A19" s="50" t="s">
        <v>179</v>
      </c>
      <c r="B19" s="67"/>
      <c r="C19" s="71"/>
      <c r="D19" s="71"/>
      <c r="E19" s="71"/>
      <c r="F19" s="71"/>
      <c r="G19" s="71"/>
      <c r="H19" s="71"/>
      <c r="I19" s="71"/>
      <c r="J19" s="71"/>
      <c r="K19" s="71"/>
      <c r="L19" s="65"/>
    </row>
    <row r="20" spans="1:12" x14ac:dyDescent="0.25">
      <c r="A20" s="61" t="s">
        <v>181</v>
      </c>
      <c r="B20" s="67"/>
      <c r="C20" s="71">
        <v>-40000</v>
      </c>
      <c r="D20" s="71">
        <v>-41000</v>
      </c>
      <c r="E20" s="71">
        <v>-42024.999999999993</v>
      </c>
      <c r="F20" s="71">
        <v>-43075.624999999985</v>
      </c>
      <c r="G20" s="71">
        <v>-44152.515624999978</v>
      </c>
      <c r="H20" s="71">
        <v>-45256.328515624977</v>
      </c>
      <c r="I20" s="71">
        <v>-46387.7367285156</v>
      </c>
      <c r="J20" s="71">
        <v>-47547.430146728482</v>
      </c>
      <c r="K20" s="71">
        <v>-48736.11590039669</v>
      </c>
      <c r="L20" s="65">
        <v>-49954.518797906603</v>
      </c>
    </row>
    <row r="21" spans="1:12" x14ac:dyDescent="0.25">
      <c r="A21" s="61" t="s">
        <v>182</v>
      </c>
      <c r="B21" s="67"/>
      <c r="C21" s="71">
        <v>-20000</v>
      </c>
      <c r="D21" s="71">
        <v>-20500</v>
      </c>
      <c r="E21" s="71">
        <v>-21012.499999999996</v>
      </c>
      <c r="F21" s="71">
        <v>-21537.812499999993</v>
      </c>
      <c r="G21" s="71">
        <v>-22076.257812499989</v>
      </c>
      <c r="H21" s="71">
        <v>-22628.164257812488</v>
      </c>
      <c r="I21" s="71">
        <v>-23193.8683642578</v>
      </c>
      <c r="J21" s="71">
        <v>-23773.715073364241</v>
      </c>
      <c r="K21" s="71">
        <v>-24368.057950198345</v>
      </c>
      <c r="L21" s="65">
        <v>-24977.259398953302</v>
      </c>
    </row>
    <row r="22" spans="1:12" x14ac:dyDescent="0.25">
      <c r="A22" s="61" t="s">
        <v>180</v>
      </c>
      <c r="B22" s="67"/>
      <c r="C22" s="71">
        <v>-15000</v>
      </c>
      <c r="D22" s="71">
        <v>-15374.999999999998</v>
      </c>
      <c r="E22" s="71">
        <v>-15759.374999999996</v>
      </c>
      <c r="F22" s="71">
        <v>-16153.359374999995</v>
      </c>
      <c r="G22" s="71">
        <v>-16557.193359374993</v>
      </c>
      <c r="H22" s="71">
        <v>-16971.123193359366</v>
      </c>
      <c r="I22" s="71">
        <v>-17395.401273193347</v>
      </c>
      <c r="J22" s="71">
        <v>-17830.286305023179</v>
      </c>
      <c r="K22" s="71">
        <v>-18276.043462648759</v>
      </c>
      <c r="L22" s="65">
        <v>-18732.944549214975</v>
      </c>
    </row>
    <row r="23" spans="1:12" x14ac:dyDescent="0.25">
      <c r="A23" s="61" t="s">
        <v>183</v>
      </c>
      <c r="B23" s="67"/>
      <c r="C23" s="71">
        <v>-50000</v>
      </c>
      <c r="D23" s="71">
        <v>-51249.999999999993</v>
      </c>
      <c r="E23" s="71">
        <v>-52531.249999999985</v>
      </c>
      <c r="F23" s="71">
        <v>-53844.531249999978</v>
      </c>
      <c r="G23" s="71">
        <v>-55190.644531249971</v>
      </c>
      <c r="H23" s="71">
        <v>-56570.410644531214</v>
      </c>
      <c r="I23" s="71">
        <v>-57984.670910644491</v>
      </c>
      <c r="J23" s="71">
        <v>-59434.287683410599</v>
      </c>
      <c r="K23" s="71">
        <v>-60920.144875495862</v>
      </c>
      <c r="L23" s="65">
        <v>-62443.148497383256</v>
      </c>
    </row>
    <row r="24" spans="1:12" x14ac:dyDescent="0.25">
      <c r="A24" s="61" t="s">
        <v>184</v>
      </c>
      <c r="B24" s="67"/>
      <c r="C24" s="71">
        <v>-20000</v>
      </c>
      <c r="D24" s="71">
        <v>-20500</v>
      </c>
      <c r="E24" s="71">
        <v>-21012.499999999996</v>
      </c>
      <c r="F24" s="71">
        <v>-21537.812499999993</v>
      </c>
      <c r="G24" s="71">
        <v>-22076.257812499989</v>
      </c>
      <c r="H24" s="71">
        <v>-22628.164257812488</v>
      </c>
      <c r="I24" s="71">
        <v>-23193.8683642578</v>
      </c>
      <c r="J24" s="71">
        <v>-23773.715073364241</v>
      </c>
      <c r="K24" s="71">
        <v>-24368.057950198345</v>
      </c>
      <c r="L24" s="65">
        <v>-24977.259398953302</v>
      </c>
    </row>
    <row r="25" spans="1:12" x14ac:dyDescent="0.25">
      <c r="A25" s="62" t="s">
        <v>185</v>
      </c>
      <c r="B25" s="68"/>
      <c r="C25" s="72">
        <v>-145000</v>
      </c>
      <c r="D25" s="72">
        <v>-148625</v>
      </c>
      <c r="E25" s="72">
        <v>-152340.62499999997</v>
      </c>
      <c r="F25" s="72">
        <v>-156149.14062499994</v>
      </c>
      <c r="G25" s="72">
        <v>-160052.86914062494</v>
      </c>
      <c r="H25" s="72">
        <v>-164054.19086914053</v>
      </c>
      <c r="I25" s="72">
        <v>-168155.54564086904</v>
      </c>
      <c r="J25" s="72">
        <v>-172359.43428189075</v>
      </c>
      <c r="K25" s="72">
        <v>-176668.420138938</v>
      </c>
      <c r="L25" s="66">
        <v>-181085.13064241142</v>
      </c>
    </row>
    <row r="26" spans="1:12" x14ac:dyDescent="0.25">
      <c r="A26" s="61"/>
      <c r="B26" s="67"/>
      <c r="C26" s="71"/>
      <c r="D26" s="71"/>
      <c r="E26" s="71"/>
      <c r="F26" s="71"/>
      <c r="G26" s="71"/>
      <c r="H26" s="71"/>
      <c r="I26" s="71"/>
      <c r="J26" s="71"/>
      <c r="K26" s="71"/>
      <c r="L26" s="65"/>
    </row>
    <row r="27" spans="1:12" x14ac:dyDescent="0.25">
      <c r="A27" s="62" t="s">
        <v>3</v>
      </c>
      <c r="B27" s="68"/>
      <c r="C27" s="72">
        <v>242867.5</v>
      </c>
      <c r="D27" s="72">
        <v>250878.52499999997</v>
      </c>
      <c r="E27" s="72">
        <v>259148.00575000004</v>
      </c>
      <c r="F27" s="72">
        <v>267684.14904750005</v>
      </c>
      <c r="G27" s="72">
        <v>197880.81141937507</v>
      </c>
      <c r="H27" s="72">
        <v>285590.54614441469</v>
      </c>
      <c r="I27" s="72">
        <v>294978.53348309291</v>
      </c>
      <c r="J27" s="72">
        <v>304668.66721579013</v>
      </c>
      <c r="K27" s="72">
        <v>115622.05894938775</v>
      </c>
      <c r="L27" s="66">
        <v>324993.98223647819</v>
      </c>
    </row>
    <row r="28" spans="1:12" x14ac:dyDescent="0.25">
      <c r="A28" s="61"/>
      <c r="B28" s="67"/>
      <c r="C28" s="71"/>
      <c r="D28" s="71"/>
      <c r="E28" s="71"/>
      <c r="F28" s="71"/>
      <c r="G28" s="71"/>
      <c r="H28" s="71"/>
      <c r="I28" s="71"/>
      <c r="J28" s="71"/>
      <c r="K28" s="71"/>
      <c r="L28" s="65"/>
    </row>
    <row r="29" spans="1:12" x14ac:dyDescent="0.25">
      <c r="A29" s="50" t="s">
        <v>186</v>
      </c>
      <c r="B29" s="67"/>
      <c r="C29" s="71"/>
      <c r="D29" s="71"/>
      <c r="E29" s="71"/>
      <c r="F29" s="71"/>
      <c r="G29" s="71"/>
      <c r="H29" s="71"/>
      <c r="I29" s="71"/>
      <c r="J29" s="71"/>
      <c r="K29" s="71"/>
      <c r="L29" s="65"/>
    </row>
    <row r="30" spans="1:12" x14ac:dyDescent="0.25">
      <c r="A30" s="61" t="s">
        <v>10</v>
      </c>
      <c r="B30" s="67"/>
      <c r="C30" s="71">
        <v>-10000</v>
      </c>
      <c r="D30" s="71">
        <v>0</v>
      </c>
      <c r="E30" s="71">
        <v>0</v>
      </c>
      <c r="F30" s="71">
        <v>0</v>
      </c>
      <c r="G30" s="71">
        <v>-50000</v>
      </c>
      <c r="H30" s="71">
        <v>0</v>
      </c>
      <c r="I30" s="71">
        <v>0</v>
      </c>
      <c r="J30" s="71">
        <v>0</v>
      </c>
      <c r="K30" s="71">
        <v>-75000</v>
      </c>
      <c r="L30" s="65">
        <v>0</v>
      </c>
    </row>
    <row r="31" spans="1:12" x14ac:dyDescent="0.25">
      <c r="A31" s="61" t="s">
        <v>11</v>
      </c>
      <c r="B31" s="67"/>
      <c r="C31" s="71">
        <v>-8000</v>
      </c>
      <c r="D31" s="71">
        <v>0</v>
      </c>
      <c r="E31" s="71">
        <v>0</v>
      </c>
      <c r="F31" s="71">
        <v>0</v>
      </c>
      <c r="G31" s="71">
        <v>-45000</v>
      </c>
      <c r="H31" s="71">
        <v>0</v>
      </c>
      <c r="I31" s="71">
        <v>0</v>
      </c>
      <c r="J31" s="71">
        <v>0</v>
      </c>
      <c r="K31" s="71">
        <v>-80000</v>
      </c>
      <c r="L31" s="65">
        <v>0</v>
      </c>
    </row>
    <row r="32" spans="1:12" x14ac:dyDescent="0.25">
      <c r="A32" s="61" t="s">
        <v>208</v>
      </c>
      <c r="B32" s="67"/>
      <c r="C32" s="71">
        <v>-15000</v>
      </c>
      <c r="D32" s="71">
        <v>0</v>
      </c>
      <c r="E32" s="71">
        <v>0</v>
      </c>
      <c r="F32" s="71">
        <v>0</v>
      </c>
      <c r="G32" s="71">
        <v>-30000</v>
      </c>
      <c r="H32" s="71">
        <v>0</v>
      </c>
      <c r="I32" s="71">
        <v>-20000</v>
      </c>
      <c r="J32" s="71">
        <v>0</v>
      </c>
      <c r="K32" s="71">
        <v>0</v>
      </c>
      <c r="L32" s="65">
        <v>0</v>
      </c>
    </row>
    <row r="33" spans="1:12" x14ac:dyDescent="0.25">
      <c r="A33" s="61" t="s">
        <v>187</v>
      </c>
      <c r="B33" s="67"/>
      <c r="C33" s="71">
        <v>-3000</v>
      </c>
      <c r="D33" s="71">
        <v>-3090</v>
      </c>
      <c r="E33" s="71">
        <v>-3182.7000000000003</v>
      </c>
      <c r="F33" s="71">
        <v>-3278.1810000000005</v>
      </c>
      <c r="G33" s="71">
        <v>-3376.5264300000008</v>
      </c>
      <c r="H33" s="71">
        <v>-3477.8222229000007</v>
      </c>
      <c r="I33" s="71">
        <v>-3582.1568895870009</v>
      </c>
      <c r="J33" s="71">
        <v>-3689.621596274611</v>
      </c>
      <c r="K33" s="71">
        <v>-3800.3102441628494</v>
      </c>
      <c r="L33" s="65">
        <v>-3914.3195514877348</v>
      </c>
    </row>
    <row r="34" spans="1:12" x14ac:dyDescent="0.25">
      <c r="A34" s="62" t="s">
        <v>191</v>
      </c>
      <c r="B34" s="68"/>
      <c r="C34" s="72">
        <v>-36000</v>
      </c>
      <c r="D34" s="72">
        <v>-3090</v>
      </c>
      <c r="E34" s="72">
        <v>-3182.7000000000003</v>
      </c>
      <c r="F34" s="72">
        <v>-3278.1810000000005</v>
      </c>
      <c r="G34" s="72">
        <v>-128376.52643</v>
      </c>
      <c r="H34" s="72">
        <v>-3477.8222229000007</v>
      </c>
      <c r="I34" s="72">
        <v>-23582.156889587</v>
      </c>
      <c r="J34" s="72">
        <v>-3689.621596274611</v>
      </c>
      <c r="K34" s="72">
        <v>-158800.31024416286</v>
      </c>
      <c r="L34" s="66">
        <v>-3914.3195514877348</v>
      </c>
    </row>
    <row r="35" spans="1:12" x14ac:dyDescent="0.25">
      <c r="A35" s="61"/>
      <c r="B35" s="67"/>
      <c r="C35" s="71"/>
      <c r="D35" s="71"/>
      <c r="E35" s="71"/>
      <c r="F35" s="71"/>
      <c r="G35" s="71"/>
      <c r="H35" s="71"/>
      <c r="I35" s="71"/>
      <c r="J35" s="71"/>
      <c r="K35" s="71"/>
      <c r="L35" s="65"/>
    </row>
    <row r="36" spans="1:12" x14ac:dyDescent="0.25">
      <c r="A36" s="62" t="s">
        <v>4</v>
      </c>
      <c r="B36" s="68"/>
      <c r="C36" s="72">
        <v>206867.5</v>
      </c>
      <c r="D36" s="72">
        <v>247788.52499999997</v>
      </c>
      <c r="E36" s="72">
        <v>255965.30575000003</v>
      </c>
      <c r="F36" s="72">
        <v>264405.96804750006</v>
      </c>
      <c r="G36" s="72">
        <v>69504.284989375068</v>
      </c>
      <c r="H36" s="72">
        <v>282112.7239215147</v>
      </c>
      <c r="I36" s="72">
        <v>271396.37659350591</v>
      </c>
      <c r="J36" s="72">
        <v>300979.04561951553</v>
      </c>
      <c r="K36" s="72">
        <v>-43178.251294775109</v>
      </c>
      <c r="L36" s="66">
        <v>321079.66268499044</v>
      </c>
    </row>
    <row r="37" spans="1:12" x14ac:dyDescent="0.25">
      <c r="A37" s="61"/>
      <c r="B37" s="67"/>
      <c r="C37" s="71"/>
      <c r="D37" s="71"/>
      <c r="E37" s="71"/>
      <c r="F37" s="71"/>
      <c r="G37" s="71"/>
      <c r="H37" s="71"/>
      <c r="I37" s="71"/>
      <c r="J37" s="71"/>
      <c r="K37" s="71"/>
      <c r="L37" s="65"/>
    </row>
    <row r="38" spans="1:12" x14ac:dyDescent="0.25">
      <c r="A38" s="50" t="s">
        <v>188</v>
      </c>
      <c r="B38" s="67"/>
      <c r="C38" s="71"/>
      <c r="D38" s="71"/>
      <c r="E38" s="71"/>
      <c r="F38" s="71"/>
      <c r="G38" s="71"/>
      <c r="H38" s="71"/>
      <c r="I38" s="71"/>
      <c r="J38" s="71"/>
      <c r="K38" s="71"/>
      <c r="L38" s="65"/>
    </row>
    <row r="39" spans="1:12" x14ac:dyDescent="0.25">
      <c r="A39" s="61" t="s">
        <v>189</v>
      </c>
      <c r="B39" s="67"/>
      <c r="C39" s="71">
        <v>-22893.473632276742</v>
      </c>
      <c r="D39" s="71">
        <v>-22893.473632276742</v>
      </c>
      <c r="E39" s="71">
        <v>-22893.473632276742</v>
      </c>
      <c r="F39" s="71">
        <v>-22893.473632276742</v>
      </c>
      <c r="G39" s="71">
        <v>-22893.473632276742</v>
      </c>
      <c r="H39" s="71">
        <v>-22893.473632276742</v>
      </c>
      <c r="I39" s="71">
        <v>-22893.473632276742</v>
      </c>
      <c r="J39" s="71">
        <v>-22893.473632276742</v>
      </c>
      <c r="K39" s="71">
        <v>-22893.473632276742</v>
      </c>
      <c r="L39" s="65">
        <v>-22893.473632276742</v>
      </c>
    </row>
    <row r="40" spans="1:12" x14ac:dyDescent="0.25">
      <c r="A40" s="61" t="s">
        <v>190</v>
      </c>
      <c r="B40" s="67"/>
      <c r="C40" s="71">
        <v>-51583.312460334928</v>
      </c>
      <c r="D40" s="71">
        <v>-51583.312460334928</v>
      </c>
      <c r="E40" s="71">
        <v>-51583.312460334928</v>
      </c>
      <c r="F40" s="71">
        <v>-51583.312460334928</v>
      </c>
      <c r="G40" s="71">
        <v>-51583.312460334928</v>
      </c>
      <c r="H40" s="71">
        <v>-51583.312460334928</v>
      </c>
      <c r="I40" s="71">
        <v>-51583.312460334928</v>
      </c>
      <c r="J40" s="71">
        <v>-51583.312460334928</v>
      </c>
      <c r="K40" s="71">
        <v>-51583.312460334928</v>
      </c>
      <c r="L40" s="65">
        <v>-51583.312460334928</v>
      </c>
    </row>
    <row r="41" spans="1:12" x14ac:dyDescent="0.25">
      <c r="A41" s="62" t="s">
        <v>143</v>
      </c>
      <c r="B41" s="68"/>
      <c r="C41" s="72">
        <v>-74476.78609261167</v>
      </c>
      <c r="D41" s="72">
        <v>-74476.78609261167</v>
      </c>
      <c r="E41" s="72">
        <v>-74476.78609261167</v>
      </c>
      <c r="F41" s="72">
        <v>-74476.78609261167</v>
      </c>
      <c r="G41" s="72">
        <v>-74476.78609261167</v>
      </c>
      <c r="H41" s="72">
        <v>-74476.78609261167</v>
      </c>
      <c r="I41" s="72">
        <v>-74476.78609261167</v>
      </c>
      <c r="J41" s="72">
        <v>-74476.78609261167</v>
      </c>
      <c r="K41" s="72">
        <v>-74476.78609261167</v>
      </c>
      <c r="L41" s="66">
        <v>-74476.78609261167</v>
      </c>
    </row>
    <row r="42" spans="1:12" x14ac:dyDescent="0.25">
      <c r="A42" s="61"/>
      <c r="B42" s="67"/>
      <c r="C42" s="71"/>
      <c r="D42" s="71"/>
      <c r="E42" s="71"/>
      <c r="F42" s="71"/>
      <c r="G42" s="71"/>
      <c r="H42" s="71"/>
      <c r="I42" s="71"/>
      <c r="J42" s="71"/>
      <c r="K42" s="71"/>
      <c r="L42" s="65"/>
    </row>
    <row r="43" spans="1:12" x14ac:dyDescent="0.25">
      <c r="A43" s="62" t="s">
        <v>5</v>
      </c>
      <c r="B43" s="68"/>
      <c r="C43" s="72">
        <v>132390.71390738833</v>
      </c>
      <c r="D43" s="72">
        <v>173311.7389073883</v>
      </c>
      <c r="E43" s="72">
        <v>181488.51965738836</v>
      </c>
      <c r="F43" s="72">
        <v>189929.18195488839</v>
      </c>
      <c r="G43" s="72">
        <v>-4972.5011032366019</v>
      </c>
      <c r="H43" s="72">
        <v>207635.93782890303</v>
      </c>
      <c r="I43" s="72">
        <v>196919.59050089424</v>
      </c>
      <c r="J43" s="72">
        <v>226502.25952690386</v>
      </c>
      <c r="K43" s="72">
        <v>-117655.03738738678</v>
      </c>
      <c r="L43" s="66">
        <v>246602.87659237877</v>
      </c>
    </row>
    <row r="44" spans="1:12" x14ac:dyDescent="0.25">
      <c r="A44" s="61"/>
      <c r="B44" s="67"/>
      <c r="C44" s="71"/>
      <c r="D44" s="71"/>
      <c r="E44" s="71"/>
      <c r="F44" s="71"/>
      <c r="G44" s="71"/>
      <c r="H44" s="71"/>
      <c r="I44" s="71"/>
      <c r="J44" s="71"/>
      <c r="K44" s="71"/>
      <c r="L44" s="65"/>
    </row>
    <row r="45" spans="1:12" x14ac:dyDescent="0.25">
      <c r="A45" s="50" t="s">
        <v>209</v>
      </c>
      <c r="B45" s="67"/>
      <c r="C45" s="71"/>
      <c r="D45" s="71"/>
      <c r="E45" s="71"/>
      <c r="F45" s="71"/>
      <c r="G45" s="71"/>
      <c r="H45" s="71"/>
      <c r="I45" s="71"/>
      <c r="J45" s="71"/>
      <c r="K45" s="71"/>
      <c r="L45" s="65"/>
    </row>
    <row r="46" spans="1:12" x14ac:dyDescent="0.25">
      <c r="A46" s="61" t="s">
        <v>13</v>
      </c>
      <c r="B46" s="67">
        <v>-2000000</v>
      </c>
      <c r="C46" s="71">
        <v>0</v>
      </c>
      <c r="D46" s="71">
        <v>0</v>
      </c>
      <c r="E46" s="71">
        <v>0</v>
      </c>
      <c r="F46" s="71">
        <v>0</v>
      </c>
      <c r="G46" s="71">
        <v>0</v>
      </c>
      <c r="H46" s="71">
        <v>0</v>
      </c>
      <c r="I46" s="71">
        <v>0</v>
      </c>
      <c r="J46" s="71">
        <v>0</v>
      </c>
      <c r="K46" s="71">
        <v>0</v>
      </c>
      <c r="L46" s="65">
        <v>0</v>
      </c>
    </row>
    <row r="47" spans="1:12" x14ac:dyDescent="0.25">
      <c r="A47" s="61" t="s">
        <v>21</v>
      </c>
      <c r="B47" s="67">
        <v>-20000</v>
      </c>
      <c r="C47" s="71">
        <v>0</v>
      </c>
      <c r="D47" s="71">
        <v>0</v>
      </c>
      <c r="E47" s="71">
        <v>0</v>
      </c>
      <c r="F47" s="71">
        <v>0</v>
      </c>
      <c r="G47" s="71">
        <v>0</v>
      </c>
      <c r="H47" s="71">
        <v>0</v>
      </c>
      <c r="I47" s="71">
        <v>0</v>
      </c>
      <c r="J47" s="71">
        <v>0</v>
      </c>
      <c r="K47" s="71">
        <v>0</v>
      </c>
      <c r="L47" s="65">
        <v>0</v>
      </c>
    </row>
    <row r="48" spans="1:12" x14ac:dyDescent="0.25">
      <c r="A48" s="61" t="s">
        <v>14</v>
      </c>
      <c r="B48" s="67"/>
      <c r="C48" s="71">
        <v>0</v>
      </c>
      <c r="D48" s="71">
        <v>0</v>
      </c>
      <c r="E48" s="71">
        <v>0</v>
      </c>
      <c r="F48" s="71">
        <v>0</v>
      </c>
      <c r="G48" s="71">
        <v>0</v>
      </c>
      <c r="H48" s="71">
        <v>0</v>
      </c>
      <c r="I48" s="71">
        <v>0</v>
      </c>
      <c r="J48" s="71">
        <v>0</v>
      </c>
      <c r="K48" s="71">
        <v>0</v>
      </c>
      <c r="L48" s="65">
        <v>3000000</v>
      </c>
    </row>
    <row r="49" spans="1:12" x14ac:dyDescent="0.25">
      <c r="A49" s="61" t="s">
        <v>126</v>
      </c>
      <c r="B49" s="67"/>
      <c r="C49" s="71">
        <v>0</v>
      </c>
      <c r="D49" s="71">
        <v>0</v>
      </c>
      <c r="E49" s="71">
        <v>0</v>
      </c>
      <c r="F49" s="71">
        <v>0</v>
      </c>
      <c r="G49" s="71">
        <v>0</v>
      </c>
      <c r="H49" s="71">
        <v>0</v>
      </c>
      <c r="I49" s="71">
        <v>0</v>
      </c>
      <c r="J49" s="71">
        <v>0</v>
      </c>
      <c r="K49" s="71">
        <v>0</v>
      </c>
      <c r="L49" s="65">
        <v>-75000</v>
      </c>
    </row>
    <row r="50" spans="1:12" x14ac:dyDescent="0.25">
      <c r="A50" s="62" t="s">
        <v>199</v>
      </c>
      <c r="B50" s="68">
        <v>-2020000</v>
      </c>
      <c r="C50" s="72">
        <v>206867.5</v>
      </c>
      <c r="D50" s="72">
        <v>247788.52499999997</v>
      </c>
      <c r="E50" s="72">
        <v>255965.30575000003</v>
      </c>
      <c r="F50" s="72">
        <v>264405.96804750006</v>
      </c>
      <c r="G50" s="72">
        <v>69504.284989375068</v>
      </c>
      <c r="H50" s="72">
        <v>282112.7239215147</v>
      </c>
      <c r="I50" s="72">
        <v>271396.37659350591</v>
      </c>
      <c r="J50" s="72">
        <v>300979.04561951553</v>
      </c>
      <c r="K50" s="72">
        <v>-43178.251294775109</v>
      </c>
      <c r="L50" s="66">
        <v>3246079.6626849906</v>
      </c>
    </row>
    <row r="51" spans="1:12" x14ac:dyDescent="0.25">
      <c r="A51" s="61"/>
      <c r="B51" s="67"/>
      <c r="C51" s="71"/>
      <c r="D51" s="71"/>
      <c r="E51" s="71"/>
      <c r="F51" s="71"/>
      <c r="G51" s="71"/>
      <c r="H51" s="71"/>
      <c r="I51" s="71"/>
      <c r="J51" s="71"/>
      <c r="K51" s="71"/>
      <c r="L51" s="65"/>
    </row>
    <row r="52" spans="1:12" x14ac:dyDescent="0.25">
      <c r="A52" s="50" t="s">
        <v>138</v>
      </c>
      <c r="B52" s="67"/>
      <c r="C52" s="71"/>
      <c r="D52" s="71"/>
      <c r="E52" s="71"/>
      <c r="F52" s="71"/>
      <c r="G52" s="71"/>
      <c r="H52" s="71"/>
      <c r="I52" s="71"/>
      <c r="J52" s="71"/>
      <c r="K52" s="71"/>
      <c r="L52" s="65"/>
    </row>
    <row r="53" spans="1:12" x14ac:dyDescent="0.25">
      <c r="A53" s="61" t="s">
        <v>124</v>
      </c>
      <c r="B53" s="67">
        <v>1300000</v>
      </c>
      <c r="C53" s="71">
        <v>0</v>
      </c>
      <c r="D53" s="71">
        <v>0</v>
      </c>
      <c r="E53" s="71">
        <v>0</v>
      </c>
      <c r="F53" s="71">
        <v>0</v>
      </c>
      <c r="G53" s="71">
        <v>0</v>
      </c>
      <c r="H53" s="71">
        <v>0</v>
      </c>
      <c r="I53" s="71">
        <v>0</v>
      </c>
      <c r="J53" s="71">
        <v>0</v>
      </c>
      <c r="K53" s="71">
        <v>0</v>
      </c>
      <c r="L53" s="65">
        <v>0</v>
      </c>
    </row>
    <row r="54" spans="1:12" x14ac:dyDescent="0.25">
      <c r="A54" s="61" t="s">
        <v>210</v>
      </c>
      <c r="B54" s="67">
        <v>-13000</v>
      </c>
      <c r="C54" s="71">
        <v>0</v>
      </c>
      <c r="D54" s="71">
        <v>0</v>
      </c>
      <c r="E54" s="71">
        <v>0</v>
      </c>
      <c r="F54" s="71">
        <v>0</v>
      </c>
      <c r="G54" s="71">
        <v>0</v>
      </c>
      <c r="H54" s="71">
        <v>0</v>
      </c>
      <c r="I54" s="71">
        <v>0</v>
      </c>
      <c r="J54" s="71">
        <v>0</v>
      </c>
      <c r="K54" s="71">
        <v>0</v>
      </c>
      <c r="L54" s="65">
        <v>0</v>
      </c>
    </row>
    <row r="55" spans="1:12" x14ac:dyDescent="0.25">
      <c r="A55" s="61" t="s">
        <v>127</v>
      </c>
      <c r="B55" s="67"/>
      <c r="C55" s="71">
        <v>0</v>
      </c>
      <c r="D55" s="71">
        <v>0</v>
      </c>
      <c r="E55" s="71">
        <v>0</v>
      </c>
      <c r="F55" s="71">
        <v>0</v>
      </c>
      <c r="G55" s="71">
        <v>0</v>
      </c>
      <c r="H55" s="71">
        <v>0</v>
      </c>
      <c r="I55" s="71">
        <v>0</v>
      </c>
      <c r="J55" s="71">
        <v>0</v>
      </c>
      <c r="K55" s="71">
        <v>0</v>
      </c>
      <c r="L55" s="65">
        <v>-1071065.2636772324</v>
      </c>
    </row>
    <row r="56" spans="1:12" x14ac:dyDescent="0.25">
      <c r="A56" s="61" t="s">
        <v>211</v>
      </c>
      <c r="B56" s="67"/>
      <c r="C56" s="71">
        <v>0</v>
      </c>
      <c r="D56" s="71">
        <v>0</v>
      </c>
      <c r="E56" s="71">
        <v>0</v>
      </c>
      <c r="F56" s="71">
        <v>0</v>
      </c>
      <c r="G56" s="71">
        <v>0</v>
      </c>
      <c r="H56" s="71">
        <v>0</v>
      </c>
      <c r="I56" s="71">
        <v>0</v>
      </c>
      <c r="J56" s="71">
        <v>0</v>
      </c>
      <c r="K56" s="71">
        <v>0</v>
      </c>
      <c r="L56" s="65">
        <v>0</v>
      </c>
    </row>
    <row r="57" spans="1:12" x14ac:dyDescent="0.25">
      <c r="A57" s="62" t="s">
        <v>201</v>
      </c>
      <c r="B57" s="68">
        <v>-733000</v>
      </c>
      <c r="C57" s="72">
        <v>132390.71390738833</v>
      </c>
      <c r="D57" s="72">
        <v>173311.7389073883</v>
      </c>
      <c r="E57" s="72">
        <v>181488.51965738836</v>
      </c>
      <c r="F57" s="72">
        <v>189929.18195488839</v>
      </c>
      <c r="G57" s="72">
        <v>-4972.5011032366019</v>
      </c>
      <c r="H57" s="72">
        <v>207635.93782890303</v>
      </c>
      <c r="I57" s="72">
        <v>196919.59050089424</v>
      </c>
      <c r="J57" s="72">
        <v>226502.25952690386</v>
      </c>
      <c r="K57" s="72">
        <v>-117655.03738738678</v>
      </c>
      <c r="L57" s="66">
        <v>2100537.6129151466</v>
      </c>
    </row>
  </sheetData>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zoomScale="140" zoomScaleNormal="140" workbookViewId="0">
      <selection activeCell="G15" sqref="G15"/>
    </sheetView>
  </sheetViews>
  <sheetFormatPr defaultColWidth="8.75" defaultRowHeight="13.5" x14ac:dyDescent="0.25"/>
  <cols>
    <col min="1" max="1" width="9.5" style="23" bestFit="1" customWidth="1"/>
    <col min="2" max="2" width="14.25" style="23" bestFit="1" customWidth="1"/>
    <col min="3" max="3" width="9.5" style="23" bestFit="1" customWidth="1"/>
    <col min="4" max="4" width="6.375" style="23" bestFit="1" customWidth="1"/>
    <col min="5" max="5" width="8.75" style="23"/>
    <col min="6" max="6" width="21.375" style="23" bestFit="1" customWidth="1"/>
    <col min="7" max="7" width="16" style="23" bestFit="1" customWidth="1"/>
    <col min="8" max="8" width="11.625" style="23" bestFit="1" customWidth="1"/>
    <col min="9" max="16384" width="8.75" style="23"/>
  </cols>
  <sheetData>
    <row r="1" spans="1:8" x14ac:dyDescent="0.25">
      <c r="A1" s="115" t="s">
        <v>146</v>
      </c>
      <c r="B1" s="116"/>
      <c r="C1" s="116"/>
      <c r="D1" s="41"/>
      <c r="F1" s="218"/>
      <c r="G1" s="214" t="s">
        <v>247</v>
      </c>
      <c r="H1" s="215" t="s">
        <v>248</v>
      </c>
    </row>
    <row r="2" spans="1:8" x14ac:dyDescent="0.25">
      <c r="A2" s="196" t="s">
        <v>86</v>
      </c>
      <c r="B2" s="197" t="s">
        <v>41</v>
      </c>
      <c r="C2" s="197" t="s">
        <v>147</v>
      </c>
      <c r="D2" s="198" t="s">
        <v>69</v>
      </c>
      <c r="F2" s="15" t="s">
        <v>243</v>
      </c>
      <c r="G2" s="216">
        <f>A3</f>
        <v>1</v>
      </c>
      <c r="H2" s="216" t="str">
        <f>B3</f>
        <v>Charles Barkley</v>
      </c>
    </row>
    <row r="3" spans="1:8" x14ac:dyDescent="0.25">
      <c r="A3" s="139">
        <v>1</v>
      </c>
      <c r="B3" s="199" t="s">
        <v>148</v>
      </c>
      <c r="C3" s="204">
        <v>2700</v>
      </c>
      <c r="D3" s="208">
        <v>900</v>
      </c>
      <c r="F3" s="213" t="s">
        <v>246</v>
      </c>
      <c r="G3" s="216">
        <f>A4</f>
        <v>2</v>
      </c>
      <c r="H3" s="133"/>
    </row>
    <row r="4" spans="1:8" x14ac:dyDescent="0.25">
      <c r="A4" s="141">
        <v>2</v>
      </c>
      <c r="B4" s="200" t="s">
        <v>49</v>
      </c>
      <c r="C4" s="205">
        <v>2900</v>
      </c>
      <c r="D4" s="209">
        <v>1200</v>
      </c>
      <c r="F4" s="15" t="s">
        <v>242</v>
      </c>
      <c r="G4" s="216">
        <f>$A$3</f>
        <v>1</v>
      </c>
      <c r="H4" s="216">
        <f>$A$3</f>
        <v>1</v>
      </c>
    </row>
    <row r="5" spans="1:8" x14ac:dyDescent="0.25">
      <c r="A5" s="141">
        <v>3</v>
      </c>
      <c r="B5" s="200" t="s">
        <v>149</v>
      </c>
      <c r="C5" s="205">
        <v>3100</v>
      </c>
      <c r="D5" s="209">
        <v>1400</v>
      </c>
      <c r="F5" s="217" t="s">
        <v>246</v>
      </c>
      <c r="G5" s="216">
        <f>$A$3</f>
        <v>1</v>
      </c>
      <c r="H5" s="212"/>
    </row>
    <row r="6" spans="1:8" x14ac:dyDescent="0.25">
      <c r="A6" s="141">
        <v>4</v>
      </c>
      <c r="B6" s="200" t="s">
        <v>150</v>
      </c>
      <c r="C6" s="205">
        <v>2500</v>
      </c>
      <c r="D6" s="209">
        <v>1475</v>
      </c>
      <c r="F6" s="15" t="s">
        <v>244</v>
      </c>
      <c r="G6" s="216">
        <f>A$3</f>
        <v>1</v>
      </c>
      <c r="H6" s="216" t="str">
        <f>B$3</f>
        <v>Charles Barkley</v>
      </c>
    </row>
    <row r="7" spans="1:8" x14ac:dyDescent="0.25">
      <c r="A7" s="141">
        <v>5</v>
      </c>
      <c r="B7" s="200" t="s">
        <v>151</v>
      </c>
      <c r="C7" s="205">
        <v>2700</v>
      </c>
      <c r="D7" s="209">
        <v>1500</v>
      </c>
      <c r="F7" s="217" t="s">
        <v>246</v>
      </c>
      <c r="G7" s="216">
        <f>A$3</f>
        <v>1</v>
      </c>
      <c r="H7" s="212"/>
    </row>
    <row r="8" spans="1:8" x14ac:dyDescent="0.25">
      <c r="A8" s="141">
        <v>6</v>
      </c>
      <c r="B8" s="200" t="s">
        <v>152</v>
      </c>
      <c r="C8" s="205">
        <v>2850</v>
      </c>
      <c r="D8" s="209">
        <v>1475</v>
      </c>
      <c r="F8" s="15" t="s">
        <v>245</v>
      </c>
      <c r="G8" s="216">
        <f>$A3</f>
        <v>1</v>
      </c>
      <c r="H8" s="216">
        <f>$A3</f>
        <v>1</v>
      </c>
    </row>
    <row r="9" spans="1:8" x14ac:dyDescent="0.25">
      <c r="A9" s="141">
        <v>7</v>
      </c>
      <c r="B9" s="200" t="s">
        <v>153</v>
      </c>
      <c r="C9" s="205">
        <v>2825</v>
      </c>
      <c r="D9" s="209">
        <v>1450</v>
      </c>
      <c r="F9" s="217" t="s">
        <v>246</v>
      </c>
      <c r="G9" s="216">
        <f>$A4</f>
        <v>2</v>
      </c>
      <c r="H9" s="131"/>
    </row>
    <row r="10" spans="1:8" x14ac:dyDescent="0.25">
      <c r="A10" s="141">
        <v>8</v>
      </c>
      <c r="B10" s="200" t="s">
        <v>154</v>
      </c>
      <c r="C10" s="205">
        <v>2760</v>
      </c>
      <c r="D10" s="209">
        <v>1425</v>
      </c>
    </row>
    <row r="11" spans="1:8" x14ac:dyDescent="0.25">
      <c r="A11" s="141">
        <v>9</v>
      </c>
      <c r="B11" s="200" t="s">
        <v>155</v>
      </c>
      <c r="C11" s="205">
        <v>2450</v>
      </c>
      <c r="D11" s="209">
        <v>1400</v>
      </c>
      <c r="F11" s="218"/>
      <c r="G11" s="219" t="s">
        <v>251</v>
      </c>
      <c r="H11" s="219" t="s">
        <v>249</v>
      </c>
    </row>
    <row r="12" spans="1:8" x14ac:dyDescent="0.25">
      <c r="A12" s="141">
        <v>10</v>
      </c>
      <c r="B12" s="200" t="s">
        <v>156</v>
      </c>
      <c r="C12" s="205">
        <v>2000</v>
      </c>
      <c r="D12" s="209">
        <v>1550</v>
      </c>
      <c r="F12" s="15" t="s">
        <v>252</v>
      </c>
      <c r="G12" s="222">
        <v>900</v>
      </c>
      <c r="H12" s="216">
        <f>G12*2</f>
        <v>1800</v>
      </c>
    </row>
    <row r="13" spans="1:8" x14ac:dyDescent="0.25">
      <c r="A13" s="141">
        <v>11</v>
      </c>
      <c r="B13" s="200" t="s">
        <v>157</v>
      </c>
      <c r="C13" s="205">
        <v>3000</v>
      </c>
      <c r="D13" s="209">
        <v>1650</v>
      </c>
    </row>
    <row r="14" spans="1:8" x14ac:dyDescent="0.25">
      <c r="A14" s="144">
        <v>12</v>
      </c>
      <c r="B14" s="201" t="s">
        <v>158</v>
      </c>
      <c r="C14" s="206">
        <v>2700</v>
      </c>
      <c r="D14" s="210">
        <v>1400</v>
      </c>
      <c r="F14" s="218"/>
      <c r="G14" s="219" t="s">
        <v>250</v>
      </c>
      <c r="H14" s="221"/>
    </row>
    <row r="15" spans="1:8" x14ac:dyDescent="0.25">
      <c r="A15" s="202"/>
      <c r="B15" s="203" t="s">
        <v>237</v>
      </c>
      <c r="C15" s="207">
        <v>32485</v>
      </c>
      <c r="D15" s="211">
        <v>17600</v>
      </c>
      <c r="F15" s="15" t="s">
        <v>41</v>
      </c>
      <c r="G15" s="422" t="s">
        <v>49</v>
      </c>
      <c r="H15" s="200"/>
    </row>
  </sheetData>
  <dataValidations count="1">
    <dataValidation type="list" allowBlank="1" showInputMessage="1" showErrorMessage="1" sqref="G15">
      <formula1>$B$3:$B$14</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zoomScale="140" zoomScaleNormal="140" workbookViewId="0">
      <selection activeCell="G12" sqref="G12"/>
    </sheetView>
  </sheetViews>
  <sheetFormatPr defaultColWidth="8.75" defaultRowHeight="13.5" x14ac:dyDescent="0.25"/>
  <cols>
    <col min="1" max="1" width="9.5" style="23" bestFit="1" customWidth="1"/>
    <col min="2" max="2" width="14.25" style="23" bestFit="1" customWidth="1"/>
    <col min="3" max="3" width="9.5" style="23" bestFit="1" customWidth="1"/>
    <col min="4" max="4" width="6.375" style="23" bestFit="1" customWidth="1"/>
    <col min="5" max="5" width="8.75" style="23"/>
    <col min="6" max="6" width="21.375" style="23" bestFit="1" customWidth="1"/>
    <col min="7" max="7" width="16" style="23" bestFit="1" customWidth="1"/>
    <col min="8" max="8" width="11.625" style="23" bestFit="1" customWidth="1"/>
    <col min="9" max="16384" width="8.75" style="23"/>
  </cols>
  <sheetData>
    <row r="1" spans="1:8" x14ac:dyDescent="0.25">
      <c r="A1" s="115" t="s">
        <v>146</v>
      </c>
      <c r="B1" s="116"/>
      <c r="C1" s="116"/>
      <c r="D1" s="41"/>
      <c r="F1" s="218"/>
      <c r="G1" s="214" t="s">
        <v>247</v>
      </c>
      <c r="H1" s="215" t="s">
        <v>248</v>
      </c>
    </row>
    <row r="2" spans="1:8" x14ac:dyDescent="0.25">
      <c r="A2" s="196" t="s">
        <v>86</v>
      </c>
      <c r="B2" s="197" t="s">
        <v>41</v>
      </c>
      <c r="C2" s="197" t="s">
        <v>147</v>
      </c>
      <c r="D2" s="198" t="s">
        <v>69</v>
      </c>
      <c r="F2" s="15" t="s">
        <v>243</v>
      </c>
      <c r="G2" s="216">
        <f>A3</f>
        <v>1</v>
      </c>
      <c r="H2" s="216" t="str">
        <f>B3</f>
        <v>Charles Barkley</v>
      </c>
    </row>
    <row r="3" spans="1:8" x14ac:dyDescent="0.25">
      <c r="A3" s="139">
        <v>1</v>
      </c>
      <c r="B3" s="199" t="s">
        <v>148</v>
      </c>
      <c r="C3" s="204">
        <v>2700</v>
      </c>
      <c r="D3" s="208">
        <v>900</v>
      </c>
      <c r="F3" s="213" t="s">
        <v>246</v>
      </c>
      <c r="G3" s="216">
        <f>A4</f>
        <v>2</v>
      </c>
      <c r="H3" s="133"/>
    </row>
    <row r="4" spans="1:8" x14ac:dyDescent="0.25">
      <c r="A4" s="141">
        <v>2</v>
      </c>
      <c r="B4" s="200" t="s">
        <v>49</v>
      </c>
      <c r="C4" s="205">
        <v>2900</v>
      </c>
      <c r="D4" s="209">
        <v>1200</v>
      </c>
      <c r="F4" s="15" t="s">
        <v>242</v>
      </c>
      <c r="G4" s="216">
        <f>$A$3</f>
        <v>1</v>
      </c>
      <c r="H4" s="216">
        <f>$A$3</f>
        <v>1</v>
      </c>
    </row>
    <row r="5" spans="1:8" x14ac:dyDescent="0.25">
      <c r="A5" s="141">
        <v>3</v>
      </c>
      <c r="B5" s="200" t="s">
        <v>149</v>
      </c>
      <c r="C5" s="205">
        <v>3100</v>
      </c>
      <c r="D5" s="209">
        <v>1400</v>
      </c>
      <c r="F5" s="217" t="s">
        <v>246</v>
      </c>
      <c r="G5" s="216">
        <f>$A$3</f>
        <v>1</v>
      </c>
      <c r="H5" s="212"/>
    </row>
    <row r="6" spans="1:8" x14ac:dyDescent="0.25">
      <c r="A6" s="141">
        <v>4</v>
      </c>
      <c r="B6" s="200" t="s">
        <v>150</v>
      </c>
      <c r="C6" s="205">
        <v>2500</v>
      </c>
      <c r="D6" s="209">
        <v>1475</v>
      </c>
      <c r="F6" s="15" t="s">
        <v>244</v>
      </c>
      <c r="G6" s="216">
        <f>A$3</f>
        <v>1</v>
      </c>
      <c r="H6" s="216" t="str">
        <f>B$3</f>
        <v>Charles Barkley</v>
      </c>
    </row>
    <row r="7" spans="1:8" x14ac:dyDescent="0.25">
      <c r="A7" s="141">
        <v>5</v>
      </c>
      <c r="B7" s="200" t="s">
        <v>151</v>
      </c>
      <c r="C7" s="205">
        <v>2700</v>
      </c>
      <c r="D7" s="209">
        <v>1500</v>
      </c>
      <c r="F7" s="217" t="s">
        <v>246</v>
      </c>
      <c r="G7" s="216">
        <f>A$3</f>
        <v>1</v>
      </c>
      <c r="H7" s="212"/>
    </row>
    <row r="8" spans="1:8" x14ac:dyDescent="0.25">
      <c r="A8" s="141">
        <v>6</v>
      </c>
      <c r="B8" s="200" t="s">
        <v>152</v>
      </c>
      <c r="C8" s="205">
        <v>2850</v>
      </c>
      <c r="D8" s="209">
        <v>1475</v>
      </c>
      <c r="F8" s="15" t="s">
        <v>245</v>
      </c>
      <c r="G8" s="216">
        <f>$A3</f>
        <v>1</v>
      </c>
      <c r="H8" s="216">
        <f>$A3</f>
        <v>1</v>
      </c>
    </row>
    <row r="9" spans="1:8" x14ac:dyDescent="0.25">
      <c r="A9" s="141">
        <v>7</v>
      </c>
      <c r="B9" s="200" t="s">
        <v>153</v>
      </c>
      <c r="C9" s="205">
        <v>2825</v>
      </c>
      <c r="D9" s="209">
        <v>1450</v>
      </c>
      <c r="F9" s="217" t="s">
        <v>246</v>
      </c>
      <c r="G9" s="216">
        <f>$A4</f>
        <v>2</v>
      </c>
      <c r="H9" s="131"/>
    </row>
    <row r="10" spans="1:8" x14ac:dyDescent="0.25">
      <c r="A10" s="141">
        <v>8</v>
      </c>
      <c r="B10" s="200" t="s">
        <v>154</v>
      </c>
      <c r="C10" s="205">
        <v>2760</v>
      </c>
      <c r="D10" s="209">
        <v>1425</v>
      </c>
    </row>
    <row r="11" spans="1:8" x14ac:dyDescent="0.25">
      <c r="A11" s="141">
        <v>9</v>
      </c>
      <c r="B11" s="200" t="s">
        <v>155</v>
      </c>
      <c r="C11" s="205">
        <v>2450</v>
      </c>
      <c r="D11" s="209">
        <v>1400</v>
      </c>
      <c r="F11" s="218"/>
      <c r="G11" s="219" t="s">
        <v>251</v>
      </c>
      <c r="H11" s="219" t="s">
        <v>249</v>
      </c>
    </row>
    <row r="12" spans="1:8" x14ac:dyDescent="0.25">
      <c r="A12" s="141">
        <v>10</v>
      </c>
      <c r="B12" s="200" t="s">
        <v>156</v>
      </c>
      <c r="C12" s="205">
        <v>2000</v>
      </c>
      <c r="D12" s="209">
        <v>1550</v>
      </c>
      <c r="F12" s="15" t="s">
        <v>252</v>
      </c>
      <c r="G12" s="222">
        <f>D3</f>
        <v>900</v>
      </c>
      <c r="H12" s="216">
        <f>G12*2</f>
        <v>1800</v>
      </c>
    </row>
    <row r="13" spans="1:8" x14ac:dyDescent="0.25">
      <c r="A13" s="141">
        <v>11</v>
      </c>
      <c r="B13" s="200" t="s">
        <v>157</v>
      </c>
      <c r="C13" s="205">
        <v>3000</v>
      </c>
      <c r="D13" s="209">
        <v>1650</v>
      </c>
    </row>
    <row r="14" spans="1:8" x14ac:dyDescent="0.25">
      <c r="A14" s="144">
        <v>12</v>
      </c>
      <c r="B14" s="201" t="s">
        <v>158</v>
      </c>
      <c r="C14" s="206">
        <v>2700</v>
      </c>
      <c r="D14" s="210">
        <v>1400</v>
      </c>
      <c r="F14" s="218"/>
      <c r="G14" s="219" t="s">
        <v>250</v>
      </c>
      <c r="H14" s="221"/>
    </row>
    <row r="15" spans="1:8" x14ac:dyDescent="0.25">
      <c r="A15" s="202"/>
      <c r="B15" s="203" t="s">
        <v>237</v>
      </c>
      <c r="C15" s="207">
        <v>32485</v>
      </c>
      <c r="D15" s="211">
        <v>17600</v>
      </c>
      <c r="F15" s="15" t="s">
        <v>41</v>
      </c>
      <c r="G15" s="223" t="s">
        <v>148</v>
      </c>
      <c r="H15" s="200"/>
    </row>
  </sheetData>
  <dataValidations count="1">
    <dataValidation type="list" allowBlank="1" showInputMessage="1" showErrorMessage="1" sqref="G15">
      <formula1>$B$3:$B$14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zoomScale="120" zoomScaleNormal="120" zoomScalePageLayoutView="200" workbookViewId="0">
      <selection activeCell="G3" sqref="G3:G15"/>
    </sheetView>
  </sheetViews>
  <sheetFormatPr defaultColWidth="10.875" defaultRowHeight="13.5" x14ac:dyDescent="0.25"/>
  <cols>
    <col min="1" max="1" width="16.375" style="23" customWidth="1"/>
    <col min="2" max="2" width="12.875" style="23" customWidth="1"/>
    <col min="3" max="3" width="10.875" style="23"/>
    <col min="4" max="4" width="10" style="23" customWidth="1"/>
    <col min="5" max="5" width="16.375" style="23" bestFit="1" customWidth="1"/>
    <col min="6" max="16384" width="10.875" style="23"/>
  </cols>
  <sheetData>
    <row r="1" spans="1:9" x14ac:dyDescent="0.25">
      <c r="A1" s="482" t="s">
        <v>236</v>
      </c>
      <c r="B1" s="482"/>
      <c r="D1" s="482" t="s">
        <v>146</v>
      </c>
      <c r="E1" s="482"/>
      <c r="F1" s="482"/>
      <c r="G1" s="482"/>
    </row>
    <row r="2" spans="1:9" x14ac:dyDescent="0.25">
      <c r="A2" s="117" t="s">
        <v>145</v>
      </c>
      <c r="B2" s="477">
        <v>10000000</v>
      </c>
      <c r="D2" s="480" t="s">
        <v>86</v>
      </c>
      <c r="E2" s="480" t="s">
        <v>41</v>
      </c>
      <c r="F2" s="480" t="s">
        <v>147</v>
      </c>
      <c r="G2" s="480" t="s">
        <v>69</v>
      </c>
    </row>
    <row r="3" spans="1:9" x14ac:dyDescent="0.25">
      <c r="A3" s="123" t="s">
        <v>217</v>
      </c>
      <c r="B3" s="31">
        <v>0.01</v>
      </c>
      <c r="D3" s="481">
        <v>1</v>
      </c>
      <c r="E3" s="141" t="s">
        <v>148</v>
      </c>
      <c r="F3" s="485">
        <v>2700</v>
      </c>
      <c r="G3" s="489">
        <v>900</v>
      </c>
    </row>
    <row r="4" spans="1:9" x14ac:dyDescent="0.25">
      <c r="A4" s="123" t="s">
        <v>218</v>
      </c>
      <c r="B4" s="478">
        <f>B3*B2</f>
        <v>100000</v>
      </c>
      <c r="D4" s="481">
        <v>2</v>
      </c>
      <c r="E4" s="141" t="s">
        <v>49</v>
      </c>
      <c r="F4" s="485">
        <v>2900</v>
      </c>
      <c r="G4" s="489">
        <v>1200</v>
      </c>
    </row>
    <row r="5" spans="1:9" x14ac:dyDescent="0.25">
      <c r="A5" s="128" t="s">
        <v>3</v>
      </c>
      <c r="B5" s="479">
        <v>575000</v>
      </c>
      <c r="D5" s="481">
        <v>3</v>
      </c>
      <c r="E5" s="141" t="s">
        <v>149</v>
      </c>
      <c r="F5" s="485">
        <v>3100</v>
      </c>
      <c r="G5" s="489">
        <v>1400</v>
      </c>
    </row>
    <row r="6" spans="1:9" x14ac:dyDescent="0.25">
      <c r="A6" s="21"/>
      <c r="B6" s="21"/>
      <c r="D6" s="481">
        <v>4</v>
      </c>
      <c r="E6" s="141" t="s">
        <v>150</v>
      </c>
      <c r="F6" s="485">
        <v>2500</v>
      </c>
      <c r="G6" s="489">
        <v>1475</v>
      </c>
    </row>
    <row r="7" spans="1:9" x14ac:dyDescent="0.25">
      <c r="A7" s="21"/>
      <c r="B7" s="21"/>
      <c r="D7" s="481">
        <v>5</v>
      </c>
      <c r="E7" s="141" t="s">
        <v>151</v>
      </c>
      <c r="F7" s="485">
        <v>2700</v>
      </c>
      <c r="G7" s="489">
        <v>1500</v>
      </c>
    </row>
    <row r="8" spans="1:9" x14ac:dyDescent="0.25">
      <c r="A8" s="484"/>
      <c r="B8" s="21"/>
      <c r="D8" s="481">
        <v>6</v>
      </c>
      <c r="E8" s="141" t="s">
        <v>152</v>
      </c>
      <c r="F8" s="485">
        <v>2850</v>
      </c>
      <c r="G8" s="489">
        <v>1475</v>
      </c>
    </row>
    <row r="9" spans="1:9" x14ac:dyDescent="0.25">
      <c r="A9" s="21"/>
      <c r="D9" s="481">
        <v>7</v>
      </c>
      <c r="E9" s="141" t="s">
        <v>153</v>
      </c>
      <c r="F9" s="485">
        <v>2825</v>
      </c>
      <c r="G9" s="489">
        <v>1450</v>
      </c>
    </row>
    <row r="10" spans="1:9" x14ac:dyDescent="0.25">
      <c r="D10" s="481">
        <v>8</v>
      </c>
      <c r="E10" s="141" t="s">
        <v>154</v>
      </c>
      <c r="F10" s="485">
        <v>2760</v>
      </c>
      <c r="G10" s="489">
        <v>1425</v>
      </c>
    </row>
    <row r="11" spans="1:9" x14ac:dyDescent="0.25">
      <c r="D11" s="481">
        <v>9</v>
      </c>
      <c r="E11" s="141" t="s">
        <v>155</v>
      </c>
      <c r="F11" s="485">
        <v>2450</v>
      </c>
      <c r="G11" s="489">
        <v>1400</v>
      </c>
    </row>
    <row r="12" spans="1:9" x14ac:dyDescent="0.25">
      <c r="D12" s="481">
        <v>10</v>
      </c>
      <c r="E12" s="141" t="s">
        <v>156</v>
      </c>
      <c r="F12" s="485">
        <v>2000</v>
      </c>
      <c r="G12" s="489">
        <v>1550</v>
      </c>
      <c r="I12" s="487"/>
    </row>
    <row r="13" spans="1:9" x14ac:dyDescent="0.25">
      <c r="D13" s="481">
        <v>11</v>
      </c>
      <c r="E13" s="141" t="s">
        <v>157</v>
      </c>
      <c r="F13" s="485">
        <v>3000</v>
      </c>
      <c r="G13" s="489">
        <v>1650</v>
      </c>
      <c r="I13" s="487"/>
    </row>
    <row r="14" spans="1:9" x14ac:dyDescent="0.25">
      <c r="D14" s="481">
        <v>12</v>
      </c>
      <c r="E14" s="141" t="s">
        <v>158</v>
      </c>
      <c r="F14" s="485">
        <v>2700</v>
      </c>
      <c r="G14" s="489">
        <v>1400</v>
      </c>
      <c r="I14" s="487"/>
    </row>
    <row r="15" spans="1:9" x14ac:dyDescent="0.25">
      <c r="D15" s="483"/>
      <c r="E15" s="400" t="s">
        <v>237</v>
      </c>
      <c r="F15" s="486">
        <f>SUM(F3:F14)</f>
        <v>32485</v>
      </c>
      <c r="G15" s="490">
        <f>SUM(G3:G14)</f>
        <v>16825</v>
      </c>
      <c r="I15" s="488"/>
    </row>
    <row r="16" spans="1:9" x14ac:dyDescent="0.25">
      <c r="I16" s="487"/>
    </row>
    <row r="17" spans="9:9" x14ac:dyDescent="0.25">
      <c r="I17" s="487"/>
    </row>
    <row r="18" spans="9:9" x14ac:dyDescent="0.25">
      <c r="I18" s="487"/>
    </row>
  </sheetData>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zoomScale="120" zoomScaleNormal="120" zoomScalePageLayoutView="200" workbookViewId="0"/>
  </sheetViews>
  <sheetFormatPr defaultColWidth="10.875" defaultRowHeight="13.5" x14ac:dyDescent="0.25"/>
  <cols>
    <col min="1" max="1" width="16" style="23" bestFit="1" customWidth="1"/>
    <col min="2" max="2" width="12.875" style="23" bestFit="1" customWidth="1"/>
    <col min="3" max="3" width="12.875" style="23" customWidth="1"/>
    <col min="4" max="4" width="10.875" style="23"/>
    <col min="5" max="5" width="15.5" style="23" bestFit="1" customWidth="1"/>
    <col min="6" max="6" width="10.875" style="23"/>
    <col min="7" max="7" width="7.75" style="23" bestFit="1" customWidth="1"/>
    <col min="8" max="16384" width="10.875" style="23"/>
  </cols>
  <sheetData>
    <row r="1" spans="1:8" x14ac:dyDescent="0.25">
      <c r="A1" s="403" t="s">
        <v>236</v>
      </c>
      <c r="B1" s="42"/>
      <c r="D1" s="403" t="s">
        <v>146</v>
      </c>
      <c r="E1" s="281"/>
      <c r="F1" s="281"/>
      <c r="G1" s="42"/>
    </row>
    <row r="2" spans="1:8" x14ac:dyDescent="0.25">
      <c r="A2" s="117" t="s">
        <v>145</v>
      </c>
      <c r="B2" s="388">
        <v>10000000</v>
      </c>
      <c r="C2" s="386"/>
      <c r="D2" s="392" t="s">
        <v>86</v>
      </c>
      <c r="E2" s="393" t="s">
        <v>41</v>
      </c>
      <c r="F2" s="393" t="s">
        <v>147</v>
      </c>
      <c r="G2" s="394" t="s">
        <v>69</v>
      </c>
    </row>
    <row r="3" spans="1:8" x14ac:dyDescent="0.25">
      <c r="A3" s="123" t="s">
        <v>217</v>
      </c>
      <c r="B3" s="389">
        <v>0.01</v>
      </c>
      <c r="C3" s="386"/>
      <c r="D3" s="395">
        <v>1</v>
      </c>
      <c r="E3" s="22" t="s">
        <v>148</v>
      </c>
      <c r="F3" s="391">
        <v>2700</v>
      </c>
      <c r="G3" s="396">
        <v>900</v>
      </c>
      <c r="H3" s="387"/>
    </row>
    <row r="4" spans="1:8" x14ac:dyDescent="0.25">
      <c r="A4" s="123" t="s">
        <v>218</v>
      </c>
      <c r="B4" s="390">
        <f>B3*B2</f>
        <v>100000</v>
      </c>
      <c r="C4" s="337"/>
      <c r="D4" s="395">
        <v>2</v>
      </c>
      <c r="E4" s="22" t="s">
        <v>49</v>
      </c>
      <c r="F4" s="397">
        <v>2900</v>
      </c>
      <c r="G4" s="398">
        <v>1200</v>
      </c>
    </row>
    <row r="5" spans="1:8" x14ac:dyDescent="0.25">
      <c r="A5" s="128" t="s">
        <v>3</v>
      </c>
      <c r="B5" s="391">
        <v>575000</v>
      </c>
      <c r="C5" s="386"/>
      <c r="D5" s="395">
        <v>3</v>
      </c>
      <c r="E5" s="22" t="s">
        <v>149</v>
      </c>
      <c r="F5" s="397">
        <v>3100</v>
      </c>
      <c r="G5" s="398">
        <v>1400</v>
      </c>
    </row>
    <row r="6" spans="1:8" x14ac:dyDescent="0.25">
      <c r="A6" s="22"/>
      <c r="B6" s="21"/>
      <c r="C6" s="21"/>
      <c r="D6" s="395">
        <v>4</v>
      </c>
      <c r="E6" s="22" t="s">
        <v>150</v>
      </c>
      <c r="F6" s="397">
        <v>2500</v>
      </c>
      <c r="G6" s="398">
        <v>1475</v>
      </c>
    </row>
    <row r="7" spans="1:8" x14ac:dyDescent="0.25">
      <c r="A7" s="22"/>
      <c r="B7" s="21"/>
      <c r="C7" s="21"/>
      <c r="D7" s="395">
        <v>5</v>
      </c>
      <c r="E7" s="22" t="s">
        <v>151</v>
      </c>
      <c r="F7" s="397">
        <v>2700</v>
      </c>
      <c r="G7" s="398">
        <v>1500</v>
      </c>
    </row>
    <row r="8" spans="1:8" x14ac:dyDescent="0.25">
      <c r="A8" s="22"/>
      <c r="B8" s="21"/>
      <c r="C8" s="21"/>
      <c r="D8" s="395">
        <v>6</v>
      </c>
      <c r="E8" s="22" t="s">
        <v>152</v>
      </c>
      <c r="F8" s="397">
        <v>2850</v>
      </c>
      <c r="G8" s="398">
        <v>1475</v>
      </c>
    </row>
    <row r="9" spans="1:8" x14ac:dyDescent="0.25">
      <c r="A9" s="22"/>
      <c r="B9" s="21"/>
      <c r="C9" s="21"/>
      <c r="D9" s="395">
        <v>7</v>
      </c>
      <c r="E9" s="22" t="s">
        <v>153</v>
      </c>
      <c r="F9" s="397">
        <v>2825</v>
      </c>
      <c r="G9" s="398">
        <v>1450</v>
      </c>
    </row>
    <row r="10" spans="1:8" x14ac:dyDescent="0.25">
      <c r="D10" s="395">
        <v>8</v>
      </c>
      <c r="E10" s="22" t="s">
        <v>154</v>
      </c>
      <c r="F10" s="397">
        <v>2760</v>
      </c>
      <c r="G10" s="398">
        <v>1425</v>
      </c>
    </row>
    <row r="11" spans="1:8" x14ac:dyDescent="0.25">
      <c r="D11" s="395">
        <v>9</v>
      </c>
      <c r="E11" s="22" t="s">
        <v>155</v>
      </c>
      <c r="F11" s="397">
        <v>2450</v>
      </c>
      <c r="G11" s="398">
        <v>1400</v>
      </c>
    </row>
    <row r="12" spans="1:8" x14ac:dyDescent="0.25">
      <c r="D12" s="395">
        <v>10</v>
      </c>
      <c r="E12" s="22" t="s">
        <v>156</v>
      </c>
      <c r="F12" s="397">
        <v>2000</v>
      </c>
      <c r="G12" s="398">
        <v>1550</v>
      </c>
    </row>
    <row r="13" spans="1:8" x14ac:dyDescent="0.25">
      <c r="D13" s="395">
        <v>11</v>
      </c>
      <c r="E13" s="22" t="s">
        <v>157</v>
      </c>
      <c r="F13" s="397">
        <v>3000</v>
      </c>
      <c r="G13" s="398">
        <v>1650</v>
      </c>
    </row>
    <row r="14" spans="1:8" x14ac:dyDescent="0.25">
      <c r="D14" s="399">
        <v>12</v>
      </c>
      <c r="E14" s="22" t="s">
        <v>158</v>
      </c>
      <c r="F14" s="397">
        <v>2700</v>
      </c>
      <c r="G14" s="398">
        <v>1400</v>
      </c>
    </row>
    <row r="15" spans="1:8" x14ac:dyDescent="0.25">
      <c r="D15" s="202"/>
      <c r="E15" s="400" t="s">
        <v>237</v>
      </c>
      <c r="F15" s="401">
        <f>SUM(F3:F14)</f>
        <v>32485</v>
      </c>
      <c r="G15" s="402">
        <f>SUM(G3:G14)</f>
        <v>16825</v>
      </c>
    </row>
  </sheetData>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zoomScale="85" zoomScaleNormal="100" workbookViewId="0">
      <selection activeCell="D5" sqref="D5"/>
    </sheetView>
  </sheetViews>
  <sheetFormatPr defaultColWidth="10.875" defaultRowHeight="16.5" x14ac:dyDescent="0.3"/>
  <cols>
    <col min="1" max="1" width="12.375" style="1" bestFit="1" customWidth="1"/>
    <col min="2" max="2" width="68.75" style="1" customWidth="1"/>
    <col min="3" max="3" width="9.625" style="1" bestFit="1" customWidth="1"/>
    <col min="4" max="4" width="10.875" style="1"/>
    <col min="5" max="5" width="11" style="1" bestFit="1" customWidth="1"/>
    <col min="6" max="6" width="17.5" style="1" bestFit="1" customWidth="1"/>
    <col min="7" max="7" width="11" style="1" bestFit="1" customWidth="1"/>
    <col min="8" max="8" width="10.875" style="1"/>
    <col min="9" max="9" width="11" style="1" bestFit="1" customWidth="1"/>
    <col min="10" max="11" width="16.75" style="1" bestFit="1" customWidth="1"/>
    <col min="12" max="12" width="11" style="1" bestFit="1" customWidth="1"/>
    <col min="13" max="14" width="10.875" style="1"/>
    <col min="15" max="15" width="19.25" style="1" bestFit="1" customWidth="1"/>
    <col min="16" max="16" width="19.25" style="1" customWidth="1"/>
    <col min="17" max="17" width="21" style="1" bestFit="1" customWidth="1"/>
    <col min="18" max="16384" width="10.875" style="1"/>
  </cols>
  <sheetData>
    <row r="1" spans="1:12" ht="21" x14ac:dyDescent="0.35">
      <c r="A1" s="182" t="s">
        <v>33</v>
      </c>
      <c r="B1" s="183" t="s">
        <v>34</v>
      </c>
      <c r="C1" s="184" t="s">
        <v>35</v>
      </c>
      <c r="E1" s="491" t="s">
        <v>65</v>
      </c>
      <c r="F1" s="491" t="s">
        <v>41</v>
      </c>
      <c r="G1" s="491" t="s">
        <v>50</v>
      </c>
      <c r="H1" s="491" t="s">
        <v>51</v>
      </c>
      <c r="I1" s="491" t="s">
        <v>42</v>
      </c>
      <c r="J1" s="491" t="s">
        <v>43</v>
      </c>
      <c r="K1" s="491" t="s">
        <v>44</v>
      </c>
      <c r="L1" s="491" t="s">
        <v>45</v>
      </c>
    </row>
    <row r="2" spans="1:12" ht="33" x14ac:dyDescent="0.35">
      <c r="A2" s="185" t="s">
        <v>56</v>
      </c>
      <c r="B2" s="186" t="s">
        <v>283</v>
      </c>
      <c r="C2" s="187" t="str">
        <f>IF(I23&gt;2000,"YES","NO")</f>
        <v>YES</v>
      </c>
      <c r="E2" s="492">
        <v>1</v>
      </c>
      <c r="F2" s="492" t="s">
        <v>253</v>
      </c>
      <c r="G2" s="492">
        <v>750</v>
      </c>
      <c r="H2" s="492" t="s">
        <v>52</v>
      </c>
      <c r="I2" s="493">
        <v>1850</v>
      </c>
      <c r="J2" s="494">
        <v>44197</v>
      </c>
      <c r="K2" s="494">
        <f>EOMONTH(J2,L2)</f>
        <v>44561</v>
      </c>
      <c r="L2" s="495">
        <v>11</v>
      </c>
    </row>
    <row r="3" spans="1:12" ht="21" x14ac:dyDescent="0.35">
      <c r="A3" s="188"/>
      <c r="B3" s="188"/>
      <c r="C3" s="188"/>
      <c r="E3" s="492">
        <f>E2+1</f>
        <v>2</v>
      </c>
      <c r="F3" s="492" t="s">
        <v>254</v>
      </c>
      <c r="G3" s="492">
        <v>750</v>
      </c>
      <c r="H3" s="492" t="s">
        <v>52</v>
      </c>
      <c r="I3" s="493">
        <v>1830</v>
      </c>
      <c r="J3" s="494">
        <v>43800</v>
      </c>
      <c r="K3" s="494">
        <v>44165</v>
      </c>
      <c r="L3" s="495">
        <v>12</v>
      </c>
    </row>
    <row r="4" spans="1:12" ht="21" x14ac:dyDescent="0.35">
      <c r="A4" s="182" t="s">
        <v>33</v>
      </c>
      <c r="B4" s="183" t="s">
        <v>34</v>
      </c>
      <c r="C4" s="184" t="s">
        <v>35</v>
      </c>
      <c r="E4" s="492">
        <f t="shared" ref="E4:E34" si="0">E3+1</f>
        <v>3</v>
      </c>
      <c r="F4" s="492" t="s">
        <v>255</v>
      </c>
      <c r="G4" s="492">
        <v>750</v>
      </c>
      <c r="H4" s="492" t="s">
        <v>52</v>
      </c>
      <c r="I4" s="493">
        <v>1800</v>
      </c>
      <c r="J4" s="494">
        <v>43617</v>
      </c>
      <c r="K4" s="494">
        <v>43982</v>
      </c>
      <c r="L4" s="495">
        <v>13</v>
      </c>
    </row>
    <row r="5" spans="1:12" ht="33" x14ac:dyDescent="0.35">
      <c r="A5" s="185" t="s">
        <v>63</v>
      </c>
      <c r="B5" s="189" t="s">
        <v>284</v>
      </c>
      <c r="C5" s="190" t="str">
        <f>IF(AND(I23&gt;2000,L23&gt;12),"YES","NO")</f>
        <v>YES</v>
      </c>
      <c r="E5" s="492">
        <f t="shared" si="0"/>
        <v>4</v>
      </c>
      <c r="F5" s="492" t="s">
        <v>256</v>
      </c>
      <c r="G5" s="492">
        <v>750</v>
      </c>
      <c r="H5" s="492" t="s">
        <v>52</v>
      </c>
      <c r="I5" s="493">
        <v>1900</v>
      </c>
      <c r="J5" s="494">
        <v>43678</v>
      </c>
      <c r="K5" s="494">
        <v>44043</v>
      </c>
      <c r="L5" s="495">
        <v>15</v>
      </c>
    </row>
    <row r="6" spans="1:12" ht="33" x14ac:dyDescent="0.35">
      <c r="A6" s="185" t="s">
        <v>64</v>
      </c>
      <c r="B6" s="189" t="s">
        <v>285</v>
      </c>
      <c r="C6" s="191" t="str">
        <f>IF(OR(I17&gt;2500,L17&gt;12),"YES","NO")</f>
        <v>YES</v>
      </c>
      <c r="E6" s="492">
        <f t="shared" si="0"/>
        <v>5</v>
      </c>
      <c r="F6" s="492" t="s">
        <v>257</v>
      </c>
      <c r="G6" s="492">
        <v>750</v>
      </c>
      <c r="H6" s="492" t="s">
        <v>52</v>
      </c>
      <c r="I6" s="493">
        <v>1925</v>
      </c>
      <c r="J6" s="494">
        <v>43617</v>
      </c>
      <c r="K6" s="494">
        <v>43982</v>
      </c>
      <c r="L6" s="495">
        <v>10</v>
      </c>
    </row>
    <row r="7" spans="1:12" ht="21" x14ac:dyDescent="0.35">
      <c r="A7" s="188"/>
      <c r="B7" s="188"/>
      <c r="C7" s="188"/>
      <c r="E7" s="492">
        <f t="shared" si="0"/>
        <v>6</v>
      </c>
      <c r="F7" s="492" t="s">
        <v>258</v>
      </c>
      <c r="G7" s="492">
        <v>750</v>
      </c>
      <c r="H7" s="492" t="s">
        <v>52</v>
      </c>
      <c r="I7" s="493">
        <v>1900</v>
      </c>
      <c r="J7" s="494">
        <v>43556</v>
      </c>
      <c r="K7" s="494">
        <v>43921</v>
      </c>
      <c r="L7" s="495">
        <v>15</v>
      </c>
    </row>
    <row r="8" spans="1:12" ht="21" x14ac:dyDescent="0.35">
      <c r="A8" s="182" t="s">
        <v>33</v>
      </c>
      <c r="B8" s="183" t="s">
        <v>34</v>
      </c>
      <c r="C8" s="184" t="s">
        <v>35</v>
      </c>
      <c r="E8" s="492">
        <f t="shared" si="0"/>
        <v>7</v>
      </c>
      <c r="F8" s="492" t="s">
        <v>259</v>
      </c>
      <c r="G8" s="492">
        <v>750</v>
      </c>
      <c r="H8" s="492" t="s">
        <v>52</v>
      </c>
      <c r="I8" s="493">
        <v>1850</v>
      </c>
      <c r="J8" s="494">
        <v>44166</v>
      </c>
      <c r="K8" s="494">
        <v>44530</v>
      </c>
      <c r="L8" s="495">
        <v>12</v>
      </c>
    </row>
    <row r="9" spans="1:12" ht="21" x14ac:dyDescent="0.35">
      <c r="A9" s="185" t="s">
        <v>57</v>
      </c>
      <c r="B9" s="189" t="s">
        <v>403</v>
      </c>
      <c r="C9" s="192">
        <f>SUMIF(H2:H34,"1BR - 1BA",G2:G34)</f>
        <v>6750</v>
      </c>
      <c r="E9" s="492">
        <f t="shared" si="0"/>
        <v>8</v>
      </c>
      <c r="F9" s="492" t="s">
        <v>260</v>
      </c>
      <c r="G9" s="492">
        <v>750</v>
      </c>
      <c r="H9" s="492" t="s">
        <v>52</v>
      </c>
      <c r="I9" s="493">
        <v>1800</v>
      </c>
      <c r="J9" s="494">
        <v>43647</v>
      </c>
      <c r="K9" s="494">
        <v>44012</v>
      </c>
      <c r="L9" s="495">
        <v>10</v>
      </c>
    </row>
    <row r="10" spans="1:12" ht="21" x14ac:dyDescent="0.35">
      <c r="A10" s="185" t="s">
        <v>58</v>
      </c>
      <c r="B10" s="189" t="s">
        <v>238</v>
      </c>
      <c r="C10" s="193">
        <f>SUMIFS(I2:I34,H2:H34,"2BR - 1BA", L2:L34,15)</f>
        <v>6800</v>
      </c>
      <c r="E10" s="492">
        <f t="shared" si="0"/>
        <v>9</v>
      </c>
      <c r="F10" s="492" t="s">
        <v>261</v>
      </c>
      <c r="G10" s="492">
        <v>750</v>
      </c>
      <c r="H10" s="492" t="s">
        <v>52</v>
      </c>
      <c r="I10" s="493">
        <v>1750</v>
      </c>
      <c r="J10" s="494">
        <v>43556</v>
      </c>
      <c r="K10" s="494">
        <v>43921</v>
      </c>
      <c r="L10" s="495">
        <v>12</v>
      </c>
    </row>
    <row r="11" spans="1:12" ht="21" x14ac:dyDescent="0.35">
      <c r="A11" s="188"/>
      <c r="B11" s="188"/>
      <c r="C11" s="188"/>
      <c r="E11" s="492">
        <f t="shared" si="0"/>
        <v>10</v>
      </c>
      <c r="F11" s="492" t="s">
        <v>262</v>
      </c>
      <c r="G11" s="492">
        <v>900</v>
      </c>
      <c r="H11" s="492" t="s">
        <v>53</v>
      </c>
      <c r="I11" s="493">
        <v>2100</v>
      </c>
      <c r="J11" s="494">
        <v>43525</v>
      </c>
      <c r="K11" s="494">
        <v>43890</v>
      </c>
      <c r="L11" s="495">
        <v>11</v>
      </c>
    </row>
    <row r="12" spans="1:12" ht="21" x14ac:dyDescent="0.35">
      <c r="A12" s="182" t="s">
        <v>33</v>
      </c>
      <c r="B12" s="183" t="s">
        <v>34</v>
      </c>
      <c r="C12" s="184" t="s">
        <v>35</v>
      </c>
      <c r="E12" s="492">
        <f t="shared" si="0"/>
        <v>11</v>
      </c>
      <c r="F12" s="492" t="s">
        <v>263</v>
      </c>
      <c r="G12" s="492">
        <v>900</v>
      </c>
      <c r="H12" s="492" t="s">
        <v>53</v>
      </c>
      <c r="I12" s="493">
        <v>2300</v>
      </c>
      <c r="J12" s="494">
        <v>43922</v>
      </c>
      <c r="K12" s="494">
        <v>44286</v>
      </c>
      <c r="L12" s="495">
        <v>13</v>
      </c>
    </row>
    <row r="13" spans="1:12" ht="21" x14ac:dyDescent="0.35">
      <c r="A13" s="185" t="s">
        <v>59</v>
      </c>
      <c r="B13" s="189" t="s">
        <v>66</v>
      </c>
      <c r="C13" s="190">
        <f>COUNTIF(H2:H34,"3BR - 2BA")</f>
        <v>5</v>
      </c>
      <c r="E13" s="492">
        <f t="shared" si="0"/>
        <v>12</v>
      </c>
      <c r="F13" s="492" t="s">
        <v>264</v>
      </c>
      <c r="G13" s="492">
        <v>900</v>
      </c>
      <c r="H13" s="492" t="s">
        <v>53</v>
      </c>
      <c r="I13" s="493">
        <v>2300</v>
      </c>
      <c r="J13" s="494">
        <v>43647</v>
      </c>
      <c r="K13" s="494">
        <v>44012</v>
      </c>
      <c r="L13" s="495">
        <v>14</v>
      </c>
    </row>
    <row r="14" spans="1:12" ht="33" x14ac:dyDescent="0.35">
      <c r="A14" s="185" t="s">
        <v>60</v>
      </c>
      <c r="B14" s="189" t="s">
        <v>239</v>
      </c>
      <c r="C14" s="190">
        <f>COUNTIFS(H2:H34,"1BR - 1BA",I2:I34,"&gt;1840",L2:L34,"&gt;=12")</f>
        <v>3</v>
      </c>
      <c r="E14" s="492">
        <f t="shared" si="0"/>
        <v>13</v>
      </c>
      <c r="F14" s="492" t="s">
        <v>265</v>
      </c>
      <c r="G14" s="492">
        <v>900</v>
      </c>
      <c r="H14" s="492" t="s">
        <v>53</v>
      </c>
      <c r="I14" s="493">
        <v>2300</v>
      </c>
      <c r="J14" s="494">
        <v>44075</v>
      </c>
      <c r="K14" s="494">
        <v>44439</v>
      </c>
      <c r="L14" s="495">
        <v>11</v>
      </c>
    </row>
    <row r="15" spans="1:12" ht="21" x14ac:dyDescent="0.35">
      <c r="A15" s="188"/>
      <c r="B15" s="188"/>
      <c r="C15" s="188"/>
      <c r="E15" s="492">
        <f t="shared" si="0"/>
        <v>14</v>
      </c>
      <c r="F15" s="492" t="s">
        <v>266</v>
      </c>
      <c r="G15" s="492">
        <v>900</v>
      </c>
      <c r="H15" s="492" t="s">
        <v>53</v>
      </c>
      <c r="I15" s="493">
        <v>2200</v>
      </c>
      <c r="J15" s="494">
        <v>43800</v>
      </c>
      <c r="K15" s="494">
        <v>44165</v>
      </c>
      <c r="L15" s="495">
        <v>15</v>
      </c>
    </row>
    <row r="16" spans="1:12" ht="21" x14ac:dyDescent="0.35">
      <c r="A16" s="182" t="s">
        <v>33</v>
      </c>
      <c r="B16" s="183" t="s">
        <v>34</v>
      </c>
      <c r="C16" s="184" t="s">
        <v>35</v>
      </c>
      <c r="E16" s="492">
        <f t="shared" si="0"/>
        <v>15</v>
      </c>
      <c r="F16" s="492" t="s">
        <v>267</v>
      </c>
      <c r="G16" s="492">
        <v>900</v>
      </c>
      <c r="H16" s="492" t="s">
        <v>53</v>
      </c>
      <c r="I16" s="493">
        <v>2300</v>
      </c>
      <c r="J16" s="494">
        <v>44013</v>
      </c>
      <c r="K16" s="494">
        <v>44377</v>
      </c>
      <c r="L16" s="495">
        <v>13</v>
      </c>
    </row>
    <row r="17" spans="1:12" ht="21" x14ac:dyDescent="0.35">
      <c r="A17" s="185" t="s">
        <v>61</v>
      </c>
      <c r="B17" s="189" t="s">
        <v>240</v>
      </c>
      <c r="C17" s="190">
        <f>AVERAGEIF(H2:H34,"2BR - 1BA",L2:L34)</f>
        <v>12.615384615384615</v>
      </c>
      <c r="E17" s="492">
        <f t="shared" si="0"/>
        <v>16</v>
      </c>
      <c r="F17" s="492" t="s">
        <v>268</v>
      </c>
      <c r="G17" s="492">
        <v>900</v>
      </c>
      <c r="H17" s="492" t="s">
        <v>53</v>
      </c>
      <c r="I17" s="493">
        <v>2225</v>
      </c>
      <c r="J17" s="494">
        <v>43525</v>
      </c>
      <c r="K17" s="494">
        <v>43890</v>
      </c>
      <c r="L17" s="495">
        <v>13</v>
      </c>
    </row>
    <row r="18" spans="1:12" ht="33" x14ac:dyDescent="0.35">
      <c r="A18" s="185" t="s">
        <v>62</v>
      </c>
      <c r="B18" s="189" t="s">
        <v>402</v>
      </c>
      <c r="C18" s="193">
        <f>AVERAGEIFS(I2:I34,H2:H34,"2BR - 1BA",L2:L34,"&gt;11")</f>
        <v>2290.625</v>
      </c>
      <c r="E18" s="492">
        <f t="shared" si="0"/>
        <v>17</v>
      </c>
      <c r="F18" s="492" t="s">
        <v>269</v>
      </c>
      <c r="G18" s="492">
        <v>900</v>
      </c>
      <c r="H18" s="492" t="s">
        <v>53</v>
      </c>
      <c r="I18" s="493">
        <v>2300</v>
      </c>
      <c r="J18" s="494">
        <v>43922</v>
      </c>
      <c r="K18" s="494">
        <v>44286</v>
      </c>
      <c r="L18" s="495">
        <v>15</v>
      </c>
    </row>
    <row r="19" spans="1:12" ht="21" x14ac:dyDescent="0.35">
      <c r="E19" s="492">
        <f t="shared" si="0"/>
        <v>18</v>
      </c>
      <c r="F19" s="492" t="s">
        <v>270</v>
      </c>
      <c r="G19" s="492">
        <v>900</v>
      </c>
      <c r="H19" s="492" t="s">
        <v>53</v>
      </c>
      <c r="I19" s="493">
        <v>2300</v>
      </c>
      <c r="J19" s="494">
        <v>44136</v>
      </c>
      <c r="K19" s="494">
        <v>44500</v>
      </c>
      <c r="L19" s="495">
        <v>10</v>
      </c>
    </row>
    <row r="20" spans="1:12" ht="21" x14ac:dyDescent="0.35">
      <c r="E20" s="492">
        <f t="shared" si="0"/>
        <v>19</v>
      </c>
      <c r="F20" s="492" t="s">
        <v>271</v>
      </c>
      <c r="G20" s="492">
        <v>900</v>
      </c>
      <c r="H20" s="492" t="s">
        <v>53</v>
      </c>
      <c r="I20" s="493">
        <v>2400</v>
      </c>
      <c r="J20" s="494">
        <v>43862</v>
      </c>
      <c r="K20" s="494">
        <v>44227</v>
      </c>
      <c r="L20" s="495">
        <v>13</v>
      </c>
    </row>
    <row r="21" spans="1:12" ht="21" x14ac:dyDescent="0.35">
      <c r="E21" s="492">
        <f t="shared" si="0"/>
        <v>20</v>
      </c>
      <c r="F21" s="492" t="s">
        <v>272</v>
      </c>
      <c r="G21" s="492">
        <v>900</v>
      </c>
      <c r="H21" s="492" t="s">
        <v>53</v>
      </c>
      <c r="I21" s="493">
        <v>2185</v>
      </c>
      <c r="J21" s="494">
        <v>43952</v>
      </c>
      <c r="K21" s="494">
        <v>44316</v>
      </c>
      <c r="L21" s="495">
        <v>10</v>
      </c>
    </row>
    <row r="22" spans="1:12" ht="21" x14ac:dyDescent="0.35">
      <c r="E22" s="492">
        <f t="shared" si="0"/>
        <v>21</v>
      </c>
      <c r="F22" s="492" t="s">
        <v>273</v>
      </c>
      <c r="G22" s="492">
        <v>900</v>
      </c>
      <c r="H22" s="492" t="s">
        <v>53</v>
      </c>
      <c r="I22" s="493">
        <v>2300</v>
      </c>
      <c r="J22" s="494">
        <v>44197</v>
      </c>
      <c r="K22" s="494">
        <v>44561</v>
      </c>
      <c r="L22" s="495">
        <v>11</v>
      </c>
    </row>
    <row r="23" spans="1:12" ht="21" x14ac:dyDescent="0.35">
      <c r="E23" s="492">
        <f t="shared" si="0"/>
        <v>22</v>
      </c>
      <c r="F23" s="492" t="s">
        <v>274</v>
      </c>
      <c r="G23" s="492">
        <v>900</v>
      </c>
      <c r="H23" s="492" t="s">
        <v>53</v>
      </c>
      <c r="I23" s="493">
        <v>2300</v>
      </c>
      <c r="J23" s="494">
        <v>43617</v>
      </c>
      <c r="K23" s="494">
        <v>43982</v>
      </c>
      <c r="L23" s="495">
        <v>15</v>
      </c>
    </row>
    <row r="24" spans="1:12" ht="21" x14ac:dyDescent="0.35">
      <c r="A24" s="7"/>
      <c r="E24" s="492">
        <f t="shared" si="0"/>
        <v>23</v>
      </c>
      <c r="F24" s="492" t="s">
        <v>275</v>
      </c>
      <c r="G24" s="492">
        <v>1000</v>
      </c>
      <c r="H24" s="492" t="s">
        <v>54</v>
      </c>
      <c r="I24" s="493">
        <v>2580</v>
      </c>
      <c r="J24" s="494">
        <v>43586</v>
      </c>
      <c r="K24" s="494">
        <v>43951</v>
      </c>
      <c r="L24" s="495">
        <v>9</v>
      </c>
    </row>
    <row r="25" spans="1:12" ht="21" x14ac:dyDescent="0.35">
      <c r="E25" s="492">
        <f t="shared" si="0"/>
        <v>24</v>
      </c>
      <c r="F25" s="492" t="s">
        <v>48</v>
      </c>
      <c r="G25" s="492">
        <v>1000</v>
      </c>
      <c r="H25" s="492" t="s">
        <v>54</v>
      </c>
      <c r="I25" s="493">
        <v>2700</v>
      </c>
      <c r="J25" s="494">
        <v>43617</v>
      </c>
      <c r="K25" s="494">
        <v>43982</v>
      </c>
      <c r="L25" s="495">
        <v>14</v>
      </c>
    </row>
    <row r="26" spans="1:12" ht="21" x14ac:dyDescent="0.35">
      <c r="E26" s="492">
        <f t="shared" si="0"/>
        <v>25</v>
      </c>
      <c r="F26" s="492" t="s">
        <v>276</v>
      </c>
      <c r="G26" s="492">
        <v>1000</v>
      </c>
      <c r="H26" s="492" t="s">
        <v>54</v>
      </c>
      <c r="I26" s="493">
        <v>2600</v>
      </c>
      <c r="J26" s="494">
        <v>43556</v>
      </c>
      <c r="K26" s="494">
        <v>43921</v>
      </c>
      <c r="L26" s="495">
        <v>9</v>
      </c>
    </row>
    <row r="27" spans="1:12" ht="21" x14ac:dyDescent="0.35">
      <c r="A27" s="7"/>
      <c r="E27" s="492">
        <f t="shared" si="0"/>
        <v>26</v>
      </c>
      <c r="F27" s="492" t="s">
        <v>47</v>
      </c>
      <c r="G27" s="492">
        <v>1000</v>
      </c>
      <c r="H27" s="492" t="s">
        <v>54</v>
      </c>
      <c r="I27" s="493">
        <v>2650</v>
      </c>
      <c r="J27" s="494">
        <v>44075</v>
      </c>
      <c r="K27" s="494">
        <v>44439</v>
      </c>
      <c r="L27" s="495">
        <v>14</v>
      </c>
    </row>
    <row r="28" spans="1:12" ht="21" x14ac:dyDescent="0.35">
      <c r="E28" s="492">
        <f t="shared" si="0"/>
        <v>27</v>
      </c>
      <c r="F28" s="492" t="s">
        <v>277</v>
      </c>
      <c r="G28" s="492">
        <v>1000</v>
      </c>
      <c r="H28" s="492" t="s">
        <v>54</v>
      </c>
      <c r="I28" s="493">
        <v>2590</v>
      </c>
      <c r="J28" s="494">
        <v>43891</v>
      </c>
      <c r="K28" s="494">
        <v>44255</v>
      </c>
      <c r="L28" s="495">
        <v>14</v>
      </c>
    </row>
    <row r="29" spans="1:12" ht="21" x14ac:dyDescent="0.35">
      <c r="E29" s="492">
        <f t="shared" si="0"/>
        <v>28</v>
      </c>
      <c r="F29" s="492" t="s">
        <v>278</v>
      </c>
      <c r="G29" s="492">
        <v>1000</v>
      </c>
      <c r="H29" s="492" t="s">
        <v>54</v>
      </c>
      <c r="I29" s="493">
        <v>2575</v>
      </c>
      <c r="J29" s="494">
        <v>43647</v>
      </c>
      <c r="K29" s="494">
        <v>44012</v>
      </c>
      <c r="L29" s="495">
        <v>14</v>
      </c>
    </row>
    <row r="30" spans="1:12" ht="21" x14ac:dyDescent="0.35">
      <c r="E30" s="492">
        <f t="shared" si="0"/>
        <v>29</v>
      </c>
      <c r="F30" s="492" t="s">
        <v>46</v>
      </c>
      <c r="G30" s="492">
        <v>1400</v>
      </c>
      <c r="H30" s="492" t="s">
        <v>55</v>
      </c>
      <c r="I30" s="493">
        <v>2550</v>
      </c>
      <c r="J30" s="494">
        <v>43709</v>
      </c>
      <c r="K30" s="494">
        <v>44074</v>
      </c>
      <c r="L30" s="495">
        <v>11</v>
      </c>
    </row>
    <row r="31" spans="1:12" ht="21" x14ac:dyDescent="0.35">
      <c r="E31" s="492">
        <f t="shared" si="0"/>
        <v>30</v>
      </c>
      <c r="F31" s="492" t="s">
        <v>281</v>
      </c>
      <c r="G31" s="492">
        <v>1400</v>
      </c>
      <c r="H31" s="492" t="s">
        <v>55</v>
      </c>
      <c r="I31" s="493">
        <v>2495</v>
      </c>
      <c r="J31" s="494">
        <v>43891</v>
      </c>
      <c r="K31" s="494">
        <v>44255</v>
      </c>
      <c r="L31" s="495">
        <v>14</v>
      </c>
    </row>
    <row r="32" spans="1:12" ht="21" x14ac:dyDescent="0.35">
      <c r="E32" s="492">
        <f t="shared" si="0"/>
        <v>31</v>
      </c>
      <c r="F32" s="492" t="s">
        <v>279</v>
      </c>
      <c r="G32" s="492">
        <v>1400</v>
      </c>
      <c r="H32" s="492" t="s">
        <v>55</v>
      </c>
      <c r="I32" s="493">
        <v>2800</v>
      </c>
      <c r="J32" s="494">
        <v>43800</v>
      </c>
      <c r="K32" s="494">
        <v>44165</v>
      </c>
      <c r="L32" s="495">
        <v>15</v>
      </c>
    </row>
    <row r="33" spans="5:12" ht="21" x14ac:dyDescent="0.35">
      <c r="E33" s="492">
        <f t="shared" si="0"/>
        <v>32</v>
      </c>
      <c r="F33" s="492" t="s">
        <v>280</v>
      </c>
      <c r="G33" s="492">
        <v>1400</v>
      </c>
      <c r="H33" s="492" t="s">
        <v>55</v>
      </c>
      <c r="I33" s="493">
        <v>2700</v>
      </c>
      <c r="J33" s="494">
        <v>43647</v>
      </c>
      <c r="K33" s="494">
        <v>44012</v>
      </c>
      <c r="L33" s="495">
        <v>11</v>
      </c>
    </row>
    <row r="34" spans="5:12" ht="21" x14ac:dyDescent="0.35">
      <c r="E34" s="492">
        <f t="shared" si="0"/>
        <v>33</v>
      </c>
      <c r="F34" s="492" t="s">
        <v>282</v>
      </c>
      <c r="G34" s="492">
        <v>1400</v>
      </c>
      <c r="H34" s="492" t="s">
        <v>55</v>
      </c>
      <c r="I34" s="493">
        <v>2650</v>
      </c>
      <c r="J34" s="494">
        <v>44105</v>
      </c>
      <c r="K34" s="494">
        <v>44469</v>
      </c>
      <c r="L34" s="495">
        <v>12</v>
      </c>
    </row>
  </sheetData>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zoomScale="85" zoomScaleNormal="100" workbookViewId="0"/>
  </sheetViews>
  <sheetFormatPr defaultColWidth="10.875" defaultRowHeight="16.5" x14ac:dyDescent="0.3"/>
  <cols>
    <col min="1" max="1" width="11.75" style="1" bestFit="1" customWidth="1"/>
    <col min="2" max="2" width="68.75" style="1" customWidth="1"/>
    <col min="3" max="3" width="8.75" style="1" bestFit="1" customWidth="1"/>
    <col min="4" max="5" width="10.875" style="1"/>
    <col min="6" max="6" width="17.5" style="1" bestFit="1" customWidth="1"/>
    <col min="7" max="10" width="10.875" style="1"/>
    <col min="11" max="11" width="12" style="1" bestFit="1" customWidth="1"/>
    <col min="12" max="14" width="10.875" style="1"/>
    <col min="15" max="15" width="19.25" style="1" bestFit="1" customWidth="1"/>
    <col min="16" max="16" width="19.25" style="1" customWidth="1"/>
    <col min="17" max="17" width="21" style="1" bestFit="1" customWidth="1"/>
    <col min="18" max="16384" width="10.875" style="1"/>
  </cols>
  <sheetData>
    <row r="1" spans="1:12" ht="33" x14ac:dyDescent="0.3">
      <c r="A1" s="182" t="s">
        <v>33</v>
      </c>
      <c r="B1" s="183" t="s">
        <v>34</v>
      </c>
      <c r="C1" s="184" t="s">
        <v>35</v>
      </c>
      <c r="E1" s="27" t="s">
        <v>65</v>
      </c>
      <c r="F1" s="27" t="s">
        <v>41</v>
      </c>
      <c r="G1" s="27" t="s">
        <v>50</v>
      </c>
      <c r="H1" s="27" t="s">
        <v>51</v>
      </c>
      <c r="I1" s="27" t="s">
        <v>42</v>
      </c>
      <c r="J1" s="27" t="s">
        <v>43</v>
      </c>
      <c r="K1" s="27" t="s">
        <v>44</v>
      </c>
      <c r="L1" s="27" t="s">
        <v>45</v>
      </c>
    </row>
    <row r="2" spans="1:12" ht="33" x14ac:dyDescent="0.3">
      <c r="A2" s="185" t="s">
        <v>56</v>
      </c>
      <c r="B2" s="186" t="s">
        <v>283</v>
      </c>
      <c r="C2" s="187" t="str">
        <f>IF(I23&gt;2000,"YES","NO")</f>
        <v>YES</v>
      </c>
      <c r="E2" s="224">
        <v>1</v>
      </c>
      <c r="F2" s="224" t="s">
        <v>253</v>
      </c>
      <c r="G2" s="224">
        <v>750</v>
      </c>
      <c r="H2" s="224" t="s">
        <v>52</v>
      </c>
      <c r="I2" s="225">
        <v>1850</v>
      </c>
      <c r="J2" s="226">
        <v>44197</v>
      </c>
      <c r="K2" s="226">
        <f>EOMONTH(J2,L2)</f>
        <v>44561</v>
      </c>
      <c r="L2" s="227">
        <v>11</v>
      </c>
    </row>
    <row r="3" spans="1:12" x14ac:dyDescent="0.3">
      <c r="A3" s="188"/>
      <c r="B3" s="188"/>
      <c r="C3" s="188"/>
      <c r="E3" s="224">
        <f>E2+1</f>
        <v>2</v>
      </c>
      <c r="F3" s="224" t="s">
        <v>254</v>
      </c>
      <c r="G3" s="224">
        <v>750</v>
      </c>
      <c r="H3" s="224" t="s">
        <v>52</v>
      </c>
      <c r="I3" s="225">
        <v>1830</v>
      </c>
      <c r="J3" s="226">
        <v>43800</v>
      </c>
      <c r="K3" s="226">
        <v>44165</v>
      </c>
      <c r="L3" s="227">
        <v>12</v>
      </c>
    </row>
    <row r="4" spans="1:12" ht="33" x14ac:dyDescent="0.3">
      <c r="A4" s="182" t="s">
        <v>33</v>
      </c>
      <c r="B4" s="183" t="s">
        <v>34</v>
      </c>
      <c r="C4" s="184" t="s">
        <v>35</v>
      </c>
      <c r="E4" s="224">
        <f t="shared" ref="E4:E34" si="0">E3+1</f>
        <v>3</v>
      </c>
      <c r="F4" s="224" t="s">
        <v>255</v>
      </c>
      <c r="G4" s="224">
        <v>750</v>
      </c>
      <c r="H4" s="224" t="s">
        <v>52</v>
      </c>
      <c r="I4" s="225">
        <v>1800</v>
      </c>
      <c r="J4" s="226">
        <v>43617</v>
      </c>
      <c r="K4" s="226">
        <v>43982</v>
      </c>
      <c r="L4" s="227">
        <v>13</v>
      </c>
    </row>
    <row r="5" spans="1:12" ht="33" x14ac:dyDescent="0.3">
      <c r="A5" s="185" t="s">
        <v>63</v>
      </c>
      <c r="B5" s="189" t="s">
        <v>284</v>
      </c>
      <c r="C5" s="190" t="str">
        <f>IF(AND(I23&gt;2000,L23&gt;12),"YES","NO")</f>
        <v>YES</v>
      </c>
      <c r="E5" s="224">
        <f t="shared" si="0"/>
        <v>4</v>
      </c>
      <c r="F5" s="224" t="s">
        <v>256</v>
      </c>
      <c r="G5" s="224">
        <v>750</v>
      </c>
      <c r="H5" s="224" t="s">
        <v>52</v>
      </c>
      <c r="I5" s="225">
        <v>1900</v>
      </c>
      <c r="J5" s="226">
        <v>43678</v>
      </c>
      <c r="K5" s="226">
        <v>44043</v>
      </c>
      <c r="L5" s="227">
        <v>15</v>
      </c>
    </row>
    <row r="6" spans="1:12" ht="33" x14ac:dyDescent="0.3">
      <c r="A6" s="185" t="s">
        <v>64</v>
      </c>
      <c r="B6" s="189" t="s">
        <v>285</v>
      </c>
      <c r="C6" s="191" t="str">
        <f>IF(OR(I17&gt;2500,L17&gt;12),"YES","NO")</f>
        <v>YES</v>
      </c>
      <c r="E6" s="224">
        <f t="shared" si="0"/>
        <v>5</v>
      </c>
      <c r="F6" s="224" t="s">
        <v>257</v>
      </c>
      <c r="G6" s="224">
        <v>750</v>
      </c>
      <c r="H6" s="224" t="s">
        <v>52</v>
      </c>
      <c r="I6" s="225">
        <v>1925</v>
      </c>
      <c r="J6" s="226">
        <v>43617</v>
      </c>
      <c r="K6" s="226">
        <v>43982</v>
      </c>
      <c r="L6" s="227">
        <v>10</v>
      </c>
    </row>
    <row r="7" spans="1:12" x14ac:dyDescent="0.3">
      <c r="A7" s="188"/>
      <c r="B7" s="188"/>
      <c r="C7" s="188"/>
      <c r="E7" s="224">
        <f t="shared" si="0"/>
        <v>6</v>
      </c>
      <c r="F7" s="224" t="s">
        <v>258</v>
      </c>
      <c r="G7" s="224">
        <v>750</v>
      </c>
      <c r="H7" s="224" t="s">
        <v>52</v>
      </c>
      <c r="I7" s="225">
        <v>1900</v>
      </c>
      <c r="J7" s="226">
        <v>43556</v>
      </c>
      <c r="K7" s="226">
        <v>43921</v>
      </c>
      <c r="L7" s="227">
        <v>15</v>
      </c>
    </row>
    <row r="8" spans="1:12" ht="33" x14ac:dyDescent="0.3">
      <c r="A8" s="182" t="s">
        <v>33</v>
      </c>
      <c r="B8" s="183" t="s">
        <v>34</v>
      </c>
      <c r="C8" s="184" t="s">
        <v>35</v>
      </c>
      <c r="E8" s="224">
        <f t="shared" si="0"/>
        <v>7</v>
      </c>
      <c r="F8" s="224" t="s">
        <v>259</v>
      </c>
      <c r="G8" s="224">
        <v>750</v>
      </c>
      <c r="H8" s="224" t="s">
        <v>52</v>
      </c>
      <c r="I8" s="225">
        <v>1850</v>
      </c>
      <c r="J8" s="226">
        <v>44166</v>
      </c>
      <c r="K8" s="226">
        <v>44530</v>
      </c>
      <c r="L8" s="227">
        <v>12</v>
      </c>
    </row>
    <row r="9" spans="1:12" x14ac:dyDescent="0.3">
      <c r="A9" s="185" t="s">
        <v>57</v>
      </c>
      <c r="B9" s="189" t="s">
        <v>403</v>
      </c>
      <c r="C9" s="192">
        <f>SUMIF(H2:H34,"1BR - 1BA",G2:G34)</f>
        <v>6750</v>
      </c>
      <c r="E9" s="224">
        <f t="shared" si="0"/>
        <v>8</v>
      </c>
      <c r="F9" s="224" t="s">
        <v>260</v>
      </c>
      <c r="G9" s="224">
        <v>750</v>
      </c>
      <c r="H9" s="224" t="s">
        <v>52</v>
      </c>
      <c r="I9" s="225">
        <v>1800</v>
      </c>
      <c r="J9" s="226">
        <v>43647</v>
      </c>
      <c r="K9" s="226">
        <v>44012</v>
      </c>
      <c r="L9" s="227">
        <v>10</v>
      </c>
    </row>
    <row r="10" spans="1:12" x14ac:dyDescent="0.3">
      <c r="A10" s="185" t="s">
        <v>58</v>
      </c>
      <c r="B10" s="189" t="s">
        <v>238</v>
      </c>
      <c r="C10" s="193">
        <f>SUMIFS(I2:I34,H2:H34,"2BR - 1BA",L2:L34,15)</f>
        <v>6800</v>
      </c>
      <c r="E10" s="224">
        <f t="shared" si="0"/>
        <v>9</v>
      </c>
      <c r="F10" s="224" t="s">
        <v>261</v>
      </c>
      <c r="G10" s="224">
        <v>750</v>
      </c>
      <c r="H10" s="224" t="s">
        <v>52</v>
      </c>
      <c r="I10" s="225">
        <v>1750</v>
      </c>
      <c r="J10" s="226">
        <v>43556</v>
      </c>
      <c r="K10" s="226">
        <v>43921</v>
      </c>
      <c r="L10" s="227">
        <v>12</v>
      </c>
    </row>
    <row r="11" spans="1:12" x14ac:dyDescent="0.3">
      <c r="A11" s="188"/>
      <c r="B11" s="188"/>
      <c r="C11" s="188"/>
      <c r="E11" s="224">
        <f t="shared" si="0"/>
        <v>10</v>
      </c>
      <c r="F11" s="224" t="s">
        <v>262</v>
      </c>
      <c r="G11" s="224">
        <v>900</v>
      </c>
      <c r="H11" s="224" t="s">
        <v>53</v>
      </c>
      <c r="I11" s="225">
        <v>2100</v>
      </c>
      <c r="J11" s="226">
        <v>43525</v>
      </c>
      <c r="K11" s="226">
        <v>43890</v>
      </c>
      <c r="L11" s="227">
        <v>11</v>
      </c>
    </row>
    <row r="12" spans="1:12" ht="33" x14ac:dyDescent="0.3">
      <c r="A12" s="182" t="s">
        <v>33</v>
      </c>
      <c r="B12" s="183" t="s">
        <v>34</v>
      </c>
      <c r="C12" s="184" t="s">
        <v>35</v>
      </c>
      <c r="E12" s="224">
        <f t="shared" si="0"/>
        <v>11</v>
      </c>
      <c r="F12" s="224" t="s">
        <v>263</v>
      </c>
      <c r="G12" s="224">
        <v>900</v>
      </c>
      <c r="H12" s="224" t="s">
        <v>53</v>
      </c>
      <c r="I12" s="225">
        <v>2300</v>
      </c>
      <c r="J12" s="226">
        <v>43922</v>
      </c>
      <c r="K12" s="226">
        <v>44286</v>
      </c>
      <c r="L12" s="227">
        <v>13</v>
      </c>
    </row>
    <row r="13" spans="1:12" x14ac:dyDescent="0.3">
      <c r="A13" s="185" t="s">
        <v>59</v>
      </c>
      <c r="B13" s="189" t="s">
        <v>66</v>
      </c>
      <c r="C13" s="190">
        <f>COUNTIF(H2:H34,"3BR - 2BA")</f>
        <v>5</v>
      </c>
      <c r="E13" s="224">
        <f t="shared" si="0"/>
        <v>12</v>
      </c>
      <c r="F13" s="224" t="s">
        <v>264</v>
      </c>
      <c r="G13" s="224">
        <v>900</v>
      </c>
      <c r="H13" s="224" t="s">
        <v>53</v>
      </c>
      <c r="I13" s="225">
        <v>2300</v>
      </c>
      <c r="J13" s="226">
        <v>43647</v>
      </c>
      <c r="K13" s="226">
        <v>44012</v>
      </c>
      <c r="L13" s="227">
        <v>14</v>
      </c>
    </row>
    <row r="14" spans="1:12" ht="33" x14ac:dyDescent="0.3">
      <c r="A14" s="185" t="s">
        <v>60</v>
      </c>
      <c r="B14" s="189" t="s">
        <v>239</v>
      </c>
      <c r="C14" s="190">
        <f>COUNTIFS(H2:H34,"1BR - 1BA",I2:I34,"&gt;1840",L2:L34,"&gt;=12")</f>
        <v>3</v>
      </c>
      <c r="E14" s="224">
        <f t="shared" si="0"/>
        <v>13</v>
      </c>
      <c r="F14" s="224" t="s">
        <v>265</v>
      </c>
      <c r="G14" s="224">
        <v>900</v>
      </c>
      <c r="H14" s="224" t="s">
        <v>53</v>
      </c>
      <c r="I14" s="225">
        <v>2300</v>
      </c>
      <c r="J14" s="226">
        <v>44075</v>
      </c>
      <c r="K14" s="226">
        <v>44439</v>
      </c>
      <c r="L14" s="227">
        <v>11</v>
      </c>
    </row>
    <row r="15" spans="1:12" x14ac:dyDescent="0.3">
      <c r="A15" s="188"/>
      <c r="B15" s="188"/>
      <c r="C15" s="188"/>
      <c r="E15" s="224">
        <f t="shared" si="0"/>
        <v>14</v>
      </c>
      <c r="F15" s="224" t="s">
        <v>266</v>
      </c>
      <c r="G15" s="224">
        <v>900</v>
      </c>
      <c r="H15" s="224" t="s">
        <v>53</v>
      </c>
      <c r="I15" s="225">
        <v>2200</v>
      </c>
      <c r="J15" s="226">
        <v>43800</v>
      </c>
      <c r="K15" s="226">
        <v>44165</v>
      </c>
      <c r="L15" s="227">
        <v>15</v>
      </c>
    </row>
    <row r="16" spans="1:12" ht="33" x14ac:dyDescent="0.3">
      <c r="A16" s="182" t="s">
        <v>33</v>
      </c>
      <c r="B16" s="183" t="s">
        <v>34</v>
      </c>
      <c r="C16" s="184" t="s">
        <v>35</v>
      </c>
      <c r="E16" s="224">
        <f t="shared" si="0"/>
        <v>15</v>
      </c>
      <c r="F16" s="224" t="s">
        <v>267</v>
      </c>
      <c r="G16" s="224">
        <v>900</v>
      </c>
      <c r="H16" s="224" t="s">
        <v>53</v>
      </c>
      <c r="I16" s="225">
        <v>2300</v>
      </c>
      <c r="J16" s="226">
        <v>44013</v>
      </c>
      <c r="K16" s="226">
        <v>44377</v>
      </c>
      <c r="L16" s="227">
        <v>13</v>
      </c>
    </row>
    <row r="17" spans="1:12" x14ac:dyDescent="0.3">
      <c r="A17" s="185" t="s">
        <v>61</v>
      </c>
      <c r="B17" s="189" t="s">
        <v>240</v>
      </c>
      <c r="C17" s="190">
        <f>AVERAGEIF(H2:H34,"2BR - 1BA",L2:L34)</f>
        <v>12.615384615384615</v>
      </c>
      <c r="E17" s="224">
        <f t="shared" si="0"/>
        <v>16</v>
      </c>
      <c r="F17" s="224" t="s">
        <v>268</v>
      </c>
      <c r="G17" s="224">
        <v>900</v>
      </c>
      <c r="H17" s="224" t="s">
        <v>53</v>
      </c>
      <c r="I17" s="225">
        <v>2225</v>
      </c>
      <c r="J17" s="226">
        <v>43525</v>
      </c>
      <c r="K17" s="226">
        <v>43890</v>
      </c>
      <c r="L17" s="227">
        <v>13</v>
      </c>
    </row>
    <row r="18" spans="1:12" ht="33" x14ac:dyDescent="0.3">
      <c r="A18" s="185" t="s">
        <v>62</v>
      </c>
      <c r="B18" s="189" t="s">
        <v>402</v>
      </c>
      <c r="C18" s="193">
        <f>AVERAGEIFS(I2:I34,H2:H34,"2BR - 1BA",L2:L34,"&gt;11")</f>
        <v>2290.625</v>
      </c>
      <c r="E18" s="224">
        <f t="shared" si="0"/>
        <v>17</v>
      </c>
      <c r="F18" s="224" t="s">
        <v>269</v>
      </c>
      <c r="G18" s="224">
        <v>900</v>
      </c>
      <c r="H18" s="224" t="s">
        <v>53</v>
      </c>
      <c r="I18" s="225">
        <v>2300</v>
      </c>
      <c r="J18" s="226">
        <v>43922</v>
      </c>
      <c r="K18" s="226">
        <v>44286</v>
      </c>
      <c r="L18" s="227">
        <v>15</v>
      </c>
    </row>
    <row r="19" spans="1:12" x14ac:dyDescent="0.3">
      <c r="E19" s="224">
        <f t="shared" si="0"/>
        <v>18</v>
      </c>
      <c r="F19" s="224" t="s">
        <v>270</v>
      </c>
      <c r="G19" s="224">
        <v>900</v>
      </c>
      <c r="H19" s="224" t="s">
        <v>53</v>
      </c>
      <c r="I19" s="225">
        <v>2300</v>
      </c>
      <c r="J19" s="226">
        <v>44136</v>
      </c>
      <c r="K19" s="226">
        <v>44500</v>
      </c>
      <c r="L19" s="227">
        <v>10</v>
      </c>
    </row>
    <row r="20" spans="1:12" x14ac:dyDescent="0.3">
      <c r="E20" s="224">
        <f t="shared" si="0"/>
        <v>19</v>
      </c>
      <c r="F20" s="224" t="s">
        <v>271</v>
      </c>
      <c r="G20" s="224">
        <v>900</v>
      </c>
      <c r="H20" s="224" t="s">
        <v>53</v>
      </c>
      <c r="I20" s="225">
        <v>2400</v>
      </c>
      <c r="J20" s="226">
        <v>43862</v>
      </c>
      <c r="K20" s="226">
        <v>44227</v>
      </c>
      <c r="L20" s="227">
        <v>13</v>
      </c>
    </row>
    <row r="21" spans="1:12" x14ac:dyDescent="0.3">
      <c r="E21" s="224">
        <f t="shared" si="0"/>
        <v>20</v>
      </c>
      <c r="F21" s="224" t="s">
        <v>272</v>
      </c>
      <c r="G21" s="224">
        <v>900</v>
      </c>
      <c r="H21" s="224" t="s">
        <v>53</v>
      </c>
      <c r="I21" s="225">
        <v>2185</v>
      </c>
      <c r="J21" s="226">
        <v>43952</v>
      </c>
      <c r="K21" s="226">
        <v>44316</v>
      </c>
      <c r="L21" s="227">
        <v>10</v>
      </c>
    </row>
    <row r="22" spans="1:12" x14ac:dyDescent="0.3">
      <c r="E22" s="224">
        <f t="shared" si="0"/>
        <v>21</v>
      </c>
      <c r="F22" s="224" t="s">
        <v>273</v>
      </c>
      <c r="G22" s="224">
        <v>900</v>
      </c>
      <c r="H22" s="224" t="s">
        <v>53</v>
      </c>
      <c r="I22" s="225">
        <v>2300</v>
      </c>
      <c r="J22" s="226">
        <v>44197</v>
      </c>
      <c r="K22" s="226">
        <v>44561</v>
      </c>
      <c r="L22" s="227">
        <v>11</v>
      </c>
    </row>
    <row r="23" spans="1:12" x14ac:dyDescent="0.3">
      <c r="E23" s="224">
        <f t="shared" si="0"/>
        <v>22</v>
      </c>
      <c r="F23" s="224" t="s">
        <v>274</v>
      </c>
      <c r="G23" s="224">
        <v>900</v>
      </c>
      <c r="H23" s="224" t="s">
        <v>53</v>
      </c>
      <c r="I23" s="225">
        <v>2300</v>
      </c>
      <c r="J23" s="226">
        <v>43617</v>
      </c>
      <c r="K23" s="226">
        <v>43982</v>
      </c>
      <c r="L23" s="227">
        <v>15</v>
      </c>
    </row>
    <row r="24" spans="1:12" x14ac:dyDescent="0.3">
      <c r="A24" s="7"/>
      <c r="E24" s="224">
        <f t="shared" si="0"/>
        <v>23</v>
      </c>
      <c r="F24" s="224" t="s">
        <v>275</v>
      </c>
      <c r="G24" s="224">
        <v>1000</v>
      </c>
      <c r="H24" s="224" t="s">
        <v>54</v>
      </c>
      <c r="I24" s="225">
        <v>2580</v>
      </c>
      <c r="J24" s="226">
        <v>43586</v>
      </c>
      <c r="K24" s="226">
        <v>43951</v>
      </c>
      <c r="L24" s="227">
        <v>9</v>
      </c>
    </row>
    <row r="25" spans="1:12" x14ac:dyDescent="0.3">
      <c r="E25" s="224">
        <f t="shared" si="0"/>
        <v>24</v>
      </c>
      <c r="F25" s="224" t="s">
        <v>48</v>
      </c>
      <c r="G25" s="224">
        <v>1000</v>
      </c>
      <c r="H25" s="224" t="s">
        <v>54</v>
      </c>
      <c r="I25" s="225">
        <v>2700</v>
      </c>
      <c r="J25" s="226">
        <v>43617</v>
      </c>
      <c r="K25" s="226">
        <v>43982</v>
      </c>
      <c r="L25" s="227">
        <v>14</v>
      </c>
    </row>
    <row r="26" spans="1:12" x14ac:dyDescent="0.3">
      <c r="E26" s="224">
        <f t="shared" si="0"/>
        <v>25</v>
      </c>
      <c r="F26" s="224" t="s">
        <v>276</v>
      </c>
      <c r="G26" s="224">
        <v>1000</v>
      </c>
      <c r="H26" s="224" t="s">
        <v>54</v>
      </c>
      <c r="I26" s="225">
        <v>2600</v>
      </c>
      <c r="J26" s="226">
        <v>43556</v>
      </c>
      <c r="K26" s="226">
        <v>43921</v>
      </c>
      <c r="L26" s="227">
        <v>9</v>
      </c>
    </row>
    <row r="27" spans="1:12" x14ac:dyDescent="0.3">
      <c r="A27" s="7"/>
      <c r="E27" s="224">
        <f t="shared" si="0"/>
        <v>26</v>
      </c>
      <c r="F27" s="224" t="s">
        <v>47</v>
      </c>
      <c r="G27" s="224">
        <v>1000</v>
      </c>
      <c r="H27" s="224" t="s">
        <v>54</v>
      </c>
      <c r="I27" s="225">
        <v>2650</v>
      </c>
      <c r="J27" s="226">
        <v>44075</v>
      </c>
      <c r="K27" s="226">
        <v>44439</v>
      </c>
      <c r="L27" s="227">
        <v>14</v>
      </c>
    </row>
    <row r="28" spans="1:12" x14ac:dyDescent="0.3">
      <c r="E28" s="224">
        <f t="shared" si="0"/>
        <v>27</v>
      </c>
      <c r="F28" s="224" t="s">
        <v>277</v>
      </c>
      <c r="G28" s="224">
        <v>1000</v>
      </c>
      <c r="H28" s="224" t="s">
        <v>54</v>
      </c>
      <c r="I28" s="225">
        <v>2590</v>
      </c>
      <c r="J28" s="226">
        <v>43891</v>
      </c>
      <c r="K28" s="226">
        <v>44255</v>
      </c>
      <c r="L28" s="227">
        <v>14</v>
      </c>
    </row>
    <row r="29" spans="1:12" x14ac:dyDescent="0.3">
      <c r="E29" s="224">
        <f t="shared" si="0"/>
        <v>28</v>
      </c>
      <c r="F29" s="224" t="s">
        <v>278</v>
      </c>
      <c r="G29" s="224">
        <v>1000</v>
      </c>
      <c r="H29" s="224" t="s">
        <v>54</v>
      </c>
      <c r="I29" s="225">
        <v>2575</v>
      </c>
      <c r="J29" s="226">
        <v>43647</v>
      </c>
      <c r="K29" s="226">
        <v>44012</v>
      </c>
      <c r="L29" s="227">
        <v>14</v>
      </c>
    </row>
    <row r="30" spans="1:12" x14ac:dyDescent="0.3">
      <c r="E30" s="224">
        <f t="shared" si="0"/>
        <v>29</v>
      </c>
      <c r="F30" s="224" t="s">
        <v>46</v>
      </c>
      <c r="G30" s="224">
        <v>1400</v>
      </c>
      <c r="H30" s="224" t="s">
        <v>55</v>
      </c>
      <c r="I30" s="225">
        <v>2550</v>
      </c>
      <c r="J30" s="226">
        <v>43709</v>
      </c>
      <c r="K30" s="226">
        <v>44074</v>
      </c>
      <c r="L30" s="227">
        <v>11</v>
      </c>
    </row>
    <row r="31" spans="1:12" x14ac:dyDescent="0.3">
      <c r="E31" s="224">
        <f t="shared" si="0"/>
        <v>30</v>
      </c>
      <c r="F31" s="224" t="s">
        <v>281</v>
      </c>
      <c r="G31" s="224">
        <v>1400</v>
      </c>
      <c r="H31" s="224" t="s">
        <v>55</v>
      </c>
      <c r="I31" s="225">
        <v>2495</v>
      </c>
      <c r="J31" s="226">
        <v>43891</v>
      </c>
      <c r="K31" s="226">
        <v>44255</v>
      </c>
      <c r="L31" s="227">
        <v>14</v>
      </c>
    </row>
    <row r="32" spans="1:12" x14ac:dyDescent="0.3">
      <c r="E32" s="224">
        <f t="shared" si="0"/>
        <v>31</v>
      </c>
      <c r="F32" s="224" t="s">
        <v>279</v>
      </c>
      <c r="G32" s="224">
        <v>1400</v>
      </c>
      <c r="H32" s="224" t="s">
        <v>55</v>
      </c>
      <c r="I32" s="225">
        <v>2800</v>
      </c>
      <c r="J32" s="226">
        <v>43800</v>
      </c>
      <c r="K32" s="226">
        <v>44165</v>
      </c>
      <c r="L32" s="227">
        <v>15</v>
      </c>
    </row>
    <row r="33" spans="5:12" x14ac:dyDescent="0.3">
      <c r="E33" s="224">
        <f t="shared" si="0"/>
        <v>32</v>
      </c>
      <c r="F33" s="224" t="s">
        <v>280</v>
      </c>
      <c r="G33" s="224">
        <v>1400</v>
      </c>
      <c r="H33" s="224" t="s">
        <v>55</v>
      </c>
      <c r="I33" s="225">
        <v>2700</v>
      </c>
      <c r="J33" s="226">
        <v>43647</v>
      </c>
      <c r="K33" s="226">
        <v>44012</v>
      </c>
      <c r="L33" s="227">
        <v>11</v>
      </c>
    </row>
    <row r="34" spans="5:12" x14ac:dyDescent="0.3">
      <c r="E34" s="224">
        <f t="shared" si="0"/>
        <v>33</v>
      </c>
      <c r="F34" s="224" t="s">
        <v>282</v>
      </c>
      <c r="G34" s="224">
        <v>1400</v>
      </c>
      <c r="H34" s="224" t="s">
        <v>55</v>
      </c>
      <c r="I34" s="225">
        <v>2650</v>
      </c>
      <c r="J34" s="226">
        <v>44105</v>
      </c>
      <c r="K34" s="226">
        <v>44469</v>
      </c>
      <c r="L34" s="227">
        <v>12</v>
      </c>
    </row>
  </sheetData>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zoomScaleNormal="100" zoomScalePageLayoutView="125" workbookViewId="0">
      <selection activeCell="B7" sqref="B7"/>
    </sheetView>
  </sheetViews>
  <sheetFormatPr defaultColWidth="10.875" defaultRowHeight="16.5" x14ac:dyDescent="0.3"/>
  <cols>
    <col min="1" max="1" width="14.5" style="1" bestFit="1" customWidth="1"/>
    <col min="2" max="2" width="53.75" style="1" bestFit="1" customWidth="1"/>
    <col min="3" max="4" width="10.875" style="1"/>
    <col min="5" max="5" width="7.75" style="1" bestFit="1" customWidth="1"/>
    <col min="6" max="9" width="8.375" style="1" bestFit="1" customWidth="1"/>
    <col min="10" max="10" width="8" style="1" bestFit="1" customWidth="1"/>
    <col min="11" max="11" width="8.375" style="1" bestFit="1" customWidth="1"/>
    <col min="12" max="12" width="8" style="1" bestFit="1" customWidth="1"/>
    <col min="13" max="13" width="8.375" style="1" bestFit="1" customWidth="1"/>
    <col min="14" max="16384" width="10.875" style="1"/>
  </cols>
  <sheetData>
    <row r="1" spans="1:13" x14ac:dyDescent="0.3">
      <c r="A1" s="12" t="s">
        <v>33</v>
      </c>
      <c r="B1" s="13" t="s">
        <v>34</v>
      </c>
      <c r="C1" s="14" t="s">
        <v>35</v>
      </c>
      <c r="D1" s="92"/>
      <c r="E1" s="40" t="s">
        <v>241</v>
      </c>
      <c r="F1" s="194"/>
      <c r="G1" s="194"/>
      <c r="H1" s="194"/>
      <c r="I1" s="194"/>
      <c r="J1" s="194"/>
      <c r="K1" s="194"/>
      <c r="L1" s="194"/>
      <c r="M1" s="195"/>
    </row>
    <row r="2" spans="1:13" x14ac:dyDescent="0.3">
      <c r="A2" s="25" t="s">
        <v>37</v>
      </c>
      <c r="B2" s="181" t="s">
        <v>292</v>
      </c>
      <c r="C2" s="384">
        <f>VLOOKUP("NFL",E3:M8,4,0)</f>
        <v>25.461600000000001</v>
      </c>
      <c r="D2" s="93"/>
      <c r="E2" s="91" t="s">
        <v>39</v>
      </c>
      <c r="F2" s="88">
        <v>2021</v>
      </c>
      <c r="G2" s="89">
        <f>F2+1</f>
        <v>2022</v>
      </c>
      <c r="H2" s="89">
        <f t="shared" ref="H2:M2" si="0">G2+1</f>
        <v>2023</v>
      </c>
      <c r="I2" s="89">
        <f t="shared" si="0"/>
        <v>2024</v>
      </c>
      <c r="J2" s="89">
        <f t="shared" si="0"/>
        <v>2025</v>
      </c>
      <c r="K2" s="89">
        <f t="shared" si="0"/>
        <v>2026</v>
      </c>
      <c r="L2" s="89">
        <f t="shared" si="0"/>
        <v>2027</v>
      </c>
      <c r="M2" s="90">
        <f t="shared" si="0"/>
        <v>2028</v>
      </c>
    </row>
    <row r="3" spans="1:13" x14ac:dyDescent="0.3">
      <c r="A3" s="180" t="s">
        <v>38</v>
      </c>
      <c r="B3" s="179" t="s">
        <v>293</v>
      </c>
      <c r="C3" s="385">
        <f>HLOOKUP(2026,F2:M8,7,0)</f>
        <v>45</v>
      </c>
      <c r="D3" s="93"/>
      <c r="E3" s="2" t="s">
        <v>286</v>
      </c>
      <c r="F3" s="8">
        <v>30</v>
      </c>
      <c r="G3" s="8">
        <v>33</v>
      </c>
      <c r="H3" s="8">
        <v>33</v>
      </c>
      <c r="I3" s="8">
        <v>33</v>
      </c>
      <c r="J3" s="8">
        <v>33</v>
      </c>
      <c r="K3" s="8">
        <v>33</v>
      </c>
      <c r="L3" s="8">
        <v>36.300000000000004</v>
      </c>
      <c r="M3" s="9">
        <v>36.300000000000004</v>
      </c>
    </row>
    <row r="4" spans="1:13" x14ac:dyDescent="0.3">
      <c r="A4" s="26" t="s">
        <v>222</v>
      </c>
      <c r="B4" s="6" t="s">
        <v>406</v>
      </c>
      <c r="C4" s="87">
        <f>INDEX(F3:M8,MATCH(A7,E3:E8),MATCH(B7,F2:M2))</f>
        <v>30</v>
      </c>
      <c r="D4" s="94"/>
      <c r="E4" s="2" t="s">
        <v>287</v>
      </c>
      <c r="F4" s="8">
        <v>24</v>
      </c>
      <c r="G4" s="8">
        <v>24.72</v>
      </c>
      <c r="H4" s="8">
        <v>25.461600000000001</v>
      </c>
      <c r="I4" s="8">
        <v>26.225448</v>
      </c>
      <c r="J4" s="8">
        <v>27.012211440000002</v>
      </c>
      <c r="K4" s="8">
        <v>27.822577783200003</v>
      </c>
      <c r="L4" s="8">
        <v>28.657255116696003</v>
      </c>
      <c r="M4" s="9">
        <v>29.516972770196883</v>
      </c>
    </row>
    <row r="5" spans="1:13" x14ac:dyDescent="0.3">
      <c r="D5" s="94"/>
      <c r="E5" s="2" t="s">
        <v>288</v>
      </c>
      <c r="F5" s="8">
        <v>0</v>
      </c>
      <c r="G5" s="8">
        <v>28</v>
      </c>
      <c r="H5" s="8">
        <v>28</v>
      </c>
      <c r="I5" s="8">
        <v>28</v>
      </c>
      <c r="J5" s="8">
        <v>28</v>
      </c>
      <c r="K5" s="8">
        <v>28</v>
      </c>
      <c r="L5" s="8">
        <v>28</v>
      </c>
      <c r="M5" s="9">
        <v>28</v>
      </c>
    </row>
    <row r="6" spans="1:13" x14ac:dyDescent="0.3">
      <c r="A6" s="13" t="s">
        <v>39</v>
      </c>
      <c r="B6" s="14" t="s">
        <v>40</v>
      </c>
      <c r="E6" s="2" t="s">
        <v>289</v>
      </c>
      <c r="F6" s="8">
        <v>30</v>
      </c>
      <c r="G6" s="8">
        <v>30.749999999999996</v>
      </c>
      <c r="H6" s="8">
        <v>31.518749999999994</v>
      </c>
      <c r="I6" s="8">
        <v>32.306718749999987</v>
      </c>
      <c r="J6" s="8">
        <v>33.114386718749984</v>
      </c>
      <c r="K6" s="8">
        <v>33.942246386718729</v>
      </c>
      <c r="L6" s="8">
        <v>34.790802546386693</v>
      </c>
      <c r="M6" s="9">
        <v>35.660572610046358</v>
      </c>
    </row>
    <row r="7" spans="1:13" x14ac:dyDescent="0.3">
      <c r="A7" s="95" t="s">
        <v>286</v>
      </c>
      <c r="B7" s="96">
        <v>2021</v>
      </c>
      <c r="E7" s="2" t="s">
        <v>290</v>
      </c>
      <c r="F7" s="8">
        <v>20</v>
      </c>
      <c r="G7" s="8">
        <v>24</v>
      </c>
      <c r="H7" s="8">
        <v>28</v>
      </c>
      <c r="I7" s="8">
        <v>28.84</v>
      </c>
      <c r="J7" s="8">
        <v>29.705200000000001</v>
      </c>
      <c r="K7" s="8">
        <v>30.596356000000004</v>
      </c>
      <c r="L7" s="8">
        <v>31.514246680000003</v>
      </c>
      <c r="M7" s="9">
        <v>32.459674080400006</v>
      </c>
    </row>
    <row r="8" spans="1:13" x14ac:dyDescent="0.3">
      <c r="E8" s="3" t="s">
        <v>291</v>
      </c>
      <c r="F8" s="10">
        <v>23</v>
      </c>
      <c r="G8" s="10">
        <v>23</v>
      </c>
      <c r="H8" s="10">
        <v>23</v>
      </c>
      <c r="I8" s="10">
        <v>23</v>
      </c>
      <c r="J8" s="10">
        <v>23</v>
      </c>
      <c r="K8" s="10">
        <v>45</v>
      </c>
      <c r="L8" s="10">
        <v>45</v>
      </c>
      <c r="M8" s="11">
        <v>45</v>
      </c>
    </row>
  </sheetData>
  <dataValidations count="2">
    <dataValidation type="list" allowBlank="1" showInputMessage="1" showErrorMessage="1" sqref="B7">
      <formula1>$F$2:$M$2</formula1>
    </dataValidation>
    <dataValidation type="list" allowBlank="1" showInputMessage="1" showErrorMessage="1" sqref="A7">
      <formula1>$E$3:$E$8</formula1>
    </dataValidation>
  </dataValidation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zoomScaleNormal="100" zoomScalePageLayoutView="125" workbookViewId="0">
      <selection activeCell="C24" sqref="C24"/>
    </sheetView>
  </sheetViews>
  <sheetFormatPr defaultColWidth="10.875" defaultRowHeight="16.5" x14ac:dyDescent="0.3"/>
  <cols>
    <col min="1" max="1" width="14.5" style="1" bestFit="1" customWidth="1"/>
    <col min="2" max="2" width="53.75" style="1" bestFit="1" customWidth="1"/>
    <col min="3" max="4" width="10.875" style="1"/>
    <col min="5" max="5" width="7.75" style="1" bestFit="1" customWidth="1"/>
    <col min="6" max="9" width="8.375" style="1" bestFit="1" customWidth="1"/>
    <col min="10" max="10" width="8" style="1" bestFit="1" customWidth="1"/>
    <col min="11" max="11" width="8.375" style="1" bestFit="1" customWidth="1"/>
    <col min="12" max="12" width="8" style="1" bestFit="1" customWidth="1"/>
    <col min="13" max="13" width="8.375" style="1" bestFit="1" customWidth="1"/>
    <col min="14" max="16384" width="10.875" style="1"/>
  </cols>
  <sheetData>
    <row r="1" spans="1:13" x14ac:dyDescent="0.3">
      <c r="A1" s="12" t="s">
        <v>33</v>
      </c>
      <c r="B1" s="13" t="s">
        <v>34</v>
      </c>
      <c r="C1" s="14" t="s">
        <v>35</v>
      </c>
      <c r="D1" s="92"/>
      <c r="E1" s="40" t="s">
        <v>241</v>
      </c>
      <c r="F1" s="194"/>
      <c r="G1" s="194"/>
      <c r="H1" s="194"/>
      <c r="I1" s="194"/>
      <c r="J1" s="194"/>
      <c r="K1" s="194"/>
      <c r="L1" s="194"/>
      <c r="M1" s="195"/>
    </row>
    <row r="2" spans="1:13" x14ac:dyDescent="0.3">
      <c r="A2" s="25" t="s">
        <v>37</v>
      </c>
      <c r="B2" s="181" t="s">
        <v>292</v>
      </c>
      <c r="C2" s="384">
        <f>VLOOKUP("NFL",E3:M8,4,0)</f>
        <v>25.461600000000001</v>
      </c>
      <c r="D2" s="93"/>
      <c r="E2" s="91" t="s">
        <v>39</v>
      </c>
      <c r="F2" s="88">
        <v>2021</v>
      </c>
      <c r="G2" s="89">
        <f>F2+1</f>
        <v>2022</v>
      </c>
      <c r="H2" s="89">
        <f t="shared" ref="H2:M2" si="0">G2+1</f>
        <v>2023</v>
      </c>
      <c r="I2" s="89">
        <f t="shared" si="0"/>
        <v>2024</v>
      </c>
      <c r="J2" s="89">
        <f t="shared" si="0"/>
        <v>2025</v>
      </c>
      <c r="K2" s="89">
        <f t="shared" si="0"/>
        <v>2026</v>
      </c>
      <c r="L2" s="89">
        <f t="shared" si="0"/>
        <v>2027</v>
      </c>
      <c r="M2" s="90">
        <f t="shared" si="0"/>
        <v>2028</v>
      </c>
    </row>
    <row r="3" spans="1:13" x14ac:dyDescent="0.3">
      <c r="A3" s="180" t="s">
        <v>38</v>
      </c>
      <c r="B3" s="179" t="s">
        <v>293</v>
      </c>
      <c r="C3" s="385">
        <f>HLOOKUP(2026,F2:M8,7,0)</f>
        <v>45</v>
      </c>
      <c r="D3" s="93"/>
      <c r="E3" s="2" t="s">
        <v>286</v>
      </c>
      <c r="F3" s="8">
        <v>30</v>
      </c>
      <c r="G3" s="8">
        <v>33</v>
      </c>
      <c r="H3" s="8">
        <v>33</v>
      </c>
      <c r="I3" s="8">
        <v>33</v>
      </c>
      <c r="J3" s="8">
        <v>33</v>
      </c>
      <c r="K3" s="8">
        <v>33</v>
      </c>
      <c r="L3" s="8">
        <v>36.300000000000004</v>
      </c>
      <c r="M3" s="9">
        <v>36.300000000000004</v>
      </c>
    </row>
    <row r="4" spans="1:13" x14ac:dyDescent="0.3">
      <c r="A4" s="26" t="s">
        <v>222</v>
      </c>
      <c r="B4" s="6" t="s">
        <v>406</v>
      </c>
      <c r="C4" s="87">
        <f>INDEX(F3:M8,MATCH(A7,E3:E8,0),MATCH(B7,F2:M2,0))</f>
        <v>31.514246680000003</v>
      </c>
      <c r="D4" s="94"/>
      <c r="E4" s="2" t="s">
        <v>287</v>
      </c>
      <c r="F4" s="8">
        <v>24</v>
      </c>
      <c r="G4" s="8">
        <v>24.72</v>
      </c>
      <c r="H4" s="8">
        <v>25.461600000000001</v>
      </c>
      <c r="I4" s="8">
        <v>26.225448</v>
      </c>
      <c r="J4" s="8">
        <v>27.012211440000002</v>
      </c>
      <c r="K4" s="8">
        <v>27.822577783200003</v>
      </c>
      <c r="L4" s="8">
        <v>28.657255116696003</v>
      </c>
      <c r="M4" s="9">
        <v>29.516972770196883</v>
      </c>
    </row>
    <row r="5" spans="1:13" x14ac:dyDescent="0.3">
      <c r="D5" s="94"/>
      <c r="E5" s="2" t="s">
        <v>288</v>
      </c>
      <c r="F5" s="8">
        <v>0</v>
      </c>
      <c r="G5" s="8">
        <v>28</v>
      </c>
      <c r="H5" s="8">
        <v>28</v>
      </c>
      <c r="I5" s="8">
        <v>28</v>
      </c>
      <c r="J5" s="8">
        <v>28</v>
      </c>
      <c r="K5" s="8">
        <v>28</v>
      </c>
      <c r="L5" s="8">
        <v>28</v>
      </c>
      <c r="M5" s="9">
        <v>28</v>
      </c>
    </row>
    <row r="6" spans="1:13" x14ac:dyDescent="0.3">
      <c r="A6" s="13" t="s">
        <v>39</v>
      </c>
      <c r="B6" s="14" t="s">
        <v>40</v>
      </c>
      <c r="E6" s="2" t="s">
        <v>289</v>
      </c>
      <c r="F6" s="8">
        <v>30</v>
      </c>
      <c r="G6" s="8">
        <v>30.749999999999996</v>
      </c>
      <c r="H6" s="8">
        <v>31.518749999999994</v>
      </c>
      <c r="I6" s="8">
        <v>32.306718749999987</v>
      </c>
      <c r="J6" s="8">
        <v>33.114386718749984</v>
      </c>
      <c r="K6" s="8">
        <v>33.942246386718729</v>
      </c>
      <c r="L6" s="8">
        <v>34.790802546386693</v>
      </c>
      <c r="M6" s="9">
        <v>35.660572610046358</v>
      </c>
    </row>
    <row r="7" spans="1:13" x14ac:dyDescent="0.3">
      <c r="A7" s="95" t="s">
        <v>290</v>
      </c>
      <c r="B7" s="96">
        <v>2027</v>
      </c>
      <c r="E7" s="2" t="s">
        <v>290</v>
      </c>
      <c r="F7" s="8">
        <v>20</v>
      </c>
      <c r="G7" s="8">
        <v>24</v>
      </c>
      <c r="H7" s="8">
        <v>28</v>
      </c>
      <c r="I7" s="8">
        <v>28.84</v>
      </c>
      <c r="J7" s="8">
        <v>29.705200000000001</v>
      </c>
      <c r="K7" s="8">
        <v>30.596356000000004</v>
      </c>
      <c r="L7" s="8">
        <v>31.514246680000003</v>
      </c>
      <c r="M7" s="9">
        <v>32.459674080400006</v>
      </c>
    </row>
    <row r="8" spans="1:13" x14ac:dyDescent="0.3">
      <c r="E8" s="3" t="s">
        <v>291</v>
      </c>
      <c r="F8" s="10">
        <v>23</v>
      </c>
      <c r="G8" s="10">
        <v>23</v>
      </c>
      <c r="H8" s="10">
        <v>23</v>
      </c>
      <c r="I8" s="10">
        <v>23</v>
      </c>
      <c r="J8" s="10">
        <v>23</v>
      </c>
      <c r="K8" s="10">
        <v>45</v>
      </c>
      <c r="L8" s="10">
        <v>45</v>
      </c>
      <c r="M8" s="11">
        <v>45</v>
      </c>
    </row>
  </sheetData>
  <dataValidations count="2">
    <dataValidation type="list" allowBlank="1" showInputMessage="1" showErrorMessage="1" sqref="A7">
      <formula1>$E$3:$E$8</formula1>
    </dataValidation>
    <dataValidation type="list" allowBlank="1" showInputMessage="1" showErrorMessage="1" sqref="B7">
      <formula1>$F$2:$M$2</formula1>
    </dataValidation>
  </dataValidations>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topLeftCell="A10" zoomScale="120" zoomScaleNormal="120" workbookViewId="0">
      <selection activeCell="G32" sqref="G32"/>
    </sheetView>
  </sheetViews>
  <sheetFormatPr defaultColWidth="10.875" defaultRowHeight="13.5" x14ac:dyDescent="0.25"/>
  <cols>
    <col min="1" max="1" width="10.75" style="23" bestFit="1" customWidth="1"/>
    <col min="2" max="2" width="63.875" style="23" bestFit="1" customWidth="1"/>
    <col min="3" max="3" width="10.375" style="23" bestFit="1" customWidth="1"/>
    <col min="4" max="4" width="10.875" style="23"/>
    <col min="5" max="5" width="14.25" style="23" bestFit="1" customWidth="1"/>
    <col min="6" max="6" width="11.625" style="23" bestFit="1" customWidth="1"/>
    <col min="7" max="7" width="9.75" style="23" bestFit="1" customWidth="1"/>
    <col min="8" max="8" width="6.75" style="23" bestFit="1" customWidth="1"/>
    <col min="9" max="16384" width="10.875" style="23"/>
  </cols>
  <sheetData>
    <row r="1" spans="1:8" x14ac:dyDescent="0.25">
      <c r="A1" s="18" t="s">
        <v>33</v>
      </c>
      <c r="B1" s="17" t="s">
        <v>34</v>
      </c>
      <c r="C1" s="16" t="s">
        <v>35</v>
      </c>
      <c r="E1" s="97" t="s">
        <v>164</v>
      </c>
      <c r="F1" s="174" t="s">
        <v>51</v>
      </c>
      <c r="G1" s="174" t="s">
        <v>69</v>
      </c>
      <c r="H1" s="165" t="s">
        <v>68</v>
      </c>
    </row>
    <row r="2" spans="1:8" x14ac:dyDescent="0.25">
      <c r="A2" s="240" t="s">
        <v>67</v>
      </c>
      <c r="B2" s="228" t="s">
        <v>166</v>
      </c>
      <c r="C2" s="241">
        <f>SUMPRODUCT(E2:E8,H2:H8)/SUM(E2:E8)</f>
        <v>2138.2681564245809</v>
      </c>
      <c r="E2" s="200">
        <v>25</v>
      </c>
      <c r="F2" s="76" t="s">
        <v>165</v>
      </c>
      <c r="G2" s="229">
        <v>495</v>
      </c>
      <c r="H2" s="46">
        <v>1650</v>
      </c>
    </row>
    <row r="3" spans="1:8" x14ac:dyDescent="0.25">
      <c r="E3" s="200">
        <v>14</v>
      </c>
      <c r="F3" s="76" t="s">
        <v>165</v>
      </c>
      <c r="G3" s="229">
        <v>550</v>
      </c>
      <c r="H3" s="77">
        <v>1800</v>
      </c>
    </row>
    <row r="4" spans="1:8" x14ac:dyDescent="0.25">
      <c r="C4" s="69"/>
      <c r="E4" s="200">
        <v>1</v>
      </c>
      <c r="F4" s="76" t="s">
        <v>52</v>
      </c>
      <c r="G4" s="229">
        <v>700</v>
      </c>
      <c r="H4" s="77">
        <v>2000</v>
      </c>
    </row>
    <row r="5" spans="1:8" x14ac:dyDescent="0.25">
      <c r="E5" s="200">
        <v>80</v>
      </c>
      <c r="F5" s="76" t="s">
        <v>52</v>
      </c>
      <c r="G5" s="229">
        <v>780</v>
      </c>
      <c r="H5" s="77">
        <v>2110</v>
      </c>
    </row>
    <row r="6" spans="1:8" x14ac:dyDescent="0.25">
      <c r="E6" s="200">
        <v>44</v>
      </c>
      <c r="F6" s="76" t="s">
        <v>53</v>
      </c>
      <c r="G6" s="229">
        <v>890</v>
      </c>
      <c r="H6" s="77">
        <v>2400</v>
      </c>
    </row>
    <row r="7" spans="1:8" x14ac:dyDescent="0.25">
      <c r="E7" s="200">
        <v>12</v>
      </c>
      <c r="F7" s="76" t="s">
        <v>54</v>
      </c>
      <c r="G7" s="229">
        <v>985</v>
      </c>
      <c r="H7" s="77">
        <v>2600</v>
      </c>
    </row>
    <row r="8" spans="1:8" x14ac:dyDescent="0.25">
      <c r="E8" s="201">
        <v>3</v>
      </c>
      <c r="F8" s="230" t="s">
        <v>55</v>
      </c>
      <c r="G8" s="231">
        <v>1290</v>
      </c>
      <c r="H8" s="232">
        <v>2900</v>
      </c>
    </row>
    <row r="11" spans="1:8" x14ac:dyDescent="0.25">
      <c r="A11" s="18" t="s">
        <v>33</v>
      </c>
      <c r="B11" s="17" t="s">
        <v>34</v>
      </c>
      <c r="C11" s="16" t="s">
        <v>35</v>
      </c>
      <c r="E11" s="97" t="s">
        <v>40</v>
      </c>
      <c r="F11" s="165" t="s">
        <v>70</v>
      </c>
    </row>
    <row r="12" spans="1:8" x14ac:dyDescent="0.25">
      <c r="A12" s="240" t="s">
        <v>162</v>
      </c>
      <c r="B12" s="228" t="s">
        <v>404</v>
      </c>
      <c r="C12" s="242">
        <f>RATE(6,0,-F12,F18,0,)</f>
        <v>2.3567073118145602E-2</v>
      </c>
      <c r="E12" s="200">
        <v>2014</v>
      </c>
      <c r="F12" s="77">
        <v>200</v>
      </c>
    </row>
    <row r="13" spans="1:8" x14ac:dyDescent="0.25">
      <c r="E13" s="200">
        <v>2015</v>
      </c>
      <c r="F13" s="77">
        <v>204</v>
      </c>
      <c r="H13" s="170"/>
    </row>
    <row r="14" spans="1:8" x14ac:dyDescent="0.25">
      <c r="E14" s="200">
        <v>2016</v>
      </c>
      <c r="F14" s="77">
        <v>210</v>
      </c>
    </row>
    <row r="15" spans="1:8" x14ac:dyDescent="0.25">
      <c r="E15" s="200">
        <v>2017</v>
      </c>
      <c r="F15" s="77">
        <v>222</v>
      </c>
    </row>
    <row r="16" spans="1:8" x14ac:dyDescent="0.25">
      <c r="E16" s="200">
        <v>2018</v>
      </c>
      <c r="F16" s="77">
        <v>225</v>
      </c>
    </row>
    <row r="17" spans="1:7" x14ac:dyDescent="0.25">
      <c r="E17" s="200">
        <v>2019</v>
      </c>
      <c r="F17" s="77">
        <v>224</v>
      </c>
    </row>
    <row r="18" spans="1:7" x14ac:dyDescent="0.25">
      <c r="E18" s="201">
        <v>2020</v>
      </c>
      <c r="F18" s="232">
        <v>230</v>
      </c>
    </row>
    <row r="19" spans="1:7" x14ac:dyDescent="0.25">
      <c r="F19" s="233"/>
      <c r="G19" s="234"/>
    </row>
    <row r="21" spans="1:7" x14ac:dyDescent="0.25">
      <c r="A21" s="18" t="s">
        <v>33</v>
      </c>
      <c r="B21" s="17" t="s">
        <v>34</v>
      </c>
      <c r="C21" s="16" t="s">
        <v>35</v>
      </c>
      <c r="E21" s="97" t="s">
        <v>40</v>
      </c>
      <c r="F21" s="174" t="s">
        <v>168</v>
      </c>
      <c r="G21" s="165" t="s">
        <v>167</v>
      </c>
    </row>
    <row r="22" spans="1:7" x14ac:dyDescent="0.25">
      <c r="A22" s="240" t="s">
        <v>73</v>
      </c>
      <c r="B22" s="228" t="s">
        <v>314</v>
      </c>
      <c r="C22" s="243">
        <f>ROUND(F23*G23,-2)</f>
        <v>1197000</v>
      </c>
      <c r="E22" s="235">
        <v>2020</v>
      </c>
      <c r="F22" s="236">
        <v>20.02</v>
      </c>
      <c r="G22" s="178">
        <v>48029</v>
      </c>
    </row>
    <row r="23" spans="1:7" x14ac:dyDescent="0.25">
      <c r="A23" s="240" t="s">
        <v>71</v>
      </c>
      <c r="B23" s="228" t="s">
        <v>315</v>
      </c>
      <c r="C23" s="243">
        <f>ROUNDUP(F25*G25,-1)</f>
        <v>2239560</v>
      </c>
      <c r="E23" s="235">
        <v>2021</v>
      </c>
      <c r="F23" s="236">
        <v>21.26</v>
      </c>
      <c r="G23" s="178">
        <v>56301</v>
      </c>
    </row>
    <row r="24" spans="1:7" x14ac:dyDescent="0.25">
      <c r="A24" s="240" t="s">
        <v>72</v>
      </c>
      <c r="B24" s="228" t="s">
        <v>316</v>
      </c>
      <c r="C24" s="243">
        <f>ROUNDDOWN(F24*G24,-3)</f>
        <v>1675000</v>
      </c>
      <c r="E24" s="235">
        <v>2022</v>
      </c>
      <c r="F24" s="236">
        <v>22.31</v>
      </c>
      <c r="G24" s="178">
        <v>75122</v>
      </c>
    </row>
    <row r="25" spans="1:7" x14ac:dyDescent="0.25">
      <c r="E25" s="237">
        <v>2023</v>
      </c>
      <c r="F25" s="238">
        <v>23.44</v>
      </c>
      <c r="G25" s="239">
        <v>95544</v>
      </c>
    </row>
    <row r="27" spans="1:7" x14ac:dyDescent="0.25">
      <c r="A27" s="18" t="s">
        <v>33</v>
      </c>
      <c r="B27" s="17" t="s">
        <v>34</v>
      </c>
      <c r="C27" s="16" t="s">
        <v>35</v>
      </c>
      <c r="E27" s="164" t="s">
        <v>41</v>
      </c>
      <c r="F27" s="164" t="s">
        <v>43</v>
      </c>
      <c r="G27" s="164" t="s">
        <v>44</v>
      </c>
    </row>
    <row r="28" spans="1:7" x14ac:dyDescent="0.25">
      <c r="A28" s="240" t="s">
        <v>134</v>
      </c>
      <c r="B28" s="228" t="s">
        <v>309</v>
      </c>
      <c r="C28" s="244">
        <f>DATEDIF(F34,G34,"m")+1</f>
        <v>10</v>
      </c>
      <c r="E28" s="338" t="s">
        <v>299</v>
      </c>
      <c r="F28" s="339">
        <v>44136</v>
      </c>
      <c r="G28" s="339">
        <v>44469</v>
      </c>
    </row>
    <row r="29" spans="1:7" x14ac:dyDescent="0.25">
      <c r="A29" s="240" t="s">
        <v>310</v>
      </c>
      <c r="B29" s="228" t="s">
        <v>313</v>
      </c>
      <c r="C29" s="245">
        <f>YEARFRAC(F33,G33,)</f>
        <v>0.82499999999999996</v>
      </c>
      <c r="E29" s="338" t="s">
        <v>300</v>
      </c>
      <c r="F29" s="339">
        <v>43831</v>
      </c>
      <c r="G29" s="339">
        <v>44347</v>
      </c>
    </row>
    <row r="30" spans="1:7" ht="27" x14ac:dyDescent="0.25">
      <c r="A30" s="405" t="s">
        <v>311</v>
      </c>
      <c r="B30" s="404" t="s">
        <v>312</v>
      </c>
      <c r="C30" s="408">
        <f>EOMONTH(G32,-3)</f>
        <v>44377</v>
      </c>
      <c r="E30" s="406" t="s">
        <v>301</v>
      </c>
      <c r="F30" s="407">
        <v>43862</v>
      </c>
      <c r="G30" s="407">
        <v>44196</v>
      </c>
    </row>
    <row r="31" spans="1:7" x14ac:dyDescent="0.25">
      <c r="A31" s="146"/>
      <c r="B31" s="146"/>
      <c r="C31" s="247"/>
      <c r="E31" s="338" t="s">
        <v>302</v>
      </c>
      <c r="F31" s="339">
        <v>43891</v>
      </c>
      <c r="G31" s="339">
        <v>44347</v>
      </c>
    </row>
    <row r="32" spans="1:7" x14ac:dyDescent="0.25">
      <c r="E32" s="338" t="s">
        <v>303</v>
      </c>
      <c r="F32" s="339">
        <v>43922</v>
      </c>
      <c r="G32" s="339">
        <v>44469</v>
      </c>
    </row>
    <row r="33" spans="5:7" x14ac:dyDescent="0.25">
      <c r="E33" s="338" t="s">
        <v>304</v>
      </c>
      <c r="F33" s="339">
        <v>43952</v>
      </c>
      <c r="G33" s="339">
        <v>44255</v>
      </c>
    </row>
    <row r="34" spans="5:7" x14ac:dyDescent="0.25">
      <c r="E34" s="338" t="s">
        <v>305</v>
      </c>
      <c r="F34" s="339">
        <v>43983</v>
      </c>
      <c r="G34" s="339">
        <v>44286</v>
      </c>
    </row>
    <row r="35" spans="5:7" x14ac:dyDescent="0.25">
      <c r="E35" s="338" t="s">
        <v>306</v>
      </c>
      <c r="F35" s="339">
        <v>44013</v>
      </c>
      <c r="G35" s="339">
        <v>44561</v>
      </c>
    </row>
    <row r="36" spans="5:7" x14ac:dyDescent="0.25">
      <c r="E36" s="338" t="s">
        <v>307</v>
      </c>
      <c r="F36" s="339">
        <v>44044</v>
      </c>
      <c r="G36" s="339">
        <v>44469</v>
      </c>
    </row>
    <row r="37" spans="5:7" x14ac:dyDescent="0.25">
      <c r="E37" s="338" t="s">
        <v>308</v>
      </c>
      <c r="F37" s="339">
        <v>44075</v>
      </c>
      <c r="G37" s="339">
        <v>44377</v>
      </c>
    </row>
  </sheetData>
  <pageMargins left="0.75" right="0.75" top="1" bottom="1" header="0.5" footer="0.5"/>
  <pageSetup scale="98" orientation="portrait" horizontalDpi="4294967292" verticalDpi="4294967292"/>
  <colBreaks count="2" manualBreakCount="2">
    <brk id="2" max="1048575" man="1"/>
    <brk id="8"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zoomScale="120" zoomScaleNormal="120" workbookViewId="0"/>
  </sheetViews>
  <sheetFormatPr defaultColWidth="10.875" defaultRowHeight="13.5" x14ac:dyDescent="0.25"/>
  <cols>
    <col min="1" max="1" width="10.75" style="23" bestFit="1" customWidth="1"/>
    <col min="2" max="2" width="63.875" style="23" bestFit="1" customWidth="1"/>
    <col min="3" max="3" width="9" style="23" bestFit="1" customWidth="1"/>
    <col min="4" max="4" width="10.875" style="23"/>
    <col min="5" max="5" width="14.25" style="23" bestFit="1" customWidth="1"/>
    <col min="6" max="6" width="11.625" style="23" bestFit="1" customWidth="1"/>
    <col min="7" max="7" width="9.75" style="23" bestFit="1" customWidth="1"/>
    <col min="8" max="8" width="6.25" style="23" bestFit="1" customWidth="1"/>
    <col min="9" max="16384" width="10.875" style="23"/>
  </cols>
  <sheetData>
    <row r="1" spans="1:8" x14ac:dyDescent="0.25">
      <c r="A1" s="18" t="s">
        <v>33</v>
      </c>
      <c r="B1" s="17" t="s">
        <v>34</v>
      </c>
      <c r="C1" s="16" t="s">
        <v>35</v>
      </c>
      <c r="E1" s="97" t="s">
        <v>164</v>
      </c>
      <c r="F1" s="174" t="s">
        <v>51</v>
      </c>
      <c r="G1" s="174" t="s">
        <v>69</v>
      </c>
      <c r="H1" s="165" t="s">
        <v>68</v>
      </c>
    </row>
    <row r="2" spans="1:8" x14ac:dyDescent="0.25">
      <c r="A2" s="240" t="s">
        <v>67</v>
      </c>
      <c r="B2" s="228" t="s">
        <v>166</v>
      </c>
      <c r="C2" s="241">
        <f>SUMPRODUCT(E2:E8,H2:H8)/SUM(E2:E8)</f>
        <v>2138.2681564245809</v>
      </c>
      <c r="E2" s="200">
        <v>25</v>
      </c>
      <c r="F2" s="76" t="s">
        <v>165</v>
      </c>
      <c r="G2" s="229">
        <v>495</v>
      </c>
      <c r="H2" s="46">
        <v>1650</v>
      </c>
    </row>
    <row r="3" spans="1:8" x14ac:dyDescent="0.25">
      <c r="E3" s="200">
        <v>14</v>
      </c>
      <c r="F3" s="76" t="s">
        <v>165</v>
      </c>
      <c r="G3" s="229">
        <v>550</v>
      </c>
      <c r="H3" s="77">
        <v>1800</v>
      </c>
    </row>
    <row r="4" spans="1:8" x14ac:dyDescent="0.25">
      <c r="C4" s="69"/>
      <c r="E4" s="200">
        <v>1</v>
      </c>
      <c r="F4" s="76" t="s">
        <v>52</v>
      </c>
      <c r="G4" s="229">
        <v>700</v>
      </c>
      <c r="H4" s="77">
        <v>2000</v>
      </c>
    </row>
    <row r="5" spans="1:8" x14ac:dyDescent="0.25">
      <c r="E5" s="200">
        <v>80</v>
      </c>
      <c r="F5" s="76" t="s">
        <v>52</v>
      </c>
      <c r="G5" s="229">
        <v>780</v>
      </c>
      <c r="H5" s="77">
        <v>2110</v>
      </c>
    </row>
    <row r="6" spans="1:8" x14ac:dyDescent="0.25">
      <c r="E6" s="200">
        <v>44</v>
      </c>
      <c r="F6" s="76" t="s">
        <v>53</v>
      </c>
      <c r="G6" s="229">
        <v>890</v>
      </c>
      <c r="H6" s="77">
        <v>2400</v>
      </c>
    </row>
    <row r="7" spans="1:8" x14ac:dyDescent="0.25">
      <c r="E7" s="200">
        <v>12</v>
      </c>
      <c r="F7" s="76" t="s">
        <v>54</v>
      </c>
      <c r="G7" s="229">
        <v>985</v>
      </c>
      <c r="H7" s="77">
        <v>2600</v>
      </c>
    </row>
    <row r="8" spans="1:8" x14ac:dyDescent="0.25">
      <c r="E8" s="201">
        <v>3</v>
      </c>
      <c r="F8" s="230" t="s">
        <v>55</v>
      </c>
      <c r="G8" s="231">
        <v>1290</v>
      </c>
      <c r="H8" s="232">
        <v>2900</v>
      </c>
    </row>
    <row r="11" spans="1:8" x14ac:dyDescent="0.25">
      <c r="A11" s="18" t="s">
        <v>33</v>
      </c>
      <c r="B11" s="17" t="s">
        <v>34</v>
      </c>
      <c r="C11" s="16" t="s">
        <v>35</v>
      </c>
      <c r="E11" s="97" t="s">
        <v>40</v>
      </c>
      <c r="F11" s="165" t="s">
        <v>70</v>
      </c>
    </row>
    <row r="12" spans="1:8" x14ac:dyDescent="0.25">
      <c r="A12" s="240" t="s">
        <v>162</v>
      </c>
      <c r="B12" s="228" t="s">
        <v>404</v>
      </c>
      <c r="C12" s="242">
        <f>RATE(6,,-F12,F18,0,)</f>
        <v>2.3567073118145602E-2</v>
      </c>
      <c r="E12" s="200">
        <v>2014</v>
      </c>
      <c r="F12" s="77">
        <v>200</v>
      </c>
    </row>
    <row r="13" spans="1:8" x14ac:dyDescent="0.25">
      <c r="E13" s="200">
        <v>2015</v>
      </c>
      <c r="F13" s="77">
        <v>204</v>
      </c>
      <c r="H13" s="170"/>
    </row>
    <row r="14" spans="1:8" x14ac:dyDescent="0.25">
      <c r="E14" s="200">
        <v>2016</v>
      </c>
      <c r="F14" s="77">
        <v>210</v>
      </c>
    </row>
    <row r="15" spans="1:8" x14ac:dyDescent="0.25">
      <c r="E15" s="200">
        <v>2017</v>
      </c>
      <c r="F15" s="77">
        <v>222</v>
      </c>
    </row>
    <row r="16" spans="1:8" x14ac:dyDescent="0.25">
      <c r="E16" s="200">
        <v>2018</v>
      </c>
      <c r="F16" s="77">
        <v>225</v>
      </c>
    </row>
    <row r="17" spans="1:7" x14ac:dyDescent="0.25">
      <c r="E17" s="200">
        <v>2019</v>
      </c>
      <c r="F17" s="77">
        <v>224</v>
      </c>
    </row>
    <row r="18" spans="1:7" x14ac:dyDescent="0.25">
      <c r="E18" s="201">
        <v>2020</v>
      </c>
      <c r="F18" s="232">
        <v>230</v>
      </c>
    </row>
    <row r="19" spans="1:7" x14ac:dyDescent="0.25">
      <c r="F19" s="233"/>
      <c r="G19" s="234"/>
    </row>
    <row r="21" spans="1:7" x14ac:dyDescent="0.25">
      <c r="A21" s="18" t="s">
        <v>33</v>
      </c>
      <c r="B21" s="17" t="s">
        <v>34</v>
      </c>
      <c r="C21" s="16" t="s">
        <v>35</v>
      </c>
      <c r="E21" s="97" t="s">
        <v>40</v>
      </c>
      <c r="F21" s="174" t="s">
        <v>168</v>
      </c>
      <c r="G21" s="165" t="s">
        <v>167</v>
      </c>
    </row>
    <row r="22" spans="1:7" x14ac:dyDescent="0.25">
      <c r="A22" s="240" t="s">
        <v>73</v>
      </c>
      <c r="B22" s="228" t="s">
        <v>314</v>
      </c>
      <c r="C22" s="243">
        <f>ROUND(F23*G23,-2)</f>
        <v>1197000</v>
      </c>
      <c r="E22" s="235">
        <v>2020</v>
      </c>
      <c r="F22" s="236">
        <v>20.02</v>
      </c>
      <c r="G22" s="178">
        <v>48029</v>
      </c>
    </row>
    <row r="23" spans="1:7" x14ac:dyDescent="0.25">
      <c r="A23" s="240" t="s">
        <v>71</v>
      </c>
      <c r="B23" s="228" t="s">
        <v>315</v>
      </c>
      <c r="C23" s="243">
        <f>ROUNDUP(F25*G25,-1)</f>
        <v>2239560</v>
      </c>
      <c r="E23" s="235">
        <v>2021</v>
      </c>
      <c r="F23" s="236">
        <v>21.26</v>
      </c>
      <c r="G23" s="178">
        <v>56301</v>
      </c>
    </row>
    <row r="24" spans="1:7" x14ac:dyDescent="0.25">
      <c r="A24" s="240" t="s">
        <v>72</v>
      </c>
      <c r="B24" s="228" t="s">
        <v>316</v>
      </c>
      <c r="C24" s="243">
        <f>ROUNDDOWN(F24*G24,-3)</f>
        <v>1675000</v>
      </c>
      <c r="E24" s="235">
        <v>2022</v>
      </c>
      <c r="F24" s="236">
        <v>22.31</v>
      </c>
      <c r="G24" s="178">
        <v>75122</v>
      </c>
    </row>
    <row r="25" spans="1:7" x14ac:dyDescent="0.25">
      <c r="E25" s="237">
        <v>2023</v>
      </c>
      <c r="F25" s="238">
        <v>23.44</v>
      </c>
      <c r="G25" s="239">
        <v>95544</v>
      </c>
    </row>
    <row r="27" spans="1:7" x14ac:dyDescent="0.25">
      <c r="A27" s="18" t="s">
        <v>33</v>
      </c>
      <c r="B27" s="17" t="s">
        <v>34</v>
      </c>
      <c r="C27" s="16" t="s">
        <v>35</v>
      </c>
      <c r="E27" s="164" t="s">
        <v>41</v>
      </c>
      <c r="F27" s="164" t="s">
        <v>43</v>
      </c>
      <c r="G27" s="164" t="s">
        <v>44</v>
      </c>
    </row>
    <row r="28" spans="1:7" x14ac:dyDescent="0.25">
      <c r="A28" s="240" t="s">
        <v>134</v>
      </c>
      <c r="B28" s="228" t="s">
        <v>309</v>
      </c>
      <c r="C28" s="244">
        <f>DATEDIF(F34,G34,"M")+1</f>
        <v>10</v>
      </c>
      <c r="E28" s="338" t="s">
        <v>299</v>
      </c>
      <c r="F28" s="339">
        <v>44136</v>
      </c>
      <c r="G28" s="339">
        <v>44469</v>
      </c>
    </row>
    <row r="29" spans="1:7" x14ac:dyDescent="0.25">
      <c r="A29" s="240" t="s">
        <v>310</v>
      </c>
      <c r="B29" s="228" t="s">
        <v>313</v>
      </c>
      <c r="C29" s="245">
        <f>YEARFRAC(F33,G33,1)</f>
        <v>0.83013698630136989</v>
      </c>
      <c r="E29" s="338" t="s">
        <v>300</v>
      </c>
      <c r="F29" s="339">
        <v>43831</v>
      </c>
      <c r="G29" s="339">
        <v>44347</v>
      </c>
    </row>
    <row r="30" spans="1:7" ht="27" x14ac:dyDescent="0.25">
      <c r="A30" s="405" t="s">
        <v>311</v>
      </c>
      <c r="B30" s="404" t="s">
        <v>312</v>
      </c>
      <c r="C30" s="408">
        <f>EOMONTH(G32,-3)</f>
        <v>44377</v>
      </c>
      <c r="E30" s="406" t="s">
        <v>301</v>
      </c>
      <c r="F30" s="407">
        <v>43862</v>
      </c>
      <c r="G30" s="407">
        <v>44196</v>
      </c>
    </row>
    <row r="31" spans="1:7" x14ac:dyDescent="0.25">
      <c r="A31" s="146"/>
      <c r="B31" s="146"/>
      <c r="C31" s="247"/>
      <c r="E31" s="338" t="s">
        <v>302</v>
      </c>
      <c r="F31" s="339">
        <v>43891</v>
      </c>
      <c r="G31" s="339">
        <v>44347</v>
      </c>
    </row>
    <row r="32" spans="1:7" x14ac:dyDescent="0.25">
      <c r="E32" s="338" t="s">
        <v>303</v>
      </c>
      <c r="F32" s="339">
        <v>43922</v>
      </c>
      <c r="G32" s="339">
        <v>44469</v>
      </c>
    </row>
    <row r="33" spans="5:7" x14ac:dyDescent="0.25">
      <c r="E33" s="338" t="s">
        <v>304</v>
      </c>
      <c r="F33" s="339">
        <v>43952</v>
      </c>
      <c r="G33" s="339">
        <v>44255</v>
      </c>
    </row>
    <row r="34" spans="5:7" x14ac:dyDescent="0.25">
      <c r="E34" s="338" t="s">
        <v>305</v>
      </c>
      <c r="F34" s="339">
        <v>43983</v>
      </c>
      <c r="G34" s="339">
        <v>44286</v>
      </c>
    </row>
    <row r="35" spans="5:7" x14ac:dyDescent="0.25">
      <c r="E35" s="338" t="s">
        <v>306</v>
      </c>
      <c r="F35" s="339">
        <v>44013</v>
      </c>
      <c r="G35" s="339">
        <v>44561</v>
      </c>
    </row>
    <row r="36" spans="5:7" x14ac:dyDescent="0.25">
      <c r="E36" s="338" t="s">
        <v>307</v>
      </c>
      <c r="F36" s="339">
        <v>44044</v>
      </c>
      <c r="G36" s="339">
        <v>44469</v>
      </c>
    </row>
    <row r="37" spans="5:7" x14ac:dyDescent="0.25">
      <c r="E37" s="338" t="s">
        <v>308</v>
      </c>
      <c r="F37" s="339">
        <v>44075</v>
      </c>
      <c r="G37" s="339">
        <v>44377</v>
      </c>
    </row>
  </sheetData>
  <pageMargins left="0.75" right="0.75" top="1" bottom="1" header="0.5" footer="0.5"/>
  <pageSetup scale="98" orientation="portrait" horizontalDpi="4294967292" verticalDpi="4294967292"/>
  <colBreaks count="2" manualBreakCount="2">
    <brk id="2" max="1048575" man="1"/>
    <brk id="8"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zoomScale="130" zoomScaleNormal="130" zoomScalePageLayoutView="150" workbookViewId="0">
      <selection activeCell="E10" sqref="E10"/>
    </sheetView>
  </sheetViews>
  <sheetFormatPr defaultColWidth="10.875" defaultRowHeight="13.5" x14ac:dyDescent="0.25"/>
  <cols>
    <col min="1" max="1" width="57.25" style="23" customWidth="1"/>
    <col min="2" max="2" width="12.625" style="23" customWidth="1"/>
    <col min="3" max="3" width="13.5" style="23" bestFit="1" customWidth="1"/>
    <col min="4" max="4" width="14.375" style="23" bestFit="1" customWidth="1"/>
    <col min="5" max="5" width="12" style="23" bestFit="1" customWidth="1"/>
    <col min="6" max="16384" width="10.875" style="23"/>
  </cols>
  <sheetData>
    <row r="1" spans="1:6" x14ac:dyDescent="0.25">
      <c r="A1" s="18" t="s">
        <v>33</v>
      </c>
      <c r="B1" s="17" t="s">
        <v>159</v>
      </c>
      <c r="C1" s="17" t="s">
        <v>160</v>
      </c>
      <c r="D1" s="17" t="s">
        <v>161</v>
      </c>
      <c r="E1" s="17" t="s">
        <v>162</v>
      </c>
      <c r="F1" s="16" t="s">
        <v>163</v>
      </c>
    </row>
    <row r="2" spans="1:6" ht="54" x14ac:dyDescent="0.25">
      <c r="A2" s="98" t="s">
        <v>294</v>
      </c>
      <c r="B2" s="99">
        <f>-PV(E2,D2,F2,C2,0)</f>
        <v>7599178.1320206327</v>
      </c>
      <c r="C2" s="100">
        <v>10000000</v>
      </c>
      <c r="D2" s="101">
        <v>7</v>
      </c>
      <c r="E2" s="102">
        <v>0.04</v>
      </c>
      <c r="F2" s="100">
        <v>0</v>
      </c>
    </row>
    <row r="3" spans="1:6" ht="40.5" x14ac:dyDescent="0.25">
      <c r="A3" s="98" t="s">
        <v>295</v>
      </c>
      <c r="B3" s="103">
        <v>22</v>
      </c>
      <c r="C3" s="104">
        <f>-FV(E3,D3,F3,B3,0)</f>
        <v>25.504029634599995</v>
      </c>
      <c r="D3" s="101">
        <v>5</v>
      </c>
      <c r="E3" s="105">
        <v>0.03</v>
      </c>
      <c r="F3" s="100">
        <v>0</v>
      </c>
    </row>
    <row r="4" spans="1:6" ht="40.5" x14ac:dyDescent="0.25">
      <c r="A4" s="98" t="s">
        <v>296</v>
      </c>
      <c r="B4" s="100">
        <v>800000</v>
      </c>
      <c r="C4" s="100">
        <v>1000000</v>
      </c>
      <c r="D4" s="106">
        <f>NPER(E4,F4,-B4,C4,0)</f>
        <v>4.5735355703929645</v>
      </c>
      <c r="E4" s="102">
        <v>0.05</v>
      </c>
      <c r="F4" s="100">
        <v>0</v>
      </c>
    </row>
    <row r="5" spans="1:6" ht="40.5" x14ac:dyDescent="0.25">
      <c r="A5" s="98" t="s">
        <v>297</v>
      </c>
      <c r="B5" s="100">
        <v>100</v>
      </c>
      <c r="C5" s="100">
        <v>300</v>
      </c>
      <c r="D5" s="101">
        <v>25</v>
      </c>
      <c r="E5" s="107">
        <f>RATE(D5,F5,-B5,C5,0)</f>
        <v>4.4924351147783904E-2</v>
      </c>
      <c r="F5" s="100">
        <v>0</v>
      </c>
    </row>
    <row r="6" spans="1:6" ht="67.5" x14ac:dyDescent="0.25">
      <c r="A6" s="98" t="s">
        <v>298</v>
      </c>
      <c r="B6" s="100">
        <v>500000</v>
      </c>
      <c r="C6" s="100">
        <v>2000000</v>
      </c>
      <c r="D6" s="101">
        <v>7</v>
      </c>
      <c r="E6" s="108">
        <v>0.14000000000000001</v>
      </c>
      <c r="F6" s="109">
        <f>-PMT(E6,D6,-B6,C6,0)</f>
        <v>69788.56594636869</v>
      </c>
    </row>
    <row r="7" spans="1:6" x14ac:dyDescent="0.25">
      <c r="A7" s="110"/>
      <c r="B7" s="111"/>
      <c r="C7" s="111"/>
      <c r="D7" s="111"/>
      <c r="E7" s="111"/>
      <c r="F7" s="111"/>
    </row>
    <row r="8" spans="1:6" x14ac:dyDescent="0.25">
      <c r="A8" s="112"/>
      <c r="B8" s="113"/>
      <c r="C8" s="114"/>
      <c r="D8" s="113"/>
      <c r="E8" s="113"/>
      <c r="F8" s="113"/>
    </row>
    <row r="9" spans="1:6" x14ac:dyDescent="0.25">
      <c r="A9" s="112"/>
      <c r="B9" s="113"/>
      <c r="C9" s="113"/>
      <c r="D9" s="113"/>
      <c r="E9" s="113"/>
      <c r="F9" s="113"/>
    </row>
    <row r="10" spans="1:6" x14ac:dyDescent="0.25">
      <c r="A10" s="112"/>
      <c r="B10" s="22"/>
      <c r="C10" s="22"/>
      <c r="D10" s="22"/>
      <c r="E10" s="22"/>
      <c r="F10" s="22"/>
    </row>
    <row r="11" spans="1:6" x14ac:dyDescent="0.25">
      <c r="A11" s="112"/>
      <c r="B11" s="22"/>
      <c r="C11" s="22"/>
      <c r="D11" s="22"/>
      <c r="E11" s="22"/>
      <c r="F11" s="22"/>
    </row>
    <row r="12" spans="1:6" x14ac:dyDescent="0.25">
      <c r="A12" s="112"/>
      <c r="B12" s="22"/>
      <c r="C12" s="22"/>
      <c r="D12" s="22"/>
      <c r="E12" s="22"/>
      <c r="F12" s="22"/>
    </row>
    <row r="13" spans="1:6" x14ac:dyDescent="0.25">
      <c r="A13" s="112"/>
      <c r="B13" s="22"/>
      <c r="C13" s="22"/>
      <c r="D13" s="22"/>
      <c r="E13" s="22"/>
      <c r="F13" s="22"/>
    </row>
    <row r="14" spans="1:6" x14ac:dyDescent="0.25">
      <c r="A14" s="112"/>
      <c r="B14" s="22"/>
      <c r="C14" s="22"/>
      <c r="D14" s="22"/>
      <c r="E14" s="22"/>
      <c r="F14" s="22"/>
    </row>
    <row r="15" spans="1:6" x14ac:dyDescent="0.25">
      <c r="A15" s="112"/>
      <c r="B15" s="22"/>
      <c r="C15" s="22"/>
      <c r="D15" s="22"/>
      <c r="E15" s="22"/>
      <c r="F15" s="22"/>
    </row>
    <row r="16" spans="1:6" x14ac:dyDescent="0.25">
      <c r="A16" s="112"/>
      <c r="B16" s="22"/>
      <c r="C16" s="22"/>
      <c r="D16" s="22"/>
      <c r="E16" s="22"/>
      <c r="F16" s="22"/>
    </row>
    <row r="17" spans="2:6" x14ac:dyDescent="0.25">
      <c r="B17" s="22"/>
      <c r="C17" s="22"/>
      <c r="D17" s="22"/>
      <c r="E17" s="22"/>
      <c r="F17" s="22"/>
    </row>
    <row r="18" spans="2:6" x14ac:dyDescent="0.25">
      <c r="B18" s="22"/>
      <c r="C18" s="22"/>
      <c r="D18" s="22"/>
      <c r="E18" s="22"/>
      <c r="F18" s="22"/>
    </row>
    <row r="19" spans="2:6" x14ac:dyDescent="0.25">
      <c r="B19" s="22"/>
      <c r="C19" s="22"/>
      <c r="D19" s="22"/>
      <c r="E19" s="22"/>
      <c r="F19" s="22"/>
    </row>
    <row r="20" spans="2:6" x14ac:dyDescent="0.25">
      <c r="B20" s="22"/>
      <c r="C20" s="22"/>
      <c r="D20" s="22"/>
      <c r="E20" s="22"/>
      <c r="F20" s="22"/>
    </row>
    <row r="21" spans="2:6" x14ac:dyDescent="0.25">
      <c r="B21" s="22"/>
      <c r="C21" s="22"/>
      <c r="D21" s="22"/>
      <c r="E21" s="22"/>
      <c r="F21" s="22"/>
    </row>
    <row r="22" spans="2:6" x14ac:dyDescent="0.25">
      <c r="B22" s="22"/>
      <c r="C22" s="22"/>
      <c r="D22" s="22"/>
      <c r="E22" s="22"/>
      <c r="F22" s="22"/>
    </row>
  </sheetData>
  <pageMargins left="0.75" right="0.75" top="1" bottom="1" header="0.5" footer="0.5"/>
  <pageSetup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zoomScale="130" zoomScaleNormal="130" zoomScalePageLayoutView="150" workbookViewId="0"/>
  </sheetViews>
  <sheetFormatPr defaultColWidth="10.875" defaultRowHeight="13.5" x14ac:dyDescent="0.25"/>
  <cols>
    <col min="1" max="1" width="57.25" style="23" customWidth="1"/>
    <col min="2" max="2" width="12.625" style="23" customWidth="1"/>
    <col min="3" max="3" width="13.5" style="23" bestFit="1" customWidth="1"/>
    <col min="4" max="4" width="14.375" style="23" bestFit="1" customWidth="1"/>
    <col min="5" max="5" width="12" style="23" bestFit="1" customWidth="1"/>
    <col min="6" max="16384" width="10.875" style="23"/>
  </cols>
  <sheetData>
    <row r="1" spans="1:6" x14ac:dyDescent="0.25">
      <c r="A1" s="18" t="s">
        <v>33</v>
      </c>
      <c r="B1" s="17" t="s">
        <v>159</v>
      </c>
      <c r="C1" s="17" t="s">
        <v>160</v>
      </c>
      <c r="D1" s="17" t="s">
        <v>161</v>
      </c>
      <c r="E1" s="17" t="s">
        <v>162</v>
      </c>
      <c r="F1" s="16" t="s">
        <v>163</v>
      </c>
    </row>
    <row r="2" spans="1:6" ht="54" x14ac:dyDescent="0.25">
      <c r="A2" s="98" t="s">
        <v>294</v>
      </c>
      <c r="B2" s="99">
        <f>-PV(E2,D2,F2,C2,0)</f>
        <v>7599178.1320206327</v>
      </c>
      <c r="C2" s="100">
        <v>10000000</v>
      </c>
      <c r="D2" s="101">
        <v>7</v>
      </c>
      <c r="E2" s="102">
        <v>0.04</v>
      </c>
      <c r="F2" s="100">
        <v>0</v>
      </c>
    </row>
    <row r="3" spans="1:6" ht="40.5" x14ac:dyDescent="0.25">
      <c r="A3" s="98" t="s">
        <v>295</v>
      </c>
      <c r="B3" s="103">
        <v>22</v>
      </c>
      <c r="C3" s="104">
        <f>FV(E3,D3,F3,-B3,0)</f>
        <v>25.504029634599995</v>
      </c>
      <c r="D3" s="101">
        <v>5</v>
      </c>
      <c r="E3" s="105">
        <v>0.03</v>
      </c>
      <c r="F3" s="100">
        <v>0</v>
      </c>
    </row>
    <row r="4" spans="1:6" ht="40.5" x14ac:dyDescent="0.25">
      <c r="A4" s="98" t="s">
        <v>296</v>
      </c>
      <c r="B4" s="100">
        <v>800000</v>
      </c>
      <c r="C4" s="100">
        <v>1000000</v>
      </c>
      <c r="D4" s="106">
        <f>NPER(E4,F4,-B4,C4,0)</f>
        <v>4.5735355703929645</v>
      </c>
      <c r="E4" s="102">
        <v>0.05</v>
      </c>
      <c r="F4" s="100">
        <v>0</v>
      </c>
    </row>
    <row r="5" spans="1:6" ht="40.5" x14ac:dyDescent="0.25">
      <c r="A5" s="98" t="s">
        <v>297</v>
      </c>
      <c r="B5" s="100">
        <v>100</v>
      </c>
      <c r="C5" s="100">
        <v>300</v>
      </c>
      <c r="D5" s="101">
        <v>25</v>
      </c>
      <c r="E5" s="107">
        <f>RATE(D5,F5,-B5,C5,0)</f>
        <v>4.4924351147783904E-2</v>
      </c>
      <c r="F5" s="100">
        <v>0</v>
      </c>
    </row>
    <row r="6" spans="1:6" ht="67.5" x14ac:dyDescent="0.25">
      <c r="A6" s="98" t="s">
        <v>298</v>
      </c>
      <c r="B6" s="100">
        <v>500000</v>
      </c>
      <c r="C6" s="100">
        <v>2000000</v>
      </c>
      <c r="D6" s="101">
        <v>7</v>
      </c>
      <c r="E6" s="108">
        <v>0.14000000000000001</v>
      </c>
      <c r="F6" s="109">
        <f>-PMT(E6,D6,-B6,C6,0)</f>
        <v>69788.56594636869</v>
      </c>
    </row>
    <row r="7" spans="1:6" x14ac:dyDescent="0.25">
      <c r="A7" s="110"/>
      <c r="B7" s="111"/>
      <c r="C7" s="111"/>
      <c r="D7" s="111"/>
      <c r="E7" s="111"/>
      <c r="F7" s="111"/>
    </row>
    <row r="8" spans="1:6" x14ac:dyDescent="0.25">
      <c r="A8" s="112"/>
      <c r="B8" s="113"/>
      <c r="C8" s="114"/>
      <c r="D8" s="113"/>
      <c r="E8" s="113"/>
      <c r="F8" s="113"/>
    </row>
    <row r="9" spans="1:6" x14ac:dyDescent="0.25">
      <c r="A9" s="112"/>
      <c r="B9" s="113"/>
      <c r="C9" s="113"/>
      <c r="D9" s="113"/>
      <c r="E9" s="113"/>
      <c r="F9" s="113"/>
    </row>
    <row r="10" spans="1:6" x14ac:dyDescent="0.25">
      <c r="A10" s="112"/>
      <c r="B10" s="22"/>
      <c r="C10" s="22"/>
      <c r="D10" s="22"/>
      <c r="E10" s="22"/>
      <c r="F10" s="22"/>
    </row>
    <row r="11" spans="1:6" x14ac:dyDescent="0.25">
      <c r="A11" s="112"/>
      <c r="B11" s="22"/>
      <c r="C11" s="22"/>
      <c r="D11" s="22"/>
      <c r="E11" s="22"/>
      <c r="F11" s="22"/>
    </row>
    <row r="12" spans="1:6" x14ac:dyDescent="0.25">
      <c r="A12" s="112"/>
      <c r="B12" s="22"/>
      <c r="C12" s="22"/>
      <c r="D12" s="22"/>
      <c r="E12" s="22"/>
      <c r="F12" s="22"/>
    </row>
    <row r="13" spans="1:6" x14ac:dyDescent="0.25">
      <c r="A13" s="112"/>
      <c r="B13" s="22"/>
      <c r="C13" s="22"/>
      <c r="D13" s="22"/>
      <c r="E13" s="22"/>
      <c r="F13" s="22"/>
    </row>
    <row r="14" spans="1:6" x14ac:dyDescent="0.25">
      <c r="A14" s="112"/>
      <c r="B14" s="22"/>
      <c r="C14" s="22"/>
      <c r="D14" s="22"/>
      <c r="E14" s="22"/>
      <c r="F14" s="22"/>
    </row>
    <row r="15" spans="1:6" x14ac:dyDescent="0.25">
      <c r="A15" s="112"/>
      <c r="B15" s="22"/>
      <c r="C15" s="22"/>
      <c r="D15" s="22"/>
      <c r="E15" s="22"/>
      <c r="F15" s="22"/>
    </row>
    <row r="16" spans="1:6" x14ac:dyDescent="0.25">
      <c r="A16" s="112"/>
      <c r="B16" s="22"/>
      <c r="C16" s="22"/>
      <c r="D16" s="22"/>
      <c r="E16" s="22"/>
      <c r="F16" s="22"/>
    </row>
    <row r="17" spans="2:6" x14ac:dyDescent="0.25">
      <c r="B17" s="22"/>
      <c r="C17" s="22"/>
      <c r="D17" s="22"/>
      <c r="E17" s="22"/>
      <c r="F17" s="22"/>
    </row>
    <row r="18" spans="2:6" x14ac:dyDescent="0.25">
      <c r="B18" s="22"/>
      <c r="C18" s="22"/>
      <c r="D18" s="22"/>
      <c r="E18" s="22"/>
      <c r="F18" s="22"/>
    </row>
    <row r="19" spans="2:6" x14ac:dyDescent="0.25">
      <c r="B19" s="22"/>
      <c r="C19" s="22"/>
      <c r="D19" s="22"/>
      <c r="E19" s="22"/>
      <c r="F19" s="22"/>
    </row>
    <row r="20" spans="2:6" x14ac:dyDescent="0.25">
      <c r="B20" s="22"/>
      <c r="C20" s="22"/>
      <c r="D20" s="22"/>
      <c r="E20" s="22"/>
      <c r="F20" s="22"/>
    </row>
    <row r="21" spans="2:6" x14ac:dyDescent="0.25">
      <c r="B21" s="22"/>
      <c r="C21" s="22"/>
      <c r="D21" s="22"/>
      <c r="E21" s="22"/>
      <c r="F21" s="22"/>
    </row>
    <row r="22" spans="2:6" x14ac:dyDescent="0.25">
      <c r="B22" s="22"/>
      <c r="C22" s="22"/>
      <c r="D22" s="22"/>
      <c r="E22" s="22"/>
      <c r="F22" s="22"/>
    </row>
  </sheetData>
  <pageMargins left="0.75" right="0.75" top="1" bottom="1" header="0.5" footer="0.5"/>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zoomScale="140" zoomScaleNormal="140" zoomScalePageLayoutView="200" workbookViewId="0">
      <selection activeCell="E18" sqref="E18"/>
    </sheetView>
  </sheetViews>
  <sheetFormatPr defaultColWidth="10.875" defaultRowHeight="13.5" x14ac:dyDescent="0.25"/>
  <cols>
    <col min="1" max="1" width="17.875" style="23" bestFit="1" customWidth="1"/>
    <col min="2" max="2" width="10" style="23" bestFit="1" customWidth="1"/>
    <col min="3" max="3" width="5.875" style="23" bestFit="1" customWidth="1"/>
    <col min="4" max="4" width="7" style="23" bestFit="1" customWidth="1"/>
    <col min="5" max="16384" width="10.875" style="23"/>
  </cols>
  <sheetData>
    <row r="1" spans="1:3" x14ac:dyDescent="0.25">
      <c r="A1" s="41" t="s">
        <v>171</v>
      </c>
      <c r="B1" s="42"/>
    </row>
    <row r="2" spans="1:3" x14ac:dyDescent="0.25">
      <c r="A2" s="43" t="s">
        <v>6</v>
      </c>
      <c r="B2" s="57">
        <v>30</v>
      </c>
    </row>
    <row r="3" spans="1:3" x14ac:dyDescent="0.25">
      <c r="A3" s="44" t="s">
        <v>7</v>
      </c>
      <c r="B3" s="58">
        <v>5000</v>
      </c>
    </row>
    <row r="4" spans="1:3" x14ac:dyDescent="0.25">
      <c r="A4" s="50" t="s">
        <v>0</v>
      </c>
      <c r="B4" s="51">
        <f>B2*B3</f>
        <v>150000</v>
      </c>
    </row>
    <row r="5" spans="1:3" x14ac:dyDescent="0.25">
      <c r="A5" s="54"/>
      <c r="B5" s="55"/>
    </row>
    <row r="6" spans="1:3" x14ac:dyDescent="0.25">
      <c r="A6" s="52" t="s">
        <v>169</v>
      </c>
      <c r="B6" s="53"/>
    </row>
    <row r="7" spans="1:3" x14ac:dyDescent="0.25">
      <c r="A7" s="43" t="s">
        <v>0</v>
      </c>
      <c r="B7" s="328">
        <f>B4</f>
        <v>150000</v>
      </c>
    </row>
    <row r="8" spans="1:3" x14ac:dyDescent="0.25">
      <c r="A8" s="44" t="s">
        <v>169</v>
      </c>
      <c r="B8" s="329">
        <f>-B7*C8</f>
        <v>-10500.000000000002</v>
      </c>
      <c r="C8" s="59">
        <v>7.0000000000000007E-2</v>
      </c>
    </row>
    <row r="9" spans="1:3" x14ac:dyDescent="0.25">
      <c r="A9" s="49" t="s">
        <v>8</v>
      </c>
      <c r="B9" s="48">
        <f>B7+B8</f>
        <v>139500</v>
      </c>
      <c r="C9" s="47"/>
    </row>
    <row r="11" spans="1:3" x14ac:dyDescent="0.25">
      <c r="A11" s="52" t="s">
        <v>1</v>
      </c>
      <c r="B11" s="53"/>
    </row>
    <row r="12" spans="1:3" x14ac:dyDescent="0.25">
      <c r="A12" s="43" t="s">
        <v>8</v>
      </c>
      <c r="B12" s="328">
        <f>B9</f>
        <v>139500</v>
      </c>
    </row>
    <row r="13" spans="1:3" x14ac:dyDescent="0.25">
      <c r="A13" s="44" t="s">
        <v>1</v>
      </c>
      <c r="B13" s="329">
        <f>-B12*C13</f>
        <v>-2790</v>
      </c>
      <c r="C13" s="59">
        <v>0.02</v>
      </c>
    </row>
    <row r="14" spans="1:3" x14ac:dyDescent="0.25">
      <c r="A14" s="45" t="s">
        <v>172</v>
      </c>
      <c r="B14" s="48">
        <f>SUM(B12:B13)</f>
        <v>136710</v>
      </c>
      <c r="C14" s="47"/>
    </row>
    <row r="16" spans="1:3" x14ac:dyDescent="0.25">
      <c r="A16" s="52" t="s">
        <v>2</v>
      </c>
      <c r="B16" s="53"/>
    </row>
    <row r="17" spans="1:2" x14ac:dyDescent="0.25">
      <c r="A17" s="43" t="s">
        <v>340</v>
      </c>
      <c r="B17" s="340">
        <v>120000</v>
      </c>
    </row>
    <row r="18" spans="1:2" x14ac:dyDescent="0.25">
      <c r="A18" s="61" t="s">
        <v>2</v>
      </c>
      <c r="B18" s="341">
        <v>0.06</v>
      </c>
    </row>
    <row r="19" spans="1:2" x14ac:dyDescent="0.25">
      <c r="A19" s="44" t="s">
        <v>341</v>
      </c>
      <c r="B19" s="342">
        <v>2400000</v>
      </c>
    </row>
    <row r="20" spans="1:2" x14ac:dyDescent="0.25">
      <c r="A20" s="45" t="s">
        <v>2</v>
      </c>
      <c r="B20" s="48">
        <f>MAX((B19-B17/B18)*B18,0)</f>
        <v>24000</v>
      </c>
    </row>
  </sheetData>
  <pageMargins left="0.75" right="0.75" top="1" bottom="1" header="0.5" footer="0.5"/>
  <pageSetup orientation="portrait" horizontalDpi="4294967292" vertic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zoomScale="140" zoomScaleNormal="140" zoomScalePageLayoutView="200" workbookViewId="0"/>
  </sheetViews>
  <sheetFormatPr defaultColWidth="10.875" defaultRowHeight="13.5" x14ac:dyDescent="0.25"/>
  <cols>
    <col min="1" max="1" width="16.375" style="23" bestFit="1" customWidth="1"/>
    <col min="2" max="2" width="10" style="23" bestFit="1" customWidth="1"/>
    <col min="3" max="3" width="5.875" style="23" bestFit="1" customWidth="1"/>
    <col min="4" max="4" width="7" style="23" bestFit="1" customWidth="1"/>
    <col min="5" max="16384" width="10.875" style="23"/>
  </cols>
  <sheetData>
    <row r="1" spans="1:3" x14ac:dyDescent="0.25">
      <c r="A1" s="41" t="s">
        <v>171</v>
      </c>
      <c r="B1" s="42"/>
    </row>
    <row r="2" spans="1:3" x14ac:dyDescent="0.25">
      <c r="A2" s="43" t="s">
        <v>6</v>
      </c>
      <c r="B2" s="57">
        <v>30</v>
      </c>
    </row>
    <row r="3" spans="1:3" x14ac:dyDescent="0.25">
      <c r="A3" s="44" t="s">
        <v>7</v>
      </c>
      <c r="B3" s="58">
        <v>5000</v>
      </c>
    </row>
    <row r="4" spans="1:3" x14ac:dyDescent="0.25">
      <c r="A4" s="50" t="s">
        <v>0</v>
      </c>
      <c r="B4" s="51">
        <f>B2*B3</f>
        <v>150000</v>
      </c>
    </row>
    <row r="5" spans="1:3" x14ac:dyDescent="0.25">
      <c r="A5" s="54"/>
      <c r="B5" s="55"/>
    </row>
    <row r="6" spans="1:3" x14ac:dyDescent="0.25">
      <c r="A6" s="52" t="s">
        <v>169</v>
      </c>
      <c r="B6" s="53"/>
    </row>
    <row r="7" spans="1:3" x14ac:dyDescent="0.25">
      <c r="A7" s="43" t="s">
        <v>0</v>
      </c>
      <c r="B7" s="328">
        <f>B4</f>
        <v>150000</v>
      </c>
    </row>
    <row r="8" spans="1:3" x14ac:dyDescent="0.25">
      <c r="A8" s="44" t="s">
        <v>169</v>
      </c>
      <c r="B8" s="329">
        <f>B7*-C8</f>
        <v>-10500.000000000002</v>
      </c>
      <c r="C8" s="59">
        <v>7.0000000000000007E-2</v>
      </c>
    </row>
    <row r="9" spans="1:3" x14ac:dyDescent="0.25">
      <c r="A9" s="49" t="s">
        <v>8</v>
      </c>
      <c r="B9" s="48">
        <f>SUM(B7:B8)</f>
        <v>139500</v>
      </c>
      <c r="C9" s="47"/>
    </row>
    <row r="11" spans="1:3" x14ac:dyDescent="0.25">
      <c r="A11" s="52" t="s">
        <v>1</v>
      </c>
      <c r="B11" s="53"/>
    </row>
    <row r="12" spans="1:3" x14ac:dyDescent="0.25">
      <c r="A12" s="43" t="s">
        <v>8</v>
      </c>
      <c r="B12" s="328">
        <f>B9</f>
        <v>139500</v>
      </c>
    </row>
    <row r="13" spans="1:3" x14ac:dyDescent="0.25">
      <c r="A13" s="44" t="s">
        <v>1</v>
      </c>
      <c r="B13" s="329">
        <f>B12*-C13</f>
        <v>-2790</v>
      </c>
      <c r="C13" s="59">
        <v>0.02</v>
      </c>
    </row>
    <row r="14" spans="1:3" x14ac:dyDescent="0.25">
      <c r="A14" s="45" t="s">
        <v>172</v>
      </c>
      <c r="B14" s="48">
        <f>SUM(B12:B13)</f>
        <v>136710</v>
      </c>
      <c r="C14" s="47"/>
    </row>
    <row r="16" spans="1:3" x14ac:dyDescent="0.25">
      <c r="A16" s="52" t="s">
        <v>2</v>
      </c>
      <c r="B16" s="53"/>
    </row>
    <row r="17" spans="1:2" x14ac:dyDescent="0.25">
      <c r="A17" s="43" t="s">
        <v>340</v>
      </c>
      <c r="B17" s="340">
        <v>120000</v>
      </c>
    </row>
    <row r="18" spans="1:2" x14ac:dyDescent="0.25">
      <c r="A18" s="61" t="s">
        <v>2</v>
      </c>
      <c r="B18" s="341">
        <v>0.06</v>
      </c>
    </row>
    <row r="19" spans="1:2" x14ac:dyDescent="0.25">
      <c r="A19" s="44" t="s">
        <v>341</v>
      </c>
      <c r="B19" s="342">
        <v>2400000</v>
      </c>
    </row>
    <row r="20" spans="1:2" x14ac:dyDescent="0.25">
      <c r="A20" s="45" t="s">
        <v>2</v>
      </c>
      <c r="B20" s="48">
        <f>MAX((B19-B17/B18)*B18,0)</f>
        <v>24000</v>
      </c>
    </row>
  </sheetData>
  <pageMargins left="0.75" right="0.75" top="1" bottom="1" header="0.5" footer="0.5"/>
  <pageSetup orientation="portrait" horizontalDpi="4294967292" vertic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zoomScaleNormal="100" workbookViewId="0">
      <selection activeCell="D27" sqref="D27"/>
    </sheetView>
  </sheetViews>
  <sheetFormatPr defaultColWidth="10.875" defaultRowHeight="13.5" x14ac:dyDescent="0.25"/>
  <cols>
    <col min="1" max="1" width="57.25" style="23" bestFit="1" customWidth="1"/>
    <col min="2" max="2" width="4.75" style="23" bestFit="1" customWidth="1"/>
    <col min="3" max="3" width="40" style="23" bestFit="1" customWidth="1"/>
    <col min="4" max="4" width="8.25" style="23" bestFit="1" customWidth="1"/>
    <col min="5" max="5" width="4" style="23" customWidth="1"/>
    <col min="6" max="6" width="13" style="23" bestFit="1" customWidth="1"/>
    <col min="7" max="7" width="13.625" style="23" customWidth="1"/>
    <col min="8" max="8" width="5.375" style="23" customWidth="1"/>
    <col min="9" max="9" width="11.625" style="23" bestFit="1" customWidth="1"/>
    <col min="10" max="10" width="4.125" style="23" customWidth="1"/>
    <col min="11" max="11" width="24.125" style="23" customWidth="1"/>
    <col min="12" max="12" width="12.625" style="23" bestFit="1" customWidth="1"/>
    <col min="13" max="16384" width="10.875" style="23"/>
  </cols>
  <sheetData>
    <row r="1" spans="1:11" x14ac:dyDescent="0.25">
      <c r="A1" s="164" t="s">
        <v>100</v>
      </c>
      <c r="C1" s="64" t="s">
        <v>100</v>
      </c>
      <c r="D1" s="42"/>
      <c r="F1" s="435" t="s">
        <v>325</v>
      </c>
      <c r="G1" s="436"/>
      <c r="H1" s="437"/>
      <c r="I1" s="444" t="s">
        <v>324</v>
      </c>
      <c r="J1" s="445"/>
      <c r="K1" s="446"/>
    </row>
    <row r="2" spans="1:11" x14ac:dyDescent="0.25">
      <c r="A2" s="141" t="s">
        <v>101</v>
      </c>
      <c r="C2" s="117" t="s">
        <v>7</v>
      </c>
      <c r="D2" s="414">
        <f>2000+3000+5000+1500</f>
        <v>11500</v>
      </c>
      <c r="F2" s="438"/>
      <c r="G2" s="439"/>
      <c r="H2" s="440"/>
      <c r="I2" s="447"/>
      <c r="J2" s="448"/>
      <c r="K2" s="449"/>
    </row>
    <row r="3" spans="1:11" x14ac:dyDescent="0.25">
      <c r="A3" s="144" t="s">
        <v>326</v>
      </c>
      <c r="C3" s="123" t="s">
        <v>327</v>
      </c>
      <c r="D3" s="415">
        <v>5000</v>
      </c>
      <c r="F3" s="438"/>
      <c r="G3" s="439"/>
      <c r="H3" s="440"/>
      <c r="I3" s="447"/>
      <c r="J3" s="448"/>
      <c r="K3" s="449"/>
    </row>
    <row r="4" spans="1:11" x14ac:dyDescent="0.25">
      <c r="C4" s="126" t="s">
        <v>330</v>
      </c>
      <c r="D4" s="249">
        <f>D3/D2</f>
        <v>0.43478260869565216</v>
      </c>
      <c r="F4" s="438"/>
      <c r="G4" s="439"/>
      <c r="H4" s="440"/>
      <c r="I4" s="447"/>
      <c r="J4" s="448"/>
      <c r="K4" s="449"/>
    </row>
    <row r="5" spans="1:11" x14ac:dyDescent="0.25">
      <c r="F5" s="441"/>
      <c r="G5" s="442"/>
      <c r="H5" s="443"/>
      <c r="I5" s="450"/>
      <c r="J5" s="451"/>
      <c r="K5" s="452"/>
    </row>
    <row r="6" spans="1:11" x14ac:dyDescent="0.25">
      <c r="A6" s="164" t="s">
        <v>319</v>
      </c>
      <c r="C6" s="64" t="s">
        <v>319</v>
      </c>
      <c r="D6" s="42"/>
      <c r="F6" s="453" t="s">
        <v>102</v>
      </c>
      <c r="G6" s="454"/>
      <c r="H6" s="454"/>
      <c r="I6" s="454"/>
      <c r="J6" s="454"/>
      <c r="K6" s="455"/>
    </row>
    <row r="7" spans="1:11" x14ac:dyDescent="0.25">
      <c r="A7" s="141" t="s">
        <v>328</v>
      </c>
      <c r="C7" s="123" t="s">
        <v>330</v>
      </c>
      <c r="D7" s="412">
        <f>D4</f>
        <v>0.43478260869565216</v>
      </c>
      <c r="F7" s="456"/>
      <c r="G7" s="457"/>
      <c r="H7" s="457"/>
      <c r="I7" s="457"/>
      <c r="J7" s="457"/>
      <c r="K7" s="458"/>
    </row>
    <row r="8" spans="1:11" x14ac:dyDescent="0.25">
      <c r="A8" s="141" t="s">
        <v>329</v>
      </c>
      <c r="C8" s="123" t="s">
        <v>384</v>
      </c>
      <c r="D8" s="411">
        <v>100000</v>
      </c>
      <c r="F8" s="456"/>
      <c r="G8" s="457"/>
      <c r="H8" s="457"/>
      <c r="I8" s="457"/>
      <c r="J8" s="457"/>
      <c r="K8" s="458"/>
    </row>
    <row r="9" spans="1:11" x14ac:dyDescent="0.25">
      <c r="A9" s="144" t="s">
        <v>104</v>
      </c>
      <c r="C9" s="126" t="s">
        <v>331</v>
      </c>
      <c r="D9" s="250">
        <f>D7*D8</f>
        <v>43478.260869565216</v>
      </c>
      <c r="F9" s="459"/>
      <c r="G9" s="460"/>
      <c r="H9" s="460"/>
      <c r="I9" s="460"/>
      <c r="J9" s="460"/>
      <c r="K9" s="461"/>
    </row>
    <row r="10" spans="1:11" ht="12.4" customHeight="1" x14ac:dyDescent="0.25">
      <c r="F10" s="462" t="s">
        <v>323</v>
      </c>
      <c r="G10" s="463"/>
      <c r="H10" s="463"/>
      <c r="I10" s="464"/>
      <c r="J10" s="471" t="s">
        <v>322</v>
      </c>
      <c r="K10" s="472"/>
    </row>
    <row r="11" spans="1:11" x14ac:dyDescent="0.25">
      <c r="F11" s="465"/>
      <c r="G11" s="466"/>
      <c r="H11" s="466"/>
      <c r="I11" s="467"/>
      <c r="J11" s="473"/>
      <c r="K11" s="474"/>
    </row>
    <row r="12" spans="1:11" x14ac:dyDescent="0.25">
      <c r="A12" s="164" t="s">
        <v>320</v>
      </c>
      <c r="C12" s="64" t="s">
        <v>320</v>
      </c>
      <c r="D12" s="42"/>
      <c r="F12" s="465"/>
      <c r="G12" s="466"/>
      <c r="H12" s="466"/>
      <c r="I12" s="467"/>
      <c r="J12" s="473"/>
      <c r="K12" s="474"/>
    </row>
    <row r="13" spans="1:11" x14ac:dyDescent="0.25">
      <c r="A13" s="141" t="s">
        <v>103</v>
      </c>
      <c r="C13" s="123" t="s">
        <v>337</v>
      </c>
      <c r="D13" s="412">
        <f>1500/D2</f>
        <v>0.13043478260869565</v>
      </c>
      <c r="F13" s="465"/>
      <c r="G13" s="466"/>
      <c r="H13" s="466"/>
      <c r="I13" s="467"/>
      <c r="J13" s="473"/>
      <c r="K13" s="474"/>
    </row>
    <row r="14" spans="1:11" x14ac:dyDescent="0.25">
      <c r="A14" s="141" t="s">
        <v>332</v>
      </c>
      <c r="C14" s="123" t="s">
        <v>384</v>
      </c>
      <c r="D14" s="411">
        <v>100000</v>
      </c>
      <c r="F14" s="465"/>
      <c r="G14" s="466"/>
      <c r="H14" s="466"/>
      <c r="I14" s="467"/>
      <c r="J14" s="473"/>
      <c r="K14" s="474"/>
    </row>
    <row r="15" spans="1:11" x14ac:dyDescent="0.25">
      <c r="A15" s="144" t="s">
        <v>105</v>
      </c>
      <c r="C15" s="126" t="s">
        <v>383</v>
      </c>
      <c r="D15" s="250">
        <f>D13*D14*0</f>
        <v>0</v>
      </c>
      <c r="F15" s="465"/>
      <c r="G15" s="466"/>
      <c r="H15" s="466"/>
      <c r="I15" s="467"/>
      <c r="J15" s="473"/>
      <c r="K15" s="474"/>
    </row>
    <row r="16" spans="1:11" x14ac:dyDescent="0.25">
      <c r="F16" s="468"/>
      <c r="G16" s="469"/>
      <c r="H16" s="469"/>
      <c r="I16" s="470"/>
      <c r="J16" s="475"/>
      <c r="K16" s="476"/>
    </row>
    <row r="17" spans="1:10" x14ac:dyDescent="0.25">
      <c r="A17" s="164" t="s">
        <v>321</v>
      </c>
      <c r="C17" s="64" t="s">
        <v>321</v>
      </c>
      <c r="D17" s="42"/>
    </row>
    <row r="18" spans="1:10" x14ac:dyDescent="0.25">
      <c r="A18" s="141" t="s">
        <v>103</v>
      </c>
      <c r="C18" s="123" t="s">
        <v>338</v>
      </c>
      <c r="D18" s="412">
        <f>3000/D2</f>
        <v>0.2608695652173913</v>
      </c>
    </row>
    <row r="19" spans="1:10" x14ac:dyDescent="0.25">
      <c r="A19" s="141" t="s">
        <v>334</v>
      </c>
      <c r="C19" s="123" t="s">
        <v>384</v>
      </c>
      <c r="D19" s="411">
        <f>45000+20000</f>
        <v>65000</v>
      </c>
    </row>
    <row r="20" spans="1:10" x14ac:dyDescent="0.25">
      <c r="A20" s="141" t="s">
        <v>336</v>
      </c>
      <c r="C20" s="126" t="s">
        <v>339</v>
      </c>
      <c r="D20" s="250">
        <f>D18*D19</f>
        <v>16956.521739130436</v>
      </c>
    </row>
    <row r="21" spans="1:10" x14ac:dyDescent="0.25">
      <c r="A21" s="141" t="s">
        <v>335</v>
      </c>
    </row>
    <row r="22" spans="1:10" x14ac:dyDescent="0.25">
      <c r="A22" s="144" t="s">
        <v>333</v>
      </c>
    </row>
    <row r="24" spans="1:10" x14ac:dyDescent="0.25">
      <c r="A24" s="164" t="s">
        <v>106</v>
      </c>
      <c r="C24" s="64" t="s">
        <v>385</v>
      </c>
      <c r="D24" s="42"/>
      <c r="J24" s="56"/>
    </row>
    <row r="25" spans="1:10" x14ac:dyDescent="0.25">
      <c r="A25" s="141" t="s">
        <v>342</v>
      </c>
      <c r="C25" s="117" t="s">
        <v>107</v>
      </c>
      <c r="D25" s="409">
        <v>92000</v>
      </c>
      <c r="J25" s="248"/>
    </row>
    <row r="26" spans="1:10" x14ac:dyDescent="0.25">
      <c r="A26" s="141" t="s">
        <v>343</v>
      </c>
      <c r="C26" s="123" t="s">
        <v>345</v>
      </c>
      <c r="D26" s="410">
        <v>115000</v>
      </c>
    </row>
    <row r="27" spans="1:10" x14ac:dyDescent="0.25">
      <c r="A27" s="141" t="s">
        <v>344</v>
      </c>
      <c r="C27" s="123" t="s">
        <v>346</v>
      </c>
      <c r="D27" s="413">
        <f>D26-D25</f>
        <v>23000</v>
      </c>
    </row>
    <row r="28" spans="1:10" x14ac:dyDescent="0.25">
      <c r="A28" s="146"/>
      <c r="C28" s="123" t="s">
        <v>347</v>
      </c>
      <c r="D28" s="412">
        <f>2000/D2</f>
        <v>0.17391304347826086</v>
      </c>
      <c r="E28" s="220"/>
      <c r="F28" s="220"/>
    </row>
    <row r="29" spans="1:10" x14ac:dyDescent="0.25">
      <c r="C29" s="126" t="s">
        <v>108</v>
      </c>
      <c r="D29" s="250">
        <f>D28*MAX(D27,0)</f>
        <v>4000</v>
      </c>
    </row>
  </sheetData>
  <mergeCells count="5">
    <mergeCell ref="F1:H5"/>
    <mergeCell ref="I1:K5"/>
    <mergeCell ref="F6:K9"/>
    <mergeCell ref="F10:I16"/>
    <mergeCell ref="J10:K16"/>
  </mergeCells>
  <pageMargins left="0.75" right="0.75" top="1" bottom="1" header="0.5" footer="0.5"/>
  <pageSetup orientation="portrait" horizontalDpi="4294967292" verticalDpi="4294967292"/>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zoomScaleNormal="100" workbookViewId="0"/>
  </sheetViews>
  <sheetFormatPr defaultColWidth="10.875" defaultRowHeight="13.5" x14ac:dyDescent="0.25"/>
  <cols>
    <col min="1" max="1" width="57.25" style="23" bestFit="1" customWidth="1"/>
    <col min="2" max="2" width="4.75" style="23" bestFit="1" customWidth="1"/>
    <col min="3" max="3" width="36.125" style="23" bestFit="1" customWidth="1"/>
    <col min="4" max="4" width="7.75" style="23" bestFit="1" customWidth="1"/>
    <col min="5" max="5" width="4" style="23" customWidth="1"/>
    <col min="6" max="6" width="13" style="23" bestFit="1" customWidth="1"/>
    <col min="7" max="7" width="13.625" style="23" customWidth="1"/>
    <col min="8" max="8" width="5.375" style="23" customWidth="1"/>
    <col min="9" max="9" width="11.625" style="23" bestFit="1" customWidth="1"/>
    <col min="10" max="10" width="4.125" style="23" customWidth="1"/>
    <col min="11" max="11" width="24.125" style="23" customWidth="1"/>
    <col min="12" max="12" width="12.625" style="23" bestFit="1" customWidth="1"/>
    <col min="13" max="16384" width="10.875" style="23"/>
  </cols>
  <sheetData>
    <row r="1" spans="1:11" x14ac:dyDescent="0.25">
      <c r="A1" s="164" t="s">
        <v>100</v>
      </c>
      <c r="C1" s="64" t="s">
        <v>100</v>
      </c>
      <c r="D1" s="42"/>
      <c r="F1" s="435" t="s">
        <v>325</v>
      </c>
      <c r="G1" s="436"/>
      <c r="H1" s="437"/>
      <c r="I1" s="444" t="s">
        <v>324</v>
      </c>
      <c r="J1" s="445"/>
      <c r="K1" s="446"/>
    </row>
    <row r="2" spans="1:11" x14ac:dyDescent="0.25">
      <c r="A2" s="141" t="s">
        <v>101</v>
      </c>
      <c r="C2" s="117" t="s">
        <v>7</v>
      </c>
      <c r="D2" s="414">
        <f>2000+3000+5000+1500</f>
        <v>11500</v>
      </c>
      <c r="F2" s="438"/>
      <c r="G2" s="439"/>
      <c r="H2" s="440"/>
      <c r="I2" s="447"/>
      <c r="J2" s="448"/>
      <c r="K2" s="449"/>
    </row>
    <row r="3" spans="1:11" x14ac:dyDescent="0.25">
      <c r="A3" s="144" t="s">
        <v>326</v>
      </c>
      <c r="C3" s="123" t="s">
        <v>327</v>
      </c>
      <c r="D3" s="415">
        <v>5000</v>
      </c>
      <c r="F3" s="438"/>
      <c r="G3" s="439"/>
      <c r="H3" s="440"/>
      <c r="I3" s="447"/>
      <c r="J3" s="448"/>
      <c r="K3" s="449"/>
    </row>
    <row r="4" spans="1:11" x14ac:dyDescent="0.25">
      <c r="C4" s="126" t="s">
        <v>330</v>
      </c>
      <c r="D4" s="249">
        <f>D3/D2</f>
        <v>0.43478260869565216</v>
      </c>
      <c r="F4" s="438"/>
      <c r="G4" s="439"/>
      <c r="H4" s="440"/>
      <c r="I4" s="447"/>
      <c r="J4" s="448"/>
      <c r="K4" s="449"/>
    </row>
    <row r="5" spans="1:11" x14ac:dyDescent="0.25">
      <c r="F5" s="441"/>
      <c r="G5" s="442"/>
      <c r="H5" s="443"/>
      <c r="I5" s="450"/>
      <c r="J5" s="451"/>
      <c r="K5" s="452"/>
    </row>
    <row r="6" spans="1:11" x14ac:dyDescent="0.25">
      <c r="A6" s="164" t="s">
        <v>319</v>
      </c>
      <c r="C6" s="64" t="s">
        <v>319</v>
      </c>
      <c r="D6" s="42"/>
      <c r="F6" s="453" t="s">
        <v>102</v>
      </c>
      <c r="G6" s="454"/>
      <c r="H6" s="454"/>
      <c r="I6" s="454"/>
      <c r="J6" s="454"/>
      <c r="K6" s="455"/>
    </row>
    <row r="7" spans="1:11" x14ac:dyDescent="0.25">
      <c r="A7" s="141" t="s">
        <v>328</v>
      </c>
      <c r="C7" s="123" t="s">
        <v>330</v>
      </c>
      <c r="D7" s="412">
        <f>D4</f>
        <v>0.43478260869565216</v>
      </c>
      <c r="F7" s="456"/>
      <c r="G7" s="457"/>
      <c r="H7" s="457"/>
      <c r="I7" s="457"/>
      <c r="J7" s="457"/>
      <c r="K7" s="458"/>
    </row>
    <row r="8" spans="1:11" x14ac:dyDescent="0.25">
      <c r="A8" s="141" t="s">
        <v>329</v>
      </c>
      <c r="C8" s="123" t="s">
        <v>384</v>
      </c>
      <c r="D8" s="411">
        <v>100000</v>
      </c>
      <c r="F8" s="456"/>
      <c r="G8" s="457"/>
      <c r="H8" s="457"/>
      <c r="I8" s="457"/>
      <c r="J8" s="457"/>
      <c r="K8" s="458"/>
    </row>
    <row r="9" spans="1:11" x14ac:dyDescent="0.25">
      <c r="A9" s="144" t="s">
        <v>104</v>
      </c>
      <c r="C9" s="126" t="s">
        <v>331</v>
      </c>
      <c r="D9" s="250">
        <f>D8*D7</f>
        <v>43478.260869565216</v>
      </c>
      <c r="F9" s="459"/>
      <c r="G9" s="460"/>
      <c r="H9" s="460"/>
      <c r="I9" s="460"/>
      <c r="J9" s="460"/>
      <c r="K9" s="461"/>
    </row>
    <row r="10" spans="1:11" ht="12.4" customHeight="1" x14ac:dyDescent="0.25">
      <c r="F10" s="462" t="s">
        <v>323</v>
      </c>
      <c r="G10" s="463"/>
      <c r="H10" s="463"/>
      <c r="I10" s="464"/>
      <c r="J10" s="471" t="s">
        <v>322</v>
      </c>
      <c r="K10" s="472"/>
    </row>
    <row r="11" spans="1:11" x14ac:dyDescent="0.25">
      <c r="F11" s="465"/>
      <c r="G11" s="466"/>
      <c r="H11" s="466"/>
      <c r="I11" s="467"/>
      <c r="J11" s="473"/>
      <c r="K11" s="474"/>
    </row>
    <row r="12" spans="1:11" x14ac:dyDescent="0.25">
      <c r="A12" s="164" t="s">
        <v>320</v>
      </c>
      <c r="C12" s="64" t="s">
        <v>320</v>
      </c>
      <c r="D12" s="42"/>
      <c r="F12" s="465"/>
      <c r="G12" s="466"/>
      <c r="H12" s="466"/>
      <c r="I12" s="467"/>
      <c r="J12" s="473"/>
      <c r="K12" s="474"/>
    </row>
    <row r="13" spans="1:11" x14ac:dyDescent="0.25">
      <c r="A13" s="141" t="s">
        <v>103</v>
      </c>
      <c r="C13" s="123" t="s">
        <v>337</v>
      </c>
      <c r="D13" s="412">
        <f>1500/D2</f>
        <v>0.13043478260869565</v>
      </c>
      <c r="F13" s="465"/>
      <c r="G13" s="466"/>
      <c r="H13" s="466"/>
      <c r="I13" s="467"/>
      <c r="J13" s="473"/>
      <c r="K13" s="474"/>
    </row>
    <row r="14" spans="1:11" x14ac:dyDescent="0.25">
      <c r="A14" s="141" t="s">
        <v>332</v>
      </c>
      <c r="C14" s="123" t="s">
        <v>384</v>
      </c>
      <c r="D14" s="411">
        <v>100000</v>
      </c>
      <c r="F14" s="465"/>
      <c r="G14" s="466"/>
      <c r="H14" s="466"/>
      <c r="I14" s="467"/>
      <c r="J14" s="473"/>
      <c r="K14" s="474"/>
    </row>
    <row r="15" spans="1:11" x14ac:dyDescent="0.25">
      <c r="A15" s="144" t="s">
        <v>105</v>
      </c>
      <c r="C15" s="126" t="s">
        <v>383</v>
      </c>
      <c r="D15" s="250">
        <f>D14*D13*0</f>
        <v>0</v>
      </c>
      <c r="F15" s="465"/>
      <c r="G15" s="466"/>
      <c r="H15" s="466"/>
      <c r="I15" s="467"/>
      <c r="J15" s="473"/>
      <c r="K15" s="474"/>
    </row>
    <row r="16" spans="1:11" x14ac:dyDescent="0.25">
      <c r="F16" s="468"/>
      <c r="G16" s="469"/>
      <c r="H16" s="469"/>
      <c r="I16" s="470"/>
      <c r="J16" s="475"/>
      <c r="K16" s="476"/>
    </row>
    <row r="17" spans="1:10" x14ac:dyDescent="0.25">
      <c r="A17" s="164" t="s">
        <v>321</v>
      </c>
      <c r="C17" s="64" t="s">
        <v>321</v>
      </c>
      <c r="D17" s="42"/>
    </row>
    <row r="18" spans="1:10" x14ac:dyDescent="0.25">
      <c r="A18" s="141" t="s">
        <v>103</v>
      </c>
      <c r="C18" s="123" t="s">
        <v>338</v>
      </c>
      <c r="D18" s="412">
        <f>3000/D2</f>
        <v>0.2608695652173913</v>
      </c>
    </row>
    <row r="19" spans="1:10" x14ac:dyDescent="0.25">
      <c r="A19" s="141" t="s">
        <v>334</v>
      </c>
      <c r="C19" s="123" t="s">
        <v>384</v>
      </c>
      <c r="D19" s="411">
        <f>45000+20000</f>
        <v>65000</v>
      </c>
    </row>
    <row r="20" spans="1:10" x14ac:dyDescent="0.25">
      <c r="A20" s="141" t="s">
        <v>336</v>
      </c>
      <c r="C20" s="126" t="s">
        <v>339</v>
      </c>
      <c r="D20" s="250">
        <f>D18*D19</f>
        <v>16956.521739130436</v>
      </c>
    </row>
    <row r="21" spans="1:10" x14ac:dyDescent="0.25">
      <c r="A21" s="141" t="s">
        <v>335</v>
      </c>
    </row>
    <row r="22" spans="1:10" x14ac:dyDescent="0.25">
      <c r="A22" s="144" t="s">
        <v>333</v>
      </c>
    </row>
    <row r="24" spans="1:10" x14ac:dyDescent="0.25">
      <c r="A24" s="164" t="s">
        <v>106</v>
      </c>
      <c r="C24" s="64" t="s">
        <v>385</v>
      </c>
      <c r="D24" s="42"/>
      <c r="J24" s="56"/>
    </row>
    <row r="25" spans="1:10" x14ac:dyDescent="0.25">
      <c r="A25" s="141" t="s">
        <v>342</v>
      </c>
      <c r="C25" s="117" t="s">
        <v>107</v>
      </c>
      <c r="D25" s="409">
        <v>92000</v>
      </c>
      <c r="J25" s="248"/>
    </row>
    <row r="26" spans="1:10" x14ac:dyDescent="0.25">
      <c r="A26" s="141" t="s">
        <v>343</v>
      </c>
      <c r="C26" s="123" t="s">
        <v>345</v>
      </c>
      <c r="D26" s="410">
        <v>115000</v>
      </c>
    </row>
    <row r="27" spans="1:10" x14ac:dyDescent="0.25">
      <c r="A27" s="141" t="s">
        <v>344</v>
      </c>
      <c r="C27" s="123" t="s">
        <v>346</v>
      </c>
      <c r="D27" s="413">
        <f>MAX(D26-D25,0)</f>
        <v>23000</v>
      </c>
    </row>
    <row r="28" spans="1:10" x14ac:dyDescent="0.25">
      <c r="A28" s="146"/>
      <c r="C28" s="123" t="s">
        <v>347</v>
      </c>
      <c r="D28" s="412">
        <f>2000/D2</f>
        <v>0.17391304347826086</v>
      </c>
      <c r="E28" s="220"/>
      <c r="F28" s="220"/>
    </row>
    <row r="29" spans="1:10" x14ac:dyDescent="0.25">
      <c r="C29" s="126" t="s">
        <v>108</v>
      </c>
      <c r="D29" s="250">
        <f>D27*D28</f>
        <v>4000</v>
      </c>
    </row>
  </sheetData>
  <mergeCells count="5">
    <mergeCell ref="F1:H5"/>
    <mergeCell ref="I1:K5"/>
    <mergeCell ref="F6:K9"/>
    <mergeCell ref="F10:I16"/>
    <mergeCell ref="J10:K16"/>
  </mergeCells>
  <pageMargins left="0.75" right="0.75" top="1" bottom="1" header="0.5" footer="0.5"/>
  <pageSetup orientation="portrait" horizontalDpi="4294967292" verticalDpi="4294967292"/>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zoomScale="110" zoomScaleNormal="130" workbookViewId="0">
      <selection activeCell="G29" sqref="G29"/>
    </sheetView>
  </sheetViews>
  <sheetFormatPr defaultColWidth="10.875" defaultRowHeight="13.5" x14ac:dyDescent="0.25"/>
  <cols>
    <col min="1" max="1" width="47.125" style="23" bestFit="1" customWidth="1"/>
    <col min="2" max="2" width="8.25" style="23" bestFit="1" customWidth="1"/>
    <col min="3" max="3" width="20.625" style="23" bestFit="1" customWidth="1"/>
    <col min="4" max="4" width="9" style="23" customWidth="1"/>
    <col min="5" max="5" width="9" style="23" bestFit="1" customWidth="1"/>
    <col min="6" max="6" width="9" style="23" customWidth="1"/>
    <col min="7" max="8" width="9" style="23" bestFit="1" customWidth="1"/>
    <col min="9" max="12" width="8.625" style="23" bestFit="1" customWidth="1"/>
    <col min="13" max="15" width="8.125" style="23" bestFit="1" customWidth="1"/>
    <col min="16" max="16" width="9.125" style="23" bestFit="1" customWidth="1"/>
    <col min="17" max="16384" width="10.875" style="23"/>
  </cols>
  <sheetData>
    <row r="1" spans="1:4" ht="16.5" x14ac:dyDescent="0.3">
      <c r="A1" s="164" t="s">
        <v>142</v>
      </c>
      <c r="C1" s="115" t="s">
        <v>142</v>
      </c>
      <c r="D1" s="24"/>
    </row>
    <row r="2" spans="1:4" x14ac:dyDescent="0.25">
      <c r="A2" s="141" t="s">
        <v>372</v>
      </c>
      <c r="C2" s="117" t="s">
        <v>0</v>
      </c>
      <c r="D2" s="273">
        <v>735000</v>
      </c>
    </row>
    <row r="3" spans="1:4" x14ac:dyDescent="0.25">
      <c r="A3" s="141" t="s">
        <v>407</v>
      </c>
      <c r="C3" s="123" t="s">
        <v>351</v>
      </c>
      <c r="D3" s="275">
        <v>-21000</v>
      </c>
    </row>
    <row r="4" spans="1:4" x14ac:dyDescent="0.25">
      <c r="A4" s="141" t="s">
        <v>373</v>
      </c>
      <c r="C4" s="123" t="s">
        <v>193</v>
      </c>
      <c r="D4" s="275">
        <v>85000</v>
      </c>
    </row>
    <row r="5" spans="1:4" x14ac:dyDescent="0.25">
      <c r="A5" s="144" t="s">
        <v>374</v>
      </c>
      <c r="C5" s="123" t="s">
        <v>179</v>
      </c>
      <c r="D5" s="275">
        <v>-290000</v>
      </c>
    </row>
    <row r="6" spans="1:4" x14ac:dyDescent="0.25">
      <c r="C6" s="15" t="s">
        <v>142</v>
      </c>
      <c r="D6" s="270">
        <f>-D5/SUM(D2:D4)</f>
        <v>0.36295369211514394</v>
      </c>
    </row>
    <row r="9" spans="1:4" ht="16.5" x14ac:dyDescent="0.3">
      <c r="A9" s="164" t="s">
        <v>144</v>
      </c>
      <c r="C9" s="115" t="s">
        <v>144</v>
      </c>
      <c r="D9" s="24"/>
    </row>
    <row r="10" spans="1:4" x14ac:dyDescent="0.25">
      <c r="A10" s="141" t="s">
        <v>375</v>
      </c>
      <c r="C10" s="117" t="s">
        <v>0</v>
      </c>
      <c r="D10" s="156">
        <v>735000</v>
      </c>
    </row>
    <row r="11" spans="1:4" x14ac:dyDescent="0.25">
      <c r="A11" s="141" t="s">
        <v>376</v>
      </c>
      <c r="C11" s="123" t="s">
        <v>175</v>
      </c>
      <c r="D11" s="158">
        <v>85000</v>
      </c>
    </row>
    <row r="12" spans="1:4" x14ac:dyDescent="0.25">
      <c r="A12" s="141" t="s">
        <v>377</v>
      </c>
      <c r="C12" s="123" t="s">
        <v>185</v>
      </c>
      <c r="D12" s="158">
        <f>D5</f>
        <v>-290000</v>
      </c>
    </row>
    <row r="13" spans="1:4" x14ac:dyDescent="0.25">
      <c r="A13" s="144" t="s">
        <v>378</v>
      </c>
      <c r="C13" s="123" t="s">
        <v>143</v>
      </c>
      <c r="D13" s="158">
        <v>-230000</v>
      </c>
    </row>
    <row r="14" spans="1:4" x14ac:dyDescent="0.25">
      <c r="C14" s="15" t="s">
        <v>144</v>
      </c>
      <c r="D14" s="269">
        <f>-SUM(D12:D13)/SUM(D10:D11)</f>
        <v>0.63414634146341464</v>
      </c>
    </row>
    <row r="17" spans="1:8" x14ac:dyDescent="0.25">
      <c r="A17" s="164" t="s">
        <v>386</v>
      </c>
      <c r="C17" s="166"/>
      <c r="D17" s="174" t="s">
        <v>119</v>
      </c>
      <c r="E17" s="174" t="s">
        <v>120</v>
      </c>
      <c r="F17" s="165" t="s">
        <v>350</v>
      </c>
    </row>
    <row r="18" spans="1:8" x14ac:dyDescent="0.25">
      <c r="A18" s="141" t="s">
        <v>379</v>
      </c>
      <c r="C18" s="123" t="s">
        <v>121</v>
      </c>
      <c r="D18" s="343">
        <v>0.7</v>
      </c>
      <c r="E18" s="344">
        <f>1-D18</f>
        <v>0.30000000000000004</v>
      </c>
      <c r="F18" s="349"/>
    </row>
    <row r="19" spans="1:8" x14ac:dyDescent="0.25">
      <c r="A19" s="141" t="s">
        <v>380</v>
      </c>
      <c r="C19" s="123" t="s">
        <v>231</v>
      </c>
      <c r="D19" s="345">
        <v>35</v>
      </c>
      <c r="E19" s="345">
        <v>40</v>
      </c>
      <c r="F19" s="330">
        <f>D19*D$18+E19*E$18</f>
        <v>36.5</v>
      </c>
    </row>
    <row r="20" spans="1:8" x14ac:dyDescent="0.25">
      <c r="A20" s="141" t="s">
        <v>381</v>
      </c>
      <c r="C20" s="123" t="s">
        <v>9</v>
      </c>
      <c r="D20" s="346">
        <v>0.04</v>
      </c>
      <c r="E20" s="346">
        <v>0.06</v>
      </c>
      <c r="F20" s="327">
        <f t="shared" ref="F20:F22" si="0">D20*D$18+E20*E$18</f>
        <v>4.5999999999999999E-2</v>
      </c>
    </row>
    <row r="21" spans="1:8" x14ac:dyDescent="0.25">
      <c r="A21" s="141" t="s">
        <v>113</v>
      </c>
      <c r="C21" s="123" t="s">
        <v>112</v>
      </c>
      <c r="D21" s="347">
        <v>0</v>
      </c>
      <c r="E21" s="347">
        <v>25</v>
      </c>
      <c r="F21" s="330">
        <f t="shared" si="0"/>
        <v>7.5000000000000009</v>
      </c>
    </row>
    <row r="22" spans="1:8" x14ac:dyDescent="0.25">
      <c r="A22" s="141" t="s">
        <v>114</v>
      </c>
      <c r="C22" s="128" t="s">
        <v>235</v>
      </c>
      <c r="D22" s="348">
        <v>0</v>
      </c>
      <c r="E22" s="348">
        <v>6</v>
      </c>
      <c r="F22" s="331">
        <f t="shared" si="0"/>
        <v>1.8000000000000003</v>
      </c>
    </row>
    <row r="23" spans="1:8" x14ac:dyDescent="0.25">
      <c r="A23" s="141" t="s">
        <v>115</v>
      </c>
    </row>
    <row r="24" spans="1:8" x14ac:dyDescent="0.25">
      <c r="A24" s="141" t="s">
        <v>348</v>
      </c>
      <c r="C24" s="166"/>
      <c r="D24" s="167">
        <v>1</v>
      </c>
      <c r="E24" s="167">
        <f>D24+1</f>
        <v>2</v>
      </c>
      <c r="F24" s="167">
        <f>E24+1</f>
        <v>3</v>
      </c>
      <c r="G24" s="167">
        <f>F24+1</f>
        <v>4</v>
      </c>
      <c r="H24" s="168">
        <f>G24+1</f>
        <v>5</v>
      </c>
    </row>
    <row r="25" spans="1:8" x14ac:dyDescent="0.25">
      <c r="A25" s="141" t="s">
        <v>349</v>
      </c>
      <c r="C25" s="123" t="s">
        <v>42</v>
      </c>
      <c r="D25" s="251">
        <f>$F$19*2000</f>
        <v>73000</v>
      </c>
      <c r="E25" s="251">
        <f t="shared" ref="E25:H25" si="1">$F$19*2000</f>
        <v>73000</v>
      </c>
      <c r="F25" s="251">
        <f t="shared" si="1"/>
        <v>73000</v>
      </c>
      <c r="G25" s="251">
        <f t="shared" si="1"/>
        <v>73000</v>
      </c>
      <c r="H25" s="252">
        <f t="shared" si="1"/>
        <v>73000</v>
      </c>
    </row>
    <row r="26" spans="1:8" x14ac:dyDescent="0.25">
      <c r="A26" s="141" t="s">
        <v>116</v>
      </c>
      <c r="C26" s="123" t="s">
        <v>235</v>
      </c>
      <c r="D26" s="251">
        <f>D25*-(F22/12)</f>
        <v>-10950.000000000002</v>
      </c>
      <c r="E26" s="253">
        <v>0</v>
      </c>
      <c r="F26" s="253">
        <v>0</v>
      </c>
      <c r="G26" s="253">
        <v>0</v>
      </c>
      <c r="H26" s="254">
        <v>0</v>
      </c>
    </row>
    <row r="27" spans="1:8" x14ac:dyDescent="0.25">
      <c r="A27" s="141" t="s">
        <v>117</v>
      </c>
      <c r="C27" s="123" t="s">
        <v>123</v>
      </c>
      <c r="D27" s="251">
        <f>SUM(D25:H25)*-F20</f>
        <v>-16790</v>
      </c>
      <c r="E27" s="253">
        <v>0</v>
      </c>
      <c r="F27" s="253">
        <v>0</v>
      </c>
      <c r="G27" s="253">
        <v>0</v>
      </c>
      <c r="H27" s="254">
        <v>0</v>
      </c>
    </row>
    <row r="28" spans="1:8" x14ac:dyDescent="0.25">
      <c r="A28" s="141" t="s">
        <v>118</v>
      </c>
      <c r="C28" s="128" t="s">
        <v>122</v>
      </c>
      <c r="D28" s="255">
        <f>-F21*2000</f>
        <v>-15000.000000000002</v>
      </c>
      <c r="E28" s="256">
        <v>0</v>
      </c>
      <c r="F28" s="256">
        <v>0</v>
      </c>
      <c r="G28" s="256">
        <v>0</v>
      </c>
      <c r="H28" s="257">
        <v>0</v>
      </c>
    </row>
    <row r="29" spans="1:8" x14ac:dyDescent="0.25">
      <c r="A29" s="144" t="s">
        <v>382</v>
      </c>
      <c r="C29" s="157" t="s">
        <v>387</v>
      </c>
      <c r="D29" s="258">
        <f>SUM(D25:D28)</f>
        <v>30260</v>
      </c>
      <c r="E29" s="259">
        <f t="shared" ref="E29:H29" si="2">SUM(E25:E28)</f>
        <v>73000</v>
      </c>
      <c r="F29" s="259">
        <f t="shared" si="2"/>
        <v>73000</v>
      </c>
      <c r="G29" s="259">
        <f t="shared" si="2"/>
        <v>73000</v>
      </c>
      <c r="H29" s="260">
        <f t="shared" si="2"/>
        <v>73000</v>
      </c>
    </row>
  </sheetData>
  <pageMargins left="0.75" right="0.75" top="1" bottom="1" header="0.5" footer="0.5"/>
  <pageSetup scale="39" orientation="portrait" horizontalDpi="4294967292" vertic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zoomScale="110" zoomScaleNormal="130" workbookViewId="0"/>
  </sheetViews>
  <sheetFormatPr defaultColWidth="10.875" defaultRowHeight="13.5" x14ac:dyDescent="0.25"/>
  <cols>
    <col min="1" max="1" width="47.125" style="23" bestFit="1" customWidth="1"/>
    <col min="2" max="2" width="8.25" style="23" bestFit="1" customWidth="1"/>
    <col min="3" max="3" width="18.75" style="23" bestFit="1" customWidth="1"/>
    <col min="4" max="4" width="9.125" style="23" bestFit="1" customWidth="1"/>
    <col min="5" max="5" width="8" style="23" bestFit="1" customWidth="1"/>
    <col min="6" max="6" width="11.25" style="23" bestFit="1" customWidth="1"/>
    <col min="7" max="8" width="8" style="23" bestFit="1" customWidth="1"/>
    <col min="9" max="12" width="8.625" style="23" bestFit="1" customWidth="1"/>
    <col min="13" max="15" width="8.125" style="23" bestFit="1" customWidth="1"/>
    <col min="16" max="16" width="9.125" style="23" bestFit="1" customWidth="1"/>
    <col min="17" max="16384" width="10.875" style="23"/>
  </cols>
  <sheetData>
    <row r="1" spans="1:4" ht="16.5" x14ac:dyDescent="0.3">
      <c r="A1" s="164" t="s">
        <v>142</v>
      </c>
      <c r="C1" s="115" t="s">
        <v>142</v>
      </c>
      <c r="D1" s="24"/>
    </row>
    <row r="2" spans="1:4" x14ac:dyDescent="0.25">
      <c r="A2" s="141" t="s">
        <v>372</v>
      </c>
      <c r="C2" s="117" t="s">
        <v>0</v>
      </c>
      <c r="D2" s="273">
        <v>735000</v>
      </c>
    </row>
    <row r="3" spans="1:4" x14ac:dyDescent="0.25">
      <c r="A3" s="141" t="s">
        <v>407</v>
      </c>
      <c r="C3" s="123" t="s">
        <v>351</v>
      </c>
      <c r="D3" s="275">
        <v>-21000</v>
      </c>
    </row>
    <row r="4" spans="1:4" x14ac:dyDescent="0.25">
      <c r="A4" s="141" t="s">
        <v>373</v>
      </c>
      <c r="C4" s="123" t="s">
        <v>193</v>
      </c>
      <c r="D4" s="275">
        <v>85000</v>
      </c>
    </row>
    <row r="5" spans="1:4" x14ac:dyDescent="0.25">
      <c r="A5" s="144" t="s">
        <v>374</v>
      </c>
      <c r="C5" s="123" t="s">
        <v>179</v>
      </c>
      <c r="D5" s="275">
        <v>-290000</v>
      </c>
    </row>
    <row r="6" spans="1:4" x14ac:dyDescent="0.25">
      <c r="C6" s="15" t="s">
        <v>142</v>
      </c>
      <c r="D6" s="270">
        <f>-D5/SUM(D2:D4)</f>
        <v>0.36295369211514394</v>
      </c>
    </row>
    <row r="9" spans="1:4" ht="16.5" x14ac:dyDescent="0.3">
      <c r="A9" s="164" t="s">
        <v>144</v>
      </c>
      <c r="C9" s="115" t="s">
        <v>144</v>
      </c>
      <c r="D9" s="24"/>
    </row>
    <row r="10" spans="1:4" x14ac:dyDescent="0.25">
      <c r="A10" s="141" t="s">
        <v>375</v>
      </c>
      <c r="C10" s="117" t="s">
        <v>0</v>
      </c>
      <c r="D10" s="156">
        <v>735000</v>
      </c>
    </row>
    <row r="11" spans="1:4" x14ac:dyDescent="0.25">
      <c r="A11" s="141" t="s">
        <v>376</v>
      </c>
      <c r="C11" s="123" t="s">
        <v>175</v>
      </c>
      <c r="D11" s="158">
        <v>85000</v>
      </c>
    </row>
    <row r="12" spans="1:4" x14ac:dyDescent="0.25">
      <c r="A12" s="141" t="s">
        <v>377</v>
      </c>
      <c r="C12" s="123" t="s">
        <v>185</v>
      </c>
      <c r="D12" s="158">
        <f>D5</f>
        <v>-290000</v>
      </c>
    </row>
    <row r="13" spans="1:4" x14ac:dyDescent="0.25">
      <c r="A13" s="144" t="s">
        <v>378</v>
      </c>
      <c r="C13" s="123" t="s">
        <v>143</v>
      </c>
      <c r="D13" s="158">
        <v>-230000</v>
      </c>
    </row>
    <row r="14" spans="1:4" x14ac:dyDescent="0.25">
      <c r="C14" s="15" t="s">
        <v>144</v>
      </c>
      <c r="D14" s="269">
        <f>-SUM(D12:D13)/SUM(D10:D11)</f>
        <v>0.63414634146341464</v>
      </c>
    </row>
    <row r="17" spans="1:8" x14ac:dyDescent="0.25">
      <c r="A17" s="164" t="s">
        <v>386</v>
      </c>
      <c r="C17" s="166"/>
      <c r="D17" s="174" t="s">
        <v>119</v>
      </c>
      <c r="E17" s="174" t="s">
        <v>120</v>
      </c>
      <c r="F17" s="165" t="s">
        <v>350</v>
      </c>
    </row>
    <row r="18" spans="1:8" x14ac:dyDescent="0.25">
      <c r="A18" s="141" t="s">
        <v>379</v>
      </c>
      <c r="C18" s="123" t="s">
        <v>121</v>
      </c>
      <c r="D18" s="343">
        <v>0.7</v>
      </c>
      <c r="E18" s="344">
        <f>1-D18</f>
        <v>0.30000000000000004</v>
      </c>
      <c r="F18" s="349"/>
    </row>
    <row r="19" spans="1:8" x14ac:dyDescent="0.25">
      <c r="A19" s="141" t="s">
        <v>380</v>
      </c>
      <c r="C19" s="123" t="s">
        <v>231</v>
      </c>
      <c r="D19" s="345">
        <v>35</v>
      </c>
      <c r="E19" s="345">
        <v>40</v>
      </c>
      <c r="F19" s="330">
        <f>D19*D$18+E19*E$18</f>
        <v>36.5</v>
      </c>
    </row>
    <row r="20" spans="1:8" x14ac:dyDescent="0.25">
      <c r="A20" s="141" t="s">
        <v>381</v>
      </c>
      <c r="C20" s="123" t="s">
        <v>9</v>
      </c>
      <c r="D20" s="346">
        <v>0.04</v>
      </c>
      <c r="E20" s="346">
        <v>0.06</v>
      </c>
      <c r="F20" s="327">
        <f t="shared" ref="F20:F22" si="0">D20*D$18+E20*E$18</f>
        <v>4.5999999999999999E-2</v>
      </c>
    </row>
    <row r="21" spans="1:8" x14ac:dyDescent="0.25">
      <c r="A21" s="141" t="s">
        <v>113</v>
      </c>
      <c r="C21" s="123" t="s">
        <v>112</v>
      </c>
      <c r="D21" s="347">
        <v>0</v>
      </c>
      <c r="E21" s="347">
        <v>25</v>
      </c>
      <c r="F21" s="330">
        <f t="shared" si="0"/>
        <v>7.5000000000000009</v>
      </c>
    </row>
    <row r="22" spans="1:8" x14ac:dyDescent="0.25">
      <c r="A22" s="141" t="s">
        <v>114</v>
      </c>
      <c r="C22" s="128" t="s">
        <v>235</v>
      </c>
      <c r="D22" s="348">
        <v>0</v>
      </c>
      <c r="E22" s="348">
        <v>6</v>
      </c>
      <c r="F22" s="331">
        <f t="shared" si="0"/>
        <v>1.8000000000000003</v>
      </c>
    </row>
    <row r="23" spans="1:8" x14ac:dyDescent="0.25">
      <c r="A23" s="141" t="s">
        <v>115</v>
      </c>
    </row>
    <row r="24" spans="1:8" x14ac:dyDescent="0.25">
      <c r="A24" s="141" t="s">
        <v>348</v>
      </c>
      <c r="C24" s="166"/>
      <c r="D24" s="167">
        <v>1</v>
      </c>
      <c r="E24" s="167">
        <f>D24+1</f>
        <v>2</v>
      </c>
      <c r="F24" s="167">
        <f>E24+1</f>
        <v>3</v>
      </c>
      <c r="G24" s="167">
        <f>F24+1</f>
        <v>4</v>
      </c>
      <c r="H24" s="168">
        <f>G24+1</f>
        <v>5</v>
      </c>
    </row>
    <row r="25" spans="1:8" x14ac:dyDescent="0.25">
      <c r="A25" s="141" t="s">
        <v>349</v>
      </c>
      <c r="C25" s="123" t="s">
        <v>42</v>
      </c>
      <c r="D25" s="251">
        <f>$F$19*2000</f>
        <v>73000</v>
      </c>
      <c r="E25" s="251">
        <f t="shared" ref="E25:H25" si="1">$F$19*2000</f>
        <v>73000</v>
      </c>
      <c r="F25" s="251">
        <f t="shared" si="1"/>
        <v>73000</v>
      </c>
      <c r="G25" s="251">
        <f t="shared" si="1"/>
        <v>73000</v>
      </c>
      <c r="H25" s="252">
        <f t="shared" si="1"/>
        <v>73000</v>
      </c>
    </row>
    <row r="26" spans="1:8" x14ac:dyDescent="0.25">
      <c r="A26" s="141" t="s">
        <v>116</v>
      </c>
      <c r="C26" s="123" t="s">
        <v>235</v>
      </c>
      <c r="D26" s="251">
        <f>D25*-(F22/12)</f>
        <v>-10950.000000000002</v>
      </c>
      <c r="E26" s="253"/>
      <c r="F26" s="253"/>
      <c r="G26" s="253"/>
      <c r="H26" s="254"/>
    </row>
    <row r="27" spans="1:8" x14ac:dyDescent="0.25">
      <c r="A27" s="141" t="s">
        <v>117</v>
      </c>
      <c r="C27" s="123" t="s">
        <v>123</v>
      </c>
      <c r="D27" s="251">
        <f>SUM(D25:H25)*-F20</f>
        <v>-16790</v>
      </c>
      <c r="E27" s="253"/>
      <c r="F27" s="253"/>
      <c r="G27" s="253"/>
      <c r="H27" s="254"/>
    </row>
    <row r="28" spans="1:8" x14ac:dyDescent="0.25">
      <c r="A28" s="141" t="s">
        <v>118</v>
      </c>
      <c r="C28" s="128" t="s">
        <v>122</v>
      </c>
      <c r="D28" s="255">
        <f>-F21*2000</f>
        <v>-15000.000000000002</v>
      </c>
      <c r="E28" s="256"/>
      <c r="F28" s="256"/>
      <c r="G28" s="256"/>
      <c r="H28" s="257"/>
    </row>
    <row r="29" spans="1:8" x14ac:dyDescent="0.25">
      <c r="A29" s="144" t="s">
        <v>382</v>
      </c>
      <c r="C29" s="157" t="s">
        <v>387</v>
      </c>
      <c r="D29" s="258">
        <f>SUM(D25:D28)</f>
        <v>30260</v>
      </c>
      <c r="E29" s="259">
        <f t="shared" ref="E29:H29" si="2">SUM(E25:E28)</f>
        <v>73000</v>
      </c>
      <c r="F29" s="259">
        <f t="shared" si="2"/>
        <v>73000</v>
      </c>
      <c r="G29" s="259">
        <f t="shared" si="2"/>
        <v>73000</v>
      </c>
      <c r="H29" s="260">
        <f t="shared" si="2"/>
        <v>73000</v>
      </c>
    </row>
  </sheetData>
  <pageMargins left="0.75" right="0.75" top="1" bottom="1" header="0.5" footer="0.5"/>
  <pageSetup scale="39" orientation="portrait" horizontalDpi="4294967292" vertic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Normal="100" workbookViewId="0">
      <selection activeCell="D14" sqref="D14"/>
    </sheetView>
  </sheetViews>
  <sheetFormatPr defaultColWidth="10.875" defaultRowHeight="13.5" x14ac:dyDescent="0.25"/>
  <cols>
    <col min="1" max="1" width="69.875" style="23" bestFit="1" customWidth="1"/>
    <col min="2" max="2" width="3.875" style="23" customWidth="1"/>
    <col min="3" max="3" width="22.5" style="23" bestFit="1" customWidth="1"/>
    <col min="4" max="4" width="8.375" style="23" bestFit="1" customWidth="1"/>
    <col min="5" max="5" width="7.5" style="23" bestFit="1" customWidth="1"/>
    <col min="6" max="6" width="23.625" style="23" bestFit="1" customWidth="1"/>
    <col min="7" max="15" width="9" style="23" bestFit="1" customWidth="1"/>
    <col min="16" max="16" width="10.125" style="23" bestFit="1" customWidth="1"/>
    <col min="17" max="16384" width="10.875" style="23"/>
  </cols>
  <sheetData>
    <row r="1" spans="1:16" x14ac:dyDescent="0.25">
      <c r="A1" s="164" t="s">
        <v>11</v>
      </c>
      <c r="C1" s="115" t="s">
        <v>234</v>
      </c>
      <c r="D1" s="41"/>
      <c r="F1" s="166"/>
      <c r="G1" s="167">
        <v>1</v>
      </c>
      <c r="H1" s="167">
        <f t="shared" ref="H1:P1" si="0">G1+1</f>
        <v>2</v>
      </c>
      <c r="I1" s="167">
        <f t="shared" si="0"/>
        <v>3</v>
      </c>
      <c r="J1" s="167">
        <f t="shared" si="0"/>
        <v>4</v>
      </c>
      <c r="K1" s="167">
        <f t="shared" si="0"/>
        <v>5</v>
      </c>
      <c r="L1" s="167">
        <f t="shared" si="0"/>
        <v>6</v>
      </c>
      <c r="M1" s="167">
        <f t="shared" si="0"/>
        <v>7</v>
      </c>
      <c r="N1" s="167">
        <f t="shared" si="0"/>
        <v>8</v>
      </c>
      <c r="O1" s="167">
        <f t="shared" si="0"/>
        <v>9</v>
      </c>
      <c r="P1" s="168">
        <f t="shared" si="0"/>
        <v>10</v>
      </c>
    </row>
    <row r="2" spans="1:16" x14ac:dyDescent="0.25">
      <c r="A2" s="350" t="s">
        <v>391</v>
      </c>
      <c r="C2" s="117" t="s">
        <v>230</v>
      </c>
      <c r="D2" s="176">
        <v>3000</v>
      </c>
      <c r="F2" s="123" t="s">
        <v>42</v>
      </c>
      <c r="G2" s="76">
        <f>D2*D3</f>
        <v>78000</v>
      </c>
      <c r="H2" s="76">
        <f t="shared" ref="H2:P2" si="1">G2*(1+$D$4)</f>
        <v>80340</v>
      </c>
      <c r="I2" s="76">
        <f t="shared" si="1"/>
        <v>82750.2</v>
      </c>
      <c r="J2" s="76">
        <f t="shared" si="1"/>
        <v>85232.706000000006</v>
      </c>
      <c r="K2" s="76">
        <f t="shared" si="1"/>
        <v>87789.687180000008</v>
      </c>
      <c r="L2" s="76">
        <f t="shared" si="1"/>
        <v>90423.377795400011</v>
      </c>
      <c r="M2" s="76">
        <f t="shared" si="1"/>
        <v>93136.079129262012</v>
      </c>
      <c r="N2" s="76">
        <f t="shared" si="1"/>
        <v>95930.161503139869</v>
      </c>
      <c r="O2" s="76">
        <f t="shared" si="1"/>
        <v>98808.066348234061</v>
      </c>
      <c r="P2" s="77">
        <f t="shared" si="1"/>
        <v>101772.30833868109</v>
      </c>
    </row>
    <row r="3" spans="1:16" x14ac:dyDescent="0.25">
      <c r="A3" s="350" t="s">
        <v>392</v>
      </c>
      <c r="C3" s="123" t="s">
        <v>231</v>
      </c>
      <c r="D3" s="175">
        <v>26</v>
      </c>
      <c r="F3" s="123" t="s">
        <v>232</v>
      </c>
      <c r="G3" s="76">
        <f>G2*-(D5/12)</f>
        <v>-39000</v>
      </c>
      <c r="H3" s="76">
        <f>H1*$D$6</f>
        <v>0.12</v>
      </c>
      <c r="I3" s="76">
        <f>I1*$D$6</f>
        <v>0.18</v>
      </c>
      <c r="J3" s="76">
        <f>J1*$D$6</f>
        <v>0.24</v>
      </c>
      <c r="K3" s="76">
        <f>K1*$D$6</f>
        <v>0.3</v>
      </c>
      <c r="L3" s="76">
        <f>L1*$D$7</f>
        <v>0.18</v>
      </c>
      <c r="M3" s="76">
        <f>M1*$D$7</f>
        <v>0.21</v>
      </c>
      <c r="N3" s="76">
        <f>N1*$D$7</f>
        <v>0.24</v>
      </c>
      <c r="O3" s="76">
        <f>O1*$D$7</f>
        <v>0.27</v>
      </c>
      <c r="P3" s="77">
        <f>P1*$D$7</f>
        <v>0.3</v>
      </c>
    </row>
    <row r="4" spans="1:16" x14ac:dyDescent="0.25">
      <c r="A4" s="350" t="s">
        <v>388</v>
      </c>
      <c r="C4" s="123" t="s">
        <v>229</v>
      </c>
      <c r="D4" s="29">
        <v>0.03</v>
      </c>
      <c r="F4" s="126" t="s">
        <v>233</v>
      </c>
      <c r="G4" s="55">
        <f>SUM(G2:G3)</f>
        <v>39000</v>
      </c>
      <c r="H4" s="55">
        <f t="shared" ref="H4:P4" si="2">SUM(H2:H3)</f>
        <v>80340.12</v>
      </c>
      <c r="I4" s="55">
        <f t="shared" si="2"/>
        <v>82750.37999999999</v>
      </c>
      <c r="J4" s="55">
        <f t="shared" si="2"/>
        <v>85232.946000000011</v>
      </c>
      <c r="K4" s="55">
        <f t="shared" si="2"/>
        <v>87789.987180000011</v>
      </c>
      <c r="L4" s="55">
        <f t="shared" si="2"/>
        <v>90423.557795400004</v>
      </c>
      <c r="M4" s="55">
        <f t="shared" si="2"/>
        <v>93136.289129262019</v>
      </c>
      <c r="N4" s="55">
        <f t="shared" si="2"/>
        <v>95930.401503139874</v>
      </c>
      <c r="O4" s="55">
        <f t="shared" si="2"/>
        <v>98808.336348234065</v>
      </c>
      <c r="P4" s="177">
        <f t="shared" si="2"/>
        <v>101772.60833868109</v>
      </c>
    </row>
    <row r="5" spans="1:16" x14ac:dyDescent="0.25">
      <c r="A5" s="350" t="s">
        <v>389</v>
      </c>
      <c r="C5" s="123" t="s">
        <v>232</v>
      </c>
      <c r="D5" s="30">
        <v>6</v>
      </c>
      <c r="O5" s="170"/>
    </row>
    <row r="6" spans="1:16" x14ac:dyDescent="0.25">
      <c r="A6" s="351" t="s">
        <v>390</v>
      </c>
      <c r="C6" s="123" t="s">
        <v>393</v>
      </c>
      <c r="D6" s="29">
        <v>0.06</v>
      </c>
    </row>
    <row r="7" spans="1:16" x14ac:dyDescent="0.25">
      <c r="C7" s="128" t="s">
        <v>394</v>
      </c>
      <c r="D7" s="171">
        <v>0.03</v>
      </c>
    </row>
    <row r="8" spans="1:16" x14ac:dyDescent="0.25">
      <c r="C8" s="62" t="s">
        <v>109</v>
      </c>
      <c r="D8" s="172">
        <f>SUM(G4:K4)*D6+SUM(L4:P4)*D7</f>
        <v>36908.941784241513</v>
      </c>
    </row>
    <row r="10" spans="1:16" x14ac:dyDescent="0.25">
      <c r="A10" s="164" t="s">
        <v>110</v>
      </c>
      <c r="C10" s="115" t="s">
        <v>133</v>
      </c>
      <c r="D10" s="41"/>
    </row>
    <row r="11" spans="1:16" x14ac:dyDescent="0.25">
      <c r="A11" s="350" t="s">
        <v>395</v>
      </c>
      <c r="C11" s="117" t="s">
        <v>112</v>
      </c>
      <c r="D11" s="169">
        <v>20</v>
      </c>
    </row>
    <row r="12" spans="1:16" x14ac:dyDescent="0.25">
      <c r="A12" s="350" t="s">
        <v>396</v>
      </c>
      <c r="C12" s="128" t="s">
        <v>50</v>
      </c>
      <c r="D12" s="173">
        <v>3000</v>
      </c>
    </row>
    <row r="13" spans="1:16" x14ac:dyDescent="0.25">
      <c r="A13" s="350" t="s">
        <v>397</v>
      </c>
      <c r="C13" s="126" t="s">
        <v>111</v>
      </c>
      <c r="D13" s="172">
        <f>D11*D12</f>
        <v>60000</v>
      </c>
    </row>
    <row r="14" spans="1:16" x14ac:dyDescent="0.25">
      <c r="A14" s="351" t="s">
        <v>398</v>
      </c>
    </row>
  </sheetData>
  <dataValidations count="1">
    <dataValidation type="list" allowBlank="1" showInputMessage="1" showErrorMessage="1" sqref="D5">
      <formula1>"1,2,3,4,5,6,7,8,9,10,11,12"</formula1>
    </dataValidation>
  </dataValidations>
  <pageMargins left="0.75" right="0.75" top="1" bottom="1" header="0.5" footer="0.5"/>
  <pageSetup scale="39" orientation="portrait" horizontalDpi="4294967292" vertic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Normal="100" workbookViewId="0"/>
  </sheetViews>
  <sheetFormatPr defaultColWidth="10.875" defaultRowHeight="13.5" x14ac:dyDescent="0.25"/>
  <cols>
    <col min="1" max="1" width="69.875" style="23" bestFit="1" customWidth="1"/>
    <col min="2" max="2" width="3.875" style="23" customWidth="1"/>
    <col min="3" max="3" width="20" style="23" bestFit="1" customWidth="1"/>
    <col min="4" max="4" width="8.25" style="23" bestFit="1" customWidth="1"/>
    <col min="5" max="5" width="7.5" style="23" bestFit="1" customWidth="1"/>
    <col min="6" max="6" width="21.125" style="23" bestFit="1" customWidth="1"/>
    <col min="7" max="8" width="8.125" style="23" bestFit="1" customWidth="1"/>
    <col min="9" max="12" width="8.625" style="23" bestFit="1" customWidth="1"/>
    <col min="13" max="15" width="8.125" style="23" bestFit="1" customWidth="1"/>
    <col min="16" max="16" width="9.125" style="23" bestFit="1" customWidth="1"/>
    <col min="17" max="16384" width="10.875" style="23"/>
  </cols>
  <sheetData>
    <row r="1" spans="1:16" x14ac:dyDescent="0.25">
      <c r="A1" s="164" t="s">
        <v>11</v>
      </c>
      <c r="C1" s="115" t="s">
        <v>234</v>
      </c>
      <c r="D1" s="41"/>
      <c r="F1" s="166"/>
      <c r="G1" s="167">
        <v>1</v>
      </c>
      <c r="H1" s="167">
        <f t="shared" ref="H1:P1" si="0">G1+1</f>
        <v>2</v>
      </c>
      <c r="I1" s="167">
        <f t="shared" si="0"/>
        <v>3</v>
      </c>
      <c r="J1" s="167">
        <f t="shared" si="0"/>
        <v>4</v>
      </c>
      <c r="K1" s="167">
        <f t="shared" si="0"/>
        <v>5</v>
      </c>
      <c r="L1" s="167">
        <f t="shared" si="0"/>
        <v>6</v>
      </c>
      <c r="M1" s="167">
        <f t="shared" si="0"/>
        <v>7</v>
      </c>
      <c r="N1" s="167">
        <f t="shared" si="0"/>
        <v>8</v>
      </c>
      <c r="O1" s="167">
        <f t="shared" si="0"/>
        <v>9</v>
      </c>
      <c r="P1" s="168">
        <f t="shared" si="0"/>
        <v>10</v>
      </c>
    </row>
    <row r="2" spans="1:16" x14ac:dyDescent="0.25">
      <c r="A2" s="350" t="s">
        <v>391</v>
      </c>
      <c r="C2" s="117" t="s">
        <v>230</v>
      </c>
      <c r="D2" s="176">
        <v>3000</v>
      </c>
      <c r="F2" s="123" t="s">
        <v>42</v>
      </c>
      <c r="G2" s="76">
        <f>D2*D3</f>
        <v>78000</v>
      </c>
      <c r="H2" s="76">
        <f t="shared" ref="H2:P2" si="1">G2*(1+$D$4)</f>
        <v>80340</v>
      </c>
      <c r="I2" s="76">
        <f t="shared" si="1"/>
        <v>82750.2</v>
      </c>
      <c r="J2" s="76">
        <f t="shared" si="1"/>
        <v>85232.706000000006</v>
      </c>
      <c r="K2" s="76">
        <f t="shared" si="1"/>
        <v>87789.687180000008</v>
      </c>
      <c r="L2" s="76">
        <f t="shared" si="1"/>
        <v>90423.377795400011</v>
      </c>
      <c r="M2" s="76">
        <f t="shared" si="1"/>
        <v>93136.079129262012</v>
      </c>
      <c r="N2" s="76">
        <f t="shared" si="1"/>
        <v>95930.161503139869</v>
      </c>
      <c r="O2" s="76">
        <f t="shared" si="1"/>
        <v>98808.066348234061</v>
      </c>
      <c r="P2" s="77">
        <f t="shared" si="1"/>
        <v>101772.30833868109</v>
      </c>
    </row>
    <row r="3" spans="1:16" x14ac:dyDescent="0.25">
      <c r="A3" s="350" t="s">
        <v>392</v>
      </c>
      <c r="C3" s="123" t="s">
        <v>231</v>
      </c>
      <c r="D3" s="175">
        <v>26</v>
      </c>
      <c r="F3" s="123" t="s">
        <v>232</v>
      </c>
      <c r="G3" s="76">
        <f>G2*-(D5/12)</f>
        <v>-39000</v>
      </c>
      <c r="H3" s="76">
        <f>H1*$D$6</f>
        <v>0.12</v>
      </c>
      <c r="I3" s="76">
        <f>I1*$D$6</f>
        <v>0.18</v>
      </c>
      <c r="J3" s="76">
        <f>J1*$D$6</f>
        <v>0.24</v>
      </c>
      <c r="K3" s="76">
        <f>K1*$D$6</f>
        <v>0.3</v>
      </c>
      <c r="L3" s="76">
        <f>L1*$D$7</f>
        <v>0.18</v>
      </c>
      <c r="M3" s="76">
        <f>M1*$D$7</f>
        <v>0.21</v>
      </c>
      <c r="N3" s="76">
        <f>N1*$D$7</f>
        <v>0.24</v>
      </c>
      <c r="O3" s="76">
        <f>O1*$D$7</f>
        <v>0.27</v>
      </c>
      <c r="P3" s="77">
        <f>P1*$D$7</f>
        <v>0.3</v>
      </c>
    </row>
    <row r="4" spans="1:16" x14ac:dyDescent="0.25">
      <c r="A4" s="350" t="s">
        <v>388</v>
      </c>
      <c r="C4" s="123" t="s">
        <v>229</v>
      </c>
      <c r="D4" s="29">
        <v>0.03</v>
      </c>
      <c r="F4" s="126" t="s">
        <v>233</v>
      </c>
      <c r="G4" s="55">
        <f>SUM(G2:G3)</f>
        <v>39000</v>
      </c>
      <c r="H4" s="55">
        <f t="shared" ref="H4:P4" si="2">SUM(H2:H3)</f>
        <v>80340.12</v>
      </c>
      <c r="I4" s="55">
        <f t="shared" si="2"/>
        <v>82750.37999999999</v>
      </c>
      <c r="J4" s="55">
        <f t="shared" si="2"/>
        <v>85232.946000000011</v>
      </c>
      <c r="K4" s="55">
        <f t="shared" si="2"/>
        <v>87789.987180000011</v>
      </c>
      <c r="L4" s="55">
        <f t="shared" si="2"/>
        <v>90423.557795400004</v>
      </c>
      <c r="M4" s="55">
        <f t="shared" si="2"/>
        <v>93136.289129262019</v>
      </c>
      <c r="N4" s="55">
        <f t="shared" si="2"/>
        <v>95930.401503139874</v>
      </c>
      <c r="O4" s="55">
        <f t="shared" si="2"/>
        <v>98808.336348234065</v>
      </c>
      <c r="P4" s="177">
        <f t="shared" si="2"/>
        <v>101772.60833868109</v>
      </c>
    </row>
    <row r="5" spans="1:16" x14ac:dyDescent="0.25">
      <c r="A5" s="350" t="s">
        <v>389</v>
      </c>
      <c r="C5" s="123" t="s">
        <v>232</v>
      </c>
      <c r="D5" s="30">
        <v>6</v>
      </c>
      <c r="O5" s="170"/>
    </row>
    <row r="6" spans="1:16" x14ac:dyDescent="0.25">
      <c r="A6" s="351" t="s">
        <v>390</v>
      </c>
      <c r="C6" s="123" t="s">
        <v>393</v>
      </c>
      <c r="D6" s="29">
        <v>0.06</v>
      </c>
    </row>
    <row r="7" spans="1:16" x14ac:dyDescent="0.25">
      <c r="C7" s="128" t="s">
        <v>394</v>
      </c>
      <c r="D7" s="171">
        <v>0.03</v>
      </c>
    </row>
    <row r="8" spans="1:16" x14ac:dyDescent="0.25">
      <c r="C8" s="62" t="s">
        <v>109</v>
      </c>
      <c r="D8" s="172">
        <f>SUM(G4:K4)*D6+SUM(L4:P4)*D7</f>
        <v>36908.941784241513</v>
      </c>
    </row>
    <row r="10" spans="1:16" x14ac:dyDescent="0.25">
      <c r="A10" s="164" t="s">
        <v>110</v>
      </c>
      <c r="C10" s="115" t="s">
        <v>133</v>
      </c>
      <c r="D10" s="41"/>
    </row>
    <row r="11" spans="1:16" x14ac:dyDescent="0.25">
      <c r="A11" s="350" t="s">
        <v>395</v>
      </c>
      <c r="C11" s="117" t="s">
        <v>112</v>
      </c>
      <c r="D11" s="169">
        <v>20</v>
      </c>
    </row>
    <row r="12" spans="1:16" x14ac:dyDescent="0.25">
      <c r="A12" s="350" t="s">
        <v>396</v>
      </c>
      <c r="C12" s="128" t="s">
        <v>50</v>
      </c>
      <c r="D12" s="173">
        <v>3000</v>
      </c>
    </row>
    <row r="13" spans="1:16" x14ac:dyDescent="0.25">
      <c r="A13" s="350" t="s">
        <v>397</v>
      </c>
      <c r="C13" s="126" t="s">
        <v>111</v>
      </c>
      <c r="D13" s="172">
        <f>D11*D12</f>
        <v>60000</v>
      </c>
    </row>
    <row r="14" spans="1:16" x14ac:dyDescent="0.25">
      <c r="A14" s="351" t="s">
        <v>398</v>
      </c>
    </row>
  </sheetData>
  <dataValidations count="1">
    <dataValidation type="list" allowBlank="1" showInputMessage="1" showErrorMessage="1" sqref="D5">
      <formula1>"1,2,3,4,5,6,7,8,9,10,11,12"</formula1>
    </dataValidation>
  </dataValidations>
  <pageMargins left="0.75" right="0.75" top="1" bottom="1" header="0.5" footer="0.5"/>
  <pageSetup scale="39" orientation="portrait" horizontalDpi="4294967292" vertic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zoomScale="150" zoomScaleNormal="150" zoomScalePageLayoutView="180" workbookViewId="0">
      <selection activeCell="D12" sqref="D12"/>
    </sheetView>
  </sheetViews>
  <sheetFormatPr defaultColWidth="10.875" defaultRowHeight="13.5" x14ac:dyDescent="0.25"/>
  <cols>
    <col min="1" max="2" width="10.125" style="23" bestFit="1" customWidth="1"/>
    <col min="3" max="3" width="2.125" style="23" customWidth="1"/>
    <col min="4" max="4" width="11" style="23" bestFit="1" customWidth="1"/>
    <col min="5" max="5" width="57.875" style="23" bestFit="1" customWidth="1"/>
    <col min="6" max="6" width="9.625" style="23" bestFit="1" customWidth="1"/>
    <col min="7" max="16384" width="10.875" style="23"/>
  </cols>
  <sheetData>
    <row r="1" spans="1:7" x14ac:dyDescent="0.25">
      <c r="A1" s="20" t="s">
        <v>91</v>
      </c>
      <c r="B1" s="19"/>
      <c r="D1" s="18" t="s">
        <v>33</v>
      </c>
      <c r="E1" s="17" t="s">
        <v>34</v>
      </c>
      <c r="F1" s="16" t="s">
        <v>35</v>
      </c>
    </row>
    <row r="2" spans="1:7" x14ac:dyDescent="0.25">
      <c r="A2" s="117" t="s">
        <v>18</v>
      </c>
      <c r="B2" s="138">
        <v>7000000</v>
      </c>
      <c r="D2" s="246" t="s">
        <v>163</v>
      </c>
      <c r="E2" s="146" t="s">
        <v>221</v>
      </c>
      <c r="F2" s="352">
        <f>PMT(B4/12,B3*12,B2,0,0)</f>
        <v>-34846.825490138523</v>
      </c>
    </row>
    <row r="3" spans="1:7" x14ac:dyDescent="0.25">
      <c r="A3" s="123" t="s">
        <v>12</v>
      </c>
      <c r="B3" s="140">
        <v>30</v>
      </c>
      <c r="D3" s="335" t="s">
        <v>31</v>
      </c>
      <c r="E3" s="22" t="s">
        <v>227</v>
      </c>
      <c r="F3" s="353">
        <f>IPMT($B$4/12,42,$B$3*12,$B$2,0,0)</f>
        <v>-23860.208216456474</v>
      </c>
    </row>
    <row r="4" spans="1:7" x14ac:dyDescent="0.25">
      <c r="A4" s="123" t="s">
        <v>25</v>
      </c>
      <c r="B4" s="29">
        <v>4.3499999999999997E-2</v>
      </c>
      <c r="D4" s="335" t="s">
        <v>32</v>
      </c>
      <c r="E4" s="22" t="s">
        <v>228</v>
      </c>
      <c r="F4" s="353">
        <f>PPMT($B$4/12,42,$B$3*12,$B$2,0,0)</f>
        <v>-10986.61727368205</v>
      </c>
      <c r="G4" s="69"/>
    </row>
    <row r="5" spans="1:7" x14ac:dyDescent="0.25">
      <c r="A5" s="128" t="s">
        <v>28</v>
      </c>
      <c r="B5" s="32">
        <v>10</v>
      </c>
      <c r="D5" s="335" t="s">
        <v>29</v>
      </c>
      <c r="E5" s="22" t="s">
        <v>317</v>
      </c>
      <c r="F5" s="354">
        <f>-CUMIPMT($B$4/12,$B$3*12,$B$2,1,3*12,0)</f>
        <v>890952.82782792882</v>
      </c>
    </row>
    <row r="6" spans="1:7" x14ac:dyDescent="0.25">
      <c r="A6" s="142"/>
      <c r="B6" s="143"/>
      <c r="D6" s="336" t="s">
        <v>30</v>
      </c>
      <c r="E6" s="145" t="s">
        <v>318</v>
      </c>
      <c r="F6" s="355">
        <f>B2+CUMPRINC($B$4/12,$B$3*12,$B$2,1,B5*12,0)</f>
        <v>5579230.4468200989</v>
      </c>
    </row>
    <row r="12" spans="1:7" x14ac:dyDescent="0.25">
      <c r="D12" s="496">
        <f>PMT(0.106/12,30*12,1000500,0,0)</f>
        <v>-9226.8497747367001</v>
      </c>
    </row>
  </sheetData>
  <pageMargins left="0.75" right="0.75" top="1" bottom="1" header="0.5" footer="0.5"/>
  <pageSetup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zoomScale="150" zoomScaleNormal="150" zoomScalePageLayoutView="180" workbookViewId="0"/>
  </sheetViews>
  <sheetFormatPr defaultColWidth="10.875" defaultRowHeight="13.5" x14ac:dyDescent="0.25"/>
  <cols>
    <col min="1" max="1" width="10" style="23" bestFit="1" customWidth="1"/>
    <col min="2" max="2" width="9.75" style="23" bestFit="1" customWidth="1"/>
    <col min="3" max="3" width="2.125" style="23" customWidth="1"/>
    <col min="4" max="4" width="8.5" style="23" bestFit="1" customWidth="1"/>
    <col min="5" max="5" width="57.375" style="23" bestFit="1" customWidth="1"/>
    <col min="6" max="6" width="9.625" style="23" bestFit="1" customWidth="1"/>
    <col min="7" max="16384" width="10.875" style="23"/>
  </cols>
  <sheetData>
    <row r="1" spans="1:6" x14ac:dyDescent="0.25">
      <c r="A1" s="20" t="s">
        <v>91</v>
      </c>
      <c r="B1" s="19"/>
      <c r="D1" s="18" t="s">
        <v>33</v>
      </c>
      <c r="E1" s="17" t="s">
        <v>34</v>
      </c>
      <c r="F1" s="16" t="s">
        <v>35</v>
      </c>
    </row>
    <row r="2" spans="1:6" x14ac:dyDescent="0.25">
      <c r="A2" s="117" t="s">
        <v>18</v>
      </c>
      <c r="B2" s="138">
        <v>7000000</v>
      </c>
      <c r="D2" s="246" t="s">
        <v>163</v>
      </c>
      <c r="E2" s="146" t="s">
        <v>221</v>
      </c>
      <c r="F2" s="352">
        <f>-PMT(B4/12,B3*12,B2,0,0)</f>
        <v>34846.825490138523</v>
      </c>
    </row>
    <row r="3" spans="1:6" x14ac:dyDescent="0.25">
      <c r="A3" s="123" t="s">
        <v>12</v>
      </c>
      <c r="B3" s="140">
        <v>30</v>
      </c>
      <c r="D3" s="335" t="s">
        <v>31</v>
      </c>
      <c r="E3" s="22" t="s">
        <v>227</v>
      </c>
      <c r="F3" s="353">
        <f>-IPMT($B$4/12,72,$B$3*12,$B$2,0,0)</f>
        <v>22600.434429095483</v>
      </c>
    </row>
    <row r="4" spans="1:6" x14ac:dyDescent="0.25">
      <c r="A4" s="123" t="s">
        <v>25</v>
      </c>
      <c r="B4" s="29">
        <v>4.3499999999999997E-2</v>
      </c>
      <c r="D4" s="335" t="s">
        <v>32</v>
      </c>
      <c r="E4" s="22" t="s">
        <v>228</v>
      </c>
      <c r="F4" s="353">
        <f>-PPMT($B$4/12,42,$B$3*12,$B$2,0,0)</f>
        <v>10986.61727368205</v>
      </c>
    </row>
    <row r="5" spans="1:6" x14ac:dyDescent="0.25">
      <c r="A5" s="128" t="s">
        <v>28</v>
      </c>
      <c r="B5" s="32">
        <v>10</v>
      </c>
      <c r="D5" s="335" t="s">
        <v>29</v>
      </c>
      <c r="E5" s="22" t="s">
        <v>317</v>
      </c>
      <c r="F5" s="354">
        <f>-CUMIPMT($B$4/12,$B$3*12,$B$2,1,36,0)</f>
        <v>890952.82782792882</v>
      </c>
    </row>
    <row r="6" spans="1:6" x14ac:dyDescent="0.25">
      <c r="A6" s="142"/>
      <c r="B6" s="143"/>
      <c r="D6" s="336" t="s">
        <v>30</v>
      </c>
      <c r="E6" s="145" t="s">
        <v>318</v>
      </c>
      <c r="F6" s="355">
        <f>B2+CUMPRINC($B$4/12,$B$3*12,$B$2,1,120,0)</f>
        <v>5579230.4468200989</v>
      </c>
    </row>
  </sheetData>
  <pageMargins left="0.75" right="0.75" top="1" bottom="1" header="0.5" footer="0.5"/>
  <pageSetup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7"/>
  <sheetViews>
    <sheetView showGridLines="0" topLeftCell="A238" zoomScale="120" zoomScaleNormal="120" zoomScalePageLayoutView="150" workbookViewId="0">
      <selection activeCell="E241" sqref="E241"/>
    </sheetView>
  </sheetViews>
  <sheetFormatPr defaultColWidth="10.875" defaultRowHeight="13.5" x14ac:dyDescent="0.25"/>
  <cols>
    <col min="1" max="1" width="17.375" style="23" bestFit="1" customWidth="1"/>
    <col min="2" max="2" width="11.25" style="23" bestFit="1" customWidth="1"/>
    <col min="3" max="3" width="8.875" style="23" bestFit="1" customWidth="1"/>
    <col min="4" max="4" width="7.125" style="23" bestFit="1" customWidth="1"/>
    <col min="5" max="5" width="17.5" style="23" bestFit="1" customWidth="1"/>
    <col min="6" max="6" width="13.5" style="23" bestFit="1" customWidth="1"/>
    <col min="7" max="7" width="16.875" style="23" bestFit="1" customWidth="1"/>
    <col min="8" max="8" width="16" style="23" bestFit="1" customWidth="1"/>
    <col min="9" max="9" width="14.75" style="23" bestFit="1" customWidth="1"/>
    <col min="10" max="16384" width="10.875" style="23"/>
  </cols>
  <sheetData>
    <row r="1" spans="1:9" x14ac:dyDescent="0.25">
      <c r="A1" s="115" t="s">
        <v>91</v>
      </c>
      <c r="B1" s="41"/>
      <c r="D1" s="97" t="s">
        <v>94</v>
      </c>
      <c r="E1" s="174" t="s">
        <v>95</v>
      </c>
      <c r="F1" s="174" t="s">
        <v>170</v>
      </c>
      <c r="G1" s="174" t="s">
        <v>96</v>
      </c>
      <c r="H1" s="174" t="s">
        <v>97</v>
      </c>
      <c r="I1" s="165" t="s">
        <v>98</v>
      </c>
    </row>
    <row r="2" spans="1:9" x14ac:dyDescent="0.25">
      <c r="A2" s="117" t="s">
        <v>18</v>
      </c>
      <c r="B2" s="261">
        <v>1000000</v>
      </c>
      <c r="D2" s="262">
        <v>1</v>
      </c>
      <c r="E2" s="303">
        <f>B2</f>
        <v>1000000</v>
      </c>
      <c r="F2" s="303">
        <f>SUM(G2:H2)</f>
        <v>9222.2386554089953</v>
      </c>
      <c r="G2" s="304">
        <f>IF(AND(D2&gt;$B$4,D2/12&lt;=$B$6),-PPMT($B$5/12,D2-$B$4,$B$3*12,$B$2,0,0),0)</f>
        <v>388.90532207566173</v>
      </c>
      <c r="H2" s="303">
        <f>E2*$B$5/12</f>
        <v>8833.3333333333339</v>
      </c>
      <c r="I2" s="305">
        <f>E2-G2</f>
        <v>999611.09467792429</v>
      </c>
    </row>
    <row r="3" spans="1:9" x14ac:dyDescent="0.25">
      <c r="A3" s="123" t="s">
        <v>12</v>
      </c>
      <c r="B3" s="263">
        <v>30</v>
      </c>
      <c r="D3" s="262">
        <f>D2+1</f>
        <v>2</v>
      </c>
      <c r="E3" s="303">
        <f>IF(D3/12&gt;$B$6,0,I2)</f>
        <v>999611.09467792429</v>
      </c>
      <c r="F3" s="303">
        <f>SUM(G3:H3)</f>
        <v>9222.2386554089953</v>
      </c>
      <c r="G3" s="304">
        <f>IF(AND(D3&gt;$B$4,D3/12&lt;=$B$6),-PPMT($B$5/12,D3-$B$4,$B$3*12,$B$2,0,0),0)</f>
        <v>392.34065242066333</v>
      </c>
      <c r="H3" s="303">
        <f>E3*$B$5/12</f>
        <v>8829.8980029883314</v>
      </c>
      <c r="I3" s="305">
        <f>E3-G3</f>
        <v>999218.75402550364</v>
      </c>
    </row>
    <row r="4" spans="1:9" x14ac:dyDescent="0.25">
      <c r="A4" s="123" t="s">
        <v>92</v>
      </c>
      <c r="B4" s="264">
        <v>0</v>
      </c>
      <c r="D4" s="262">
        <f t="shared" ref="D4:D67" si="0">D3+1</f>
        <v>3</v>
      </c>
      <c r="E4" s="303">
        <f t="shared" ref="E4:E67" si="1">IF(D4/12&gt;$B$6,0,I3)</f>
        <v>999218.75402550364</v>
      </c>
      <c r="F4" s="303">
        <f t="shared" ref="F4:F67" si="2">SUM(G4:H4)</f>
        <v>9222.2386554089953</v>
      </c>
      <c r="G4" s="304">
        <f t="shared" ref="G4:G67" si="3">IF(AND(D4&gt;$B$4,D4/12&lt;=$B$6),-PPMT($B$5/12,D4-$B$4,$B$3*12,$B$2,0,0),0)</f>
        <v>395.80632818371259</v>
      </c>
      <c r="H4" s="303">
        <f t="shared" ref="H4:H67" si="4">E4*$B$5/12</f>
        <v>8826.4323272252823</v>
      </c>
      <c r="I4" s="305">
        <f t="shared" ref="I4:I67" si="5">E4-G4</f>
        <v>998822.94769731991</v>
      </c>
    </row>
    <row r="5" spans="1:9" x14ac:dyDescent="0.25">
      <c r="A5" s="123" t="s">
        <v>93</v>
      </c>
      <c r="B5" s="265">
        <v>0.106</v>
      </c>
      <c r="D5" s="262">
        <f>D4+1</f>
        <v>4</v>
      </c>
      <c r="E5" s="303">
        <f t="shared" si="1"/>
        <v>998822.94769731991</v>
      </c>
      <c r="F5" s="303">
        <f t="shared" si="2"/>
        <v>9222.2386554089935</v>
      </c>
      <c r="G5" s="304">
        <f t="shared" si="3"/>
        <v>399.30261741600202</v>
      </c>
      <c r="H5" s="303">
        <f t="shared" si="4"/>
        <v>8822.9360379929913</v>
      </c>
      <c r="I5" s="305">
        <f t="shared" si="5"/>
        <v>998423.64507990389</v>
      </c>
    </row>
    <row r="6" spans="1:9" x14ac:dyDescent="0.25">
      <c r="A6" s="123" t="s">
        <v>45</v>
      </c>
      <c r="B6" s="263">
        <v>30</v>
      </c>
      <c r="D6" s="262">
        <f>D5+1</f>
        <v>5</v>
      </c>
      <c r="E6" s="303">
        <f t="shared" si="1"/>
        <v>998423.64507990389</v>
      </c>
      <c r="F6" s="303">
        <f t="shared" si="2"/>
        <v>9222.2386554089953</v>
      </c>
      <c r="G6" s="304">
        <f t="shared" si="3"/>
        <v>402.82979053651013</v>
      </c>
      <c r="H6" s="303">
        <f t="shared" si="4"/>
        <v>8819.4088648724846</v>
      </c>
      <c r="I6" s="305">
        <f t="shared" si="5"/>
        <v>998020.81528936734</v>
      </c>
    </row>
    <row r="7" spans="1:9" x14ac:dyDescent="0.25">
      <c r="A7" s="128" t="s">
        <v>99</v>
      </c>
      <c r="B7" s="309">
        <f>VLOOKUP(B6*12,D2:I361,6,0)</f>
        <v>-5.2932591643184423E-10</v>
      </c>
      <c r="D7" s="262">
        <f t="shared" si="0"/>
        <v>6</v>
      </c>
      <c r="E7" s="303">
        <f t="shared" si="1"/>
        <v>998020.81528936734</v>
      </c>
      <c r="F7" s="303">
        <f t="shared" si="2"/>
        <v>9222.2386554089953</v>
      </c>
      <c r="G7" s="304">
        <f t="shared" si="3"/>
        <v>406.38812035291602</v>
      </c>
      <c r="H7" s="303">
        <f t="shared" si="4"/>
        <v>8815.850535056079</v>
      </c>
      <c r="I7" s="305">
        <f t="shared" si="5"/>
        <v>997614.42716901447</v>
      </c>
    </row>
    <row r="8" spans="1:9" x14ac:dyDescent="0.25">
      <c r="D8" s="262">
        <f t="shared" si="0"/>
        <v>7</v>
      </c>
      <c r="E8" s="303">
        <f t="shared" si="1"/>
        <v>997614.42716901447</v>
      </c>
      <c r="F8" s="303">
        <f t="shared" si="2"/>
        <v>9222.2386554089935</v>
      </c>
      <c r="G8" s="304">
        <f t="shared" si="3"/>
        <v>409.97788208269998</v>
      </c>
      <c r="H8" s="303">
        <f t="shared" si="4"/>
        <v>8812.2607733262939</v>
      </c>
      <c r="I8" s="305">
        <f t="shared" si="5"/>
        <v>997204.44928693178</v>
      </c>
    </row>
    <row r="9" spans="1:9" x14ac:dyDescent="0.25">
      <c r="D9" s="262">
        <f t="shared" si="0"/>
        <v>8</v>
      </c>
      <c r="E9" s="303">
        <f t="shared" si="1"/>
        <v>997204.44928693178</v>
      </c>
      <c r="F9" s="303">
        <f t="shared" si="2"/>
        <v>9222.2386554089953</v>
      </c>
      <c r="G9" s="304">
        <f t="shared" si="3"/>
        <v>413.59935337443045</v>
      </c>
      <c r="H9" s="303">
        <f t="shared" si="4"/>
        <v>8808.639302034564</v>
      </c>
      <c r="I9" s="305">
        <f t="shared" si="5"/>
        <v>996790.84993355733</v>
      </c>
    </row>
    <row r="10" spans="1:9" x14ac:dyDescent="0.25">
      <c r="D10" s="262">
        <f t="shared" si="0"/>
        <v>9</v>
      </c>
      <c r="E10" s="303">
        <f t="shared" si="1"/>
        <v>996790.84993355733</v>
      </c>
      <c r="F10" s="303">
        <f t="shared" si="2"/>
        <v>9222.2386554089935</v>
      </c>
      <c r="G10" s="304">
        <f t="shared" si="3"/>
        <v>417.25281432923794</v>
      </c>
      <c r="H10" s="303">
        <f t="shared" si="4"/>
        <v>8804.9858410797551</v>
      </c>
      <c r="I10" s="305">
        <f t="shared" si="5"/>
        <v>996373.5971192281</v>
      </c>
    </row>
    <row r="11" spans="1:9" x14ac:dyDescent="0.25">
      <c r="D11" s="262">
        <f t="shared" si="0"/>
        <v>10</v>
      </c>
      <c r="E11" s="303">
        <f t="shared" si="1"/>
        <v>996373.5971192281</v>
      </c>
      <c r="F11" s="303">
        <f t="shared" si="2"/>
        <v>9222.2386554089935</v>
      </c>
      <c r="G11" s="304">
        <f t="shared" si="3"/>
        <v>420.93854752247955</v>
      </c>
      <c r="H11" s="303">
        <f t="shared" si="4"/>
        <v>8801.3001078865145</v>
      </c>
      <c r="I11" s="305">
        <f t="shared" si="5"/>
        <v>995952.65857170557</v>
      </c>
    </row>
    <row r="12" spans="1:9" x14ac:dyDescent="0.25">
      <c r="D12" s="262">
        <f t="shared" si="0"/>
        <v>11</v>
      </c>
      <c r="E12" s="303">
        <f t="shared" si="1"/>
        <v>995952.65857170557</v>
      </c>
      <c r="F12" s="303">
        <f t="shared" si="2"/>
        <v>9222.2386554089935</v>
      </c>
      <c r="G12" s="304">
        <f t="shared" si="3"/>
        <v>424.65683802559482</v>
      </c>
      <c r="H12" s="303">
        <f t="shared" si="4"/>
        <v>8797.5818173833995</v>
      </c>
      <c r="I12" s="305">
        <f t="shared" si="5"/>
        <v>995528.00173368002</v>
      </c>
    </row>
    <row r="13" spans="1:9" x14ac:dyDescent="0.25">
      <c r="D13" s="262">
        <f t="shared" si="0"/>
        <v>12</v>
      </c>
      <c r="E13" s="303">
        <f t="shared" si="1"/>
        <v>995528.00173368002</v>
      </c>
      <c r="F13" s="303">
        <f t="shared" si="2"/>
        <v>9222.2386554089953</v>
      </c>
      <c r="G13" s="304">
        <f t="shared" si="3"/>
        <v>428.40797342815426</v>
      </c>
      <c r="H13" s="303">
        <f t="shared" si="4"/>
        <v>8793.8306819808404</v>
      </c>
      <c r="I13" s="305">
        <f t="shared" si="5"/>
        <v>995099.59376025188</v>
      </c>
    </row>
    <row r="14" spans="1:9" x14ac:dyDescent="0.25">
      <c r="D14" s="262">
        <f t="shared" si="0"/>
        <v>13</v>
      </c>
      <c r="E14" s="303">
        <f t="shared" si="1"/>
        <v>995099.59376025188</v>
      </c>
      <c r="F14" s="303">
        <f t="shared" si="2"/>
        <v>9222.2386554089953</v>
      </c>
      <c r="G14" s="304">
        <f t="shared" si="3"/>
        <v>432.19224386010296</v>
      </c>
      <c r="H14" s="303">
        <f t="shared" si="4"/>
        <v>8790.0464115488921</v>
      </c>
      <c r="I14" s="305">
        <f t="shared" si="5"/>
        <v>994667.40151639178</v>
      </c>
    </row>
    <row r="15" spans="1:9" x14ac:dyDescent="0.25">
      <c r="D15" s="262">
        <f t="shared" si="0"/>
        <v>14</v>
      </c>
      <c r="E15" s="303">
        <f t="shared" si="1"/>
        <v>994667.40151639178</v>
      </c>
      <c r="F15" s="303">
        <f t="shared" si="2"/>
        <v>9222.2386554089935</v>
      </c>
      <c r="G15" s="304">
        <f t="shared" si="3"/>
        <v>436.00994201420053</v>
      </c>
      <c r="H15" s="303">
        <f t="shared" si="4"/>
        <v>8786.2287133947939</v>
      </c>
      <c r="I15" s="305">
        <f t="shared" si="5"/>
        <v>994231.39157437754</v>
      </c>
    </row>
    <row r="16" spans="1:9" x14ac:dyDescent="0.25">
      <c r="D16" s="262">
        <f t="shared" si="0"/>
        <v>15</v>
      </c>
      <c r="E16" s="303">
        <f t="shared" si="1"/>
        <v>994231.39157437754</v>
      </c>
      <c r="F16" s="303">
        <f t="shared" si="2"/>
        <v>9222.2386554089935</v>
      </c>
      <c r="G16" s="304">
        <f t="shared" si="3"/>
        <v>439.86136316865941</v>
      </c>
      <c r="H16" s="303">
        <f t="shared" si="4"/>
        <v>8782.377292240335</v>
      </c>
      <c r="I16" s="305">
        <f t="shared" si="5"/>
        <v>993791.53021120885</v>
      </c>
    </row>
    <row r="17" spans="4:9" x14ac:dyDescent="0.25">
      <c r="D17" s="262">
        <f t="shared" si="0"/>
        <v>16</v>
      </c>
      <c r="E17" s="303">
        <f t="shared" si="1"/>
        <v>993791.53021120885</v>
      </c>
      <c r="F17" s="303">
        <f t="shared" si="2"/>
        <v>9222.2386554089953</v>
      </c>
      <c r="G17" s="304">
        <f t="shared" si="3"/>
        <v>443.74680520998237</v>
      </c>
      <c r="H17" s="303">
        <f t="shared" si="4"/>
        <v>8778.4918501990123</v>
      </c>
      <c r="I17" s="305">
        <f t="shared" si="5"/>
        <v>993347.78340599884</v>
      </c>
    </row>
    <row r="18" spans="4:9" x14ac:dyDescent="0.25">
      <c r="D18" s="262">
        <f t="shared" si="0"/>
        <v>17</v>
      </c>
      <c r="E18" s="303">
        <f t="shared" si="1"/>
        <v>993347.78340599884</v>
      </c>
      <c r="F18" s="303">
        <f t="shared" si="2"/>
        <v>9222.2386554089935</v>
      </c>
      <c r="G18" s="304">
        <f t="shared" si="3"/>
        <v>447.6665686560039</v>
      </c>
      <c r="H18" s="303">
        <f t="shared" si="4"/>
        <v>8774.572086752989</v>
      </c>
      <c r="I18" s="305">
        <f t="shared" si="5"/>
        <v>992900.11683734285</v>
      </c>
    </row>
    <row r="19" spans="4:9" x14ac:dyDescent="0.25">
      <c r="D19" s="262">
        <f t="shared" si="0"/>
        <v>18</v>
      </c>
      <c r="E19" s="303">
        <f t="shared" si="1"/>
        <v>992900.11683734285</v>
      </c>
      <c r="F19" s="303">
        <f t="shared" si="2"/>
        <v>9222.2386554089935</v>
      </c>
      <c r="G19" s="304">
        <f t="shared" si="3"/>
        <v>451.62095667913189</v>
      </c>
      <c r="H19" s="303">
        <f t="shared" si="4"/>
        <v>8770.6176987298622</v>
      </c>
      <c r="I19" s="305">
        <f t="shared" si="5"/>
        <v>992448.49588066374</v>
      </c>
    </row>
    <row r="20" spans="4:9" x14ac:dyDescent="0.25">
      <c r="D20" s="262">
        <f t="shared" si="0"/>
        <v>19</v>
      </c>
      <c r="E20" s="303">
        <f t="shared" si="1"/>
        <v>992448.49588066374</v>
      </c>
      <c r="F20" s="303">
        <f t="shared" si="2"/>
        <v>9222.2386554089935</v>
      </c>
      <c r="G20" s="304">
        <f t="shared" si="3"/>
        <v>455.61027512979763</v>
      </c>
      <c r="H20" s="303">
        <f t="shared" si="4"/>
        <v>8766.6283802791968</v>
      </c>
      <c r="I20" s="305">
        <f t="shared" si="5"/>
        <v>991992.88560553396</v>
      </c>
    </row>
    <row r="21" spans="4:9" x14ac:dyDescent="0.25">
      <c r="D21" s="262">
        <f t="shared" si="0"/>
        <v>20</v>
      </c>
      <c r="E21" s="303">
        <f t="shared" si="1"/>
        <v>991992.88560553396</v>
      </c>
      <c r="F21" s="303">
        <f t="shared" si="2"/>
        <v>9222.2386554089935</v>
      </c>
      <c r="G21" s="304">
        <f t="shared" si="3"/>
        <v>459.63483256011085</v>
      </c>
      <c r="H21" s="303">
        <f t="shared" si="4"/>
        <v>8762.6038228488833</v>
      </c>
      <c r="I21" s="305">
        <f t="shared" si="5"/>
        <v>991533.25077297387</v>
      </c>
    </row>
    <row r="22" spans="4:9" x14ac:dyDescent="0.25">
      <c r="D22" s="262">
        <f t="shared" si="0"/>
        <v>21</v>
      </c>
      <c r="E22" s="303">
        <f t="shared" si="1"/>
        <v>991533.25077297387</v>
      </c>
      <c r="F22" s="303">
        <f t="shared" si="2"/>
        <v>9222.2386554089953</v>
      </c>
      <c r="G22" s="304">
        <f t="shared" si="3"/>
        <v>463.69494024772524</v>
      </c>
      <c r="H22" s="303">
        <f t="shared" si="4"/>
        <v>8758.5437151612696</v>
      </c>
      <c r="I22" s="305">
        <f t="shared" si="5"/>
        <v>991069.55583272618</v>
      </c>
    </row>
    <row r="23" spans="4:9" x14ac:dyDescent="0.25">
      <c r="D23" s="262">
        <f t="shared" si="0"/>
        <v>22</v>
      </c>
      <c r="E23" s="303">
        <f t="shared" si="1"/>
        <v>991069.55583272618</v>
      </c>
      <c r="F23" s="303">
        <f t="shared" si="2"/>
        <v>9222.2386554089953</v>
      </c>
      <c r="G23" s="304">
        <f t="shared" si="3"/>
        <v>467.79091221991354</v>
      </c>
      <c r="H23" s="303">
        <f t="shared" si="4"/>
        <v>8754.4477431890809</v>
      </c>
      <c r="I23" s="305">
        <f t="shared" si="5"/>
        <v>990601.76492050628</v>
      </c>
    </row>
    <row r="24" spans="4:9" x14ac:dyDescent="0.25">
      <c r="D24" s="262">
        <f t="shared" si="0"/>
        <v>23</v>
      </c>
      <c r="E24" s="303">
        <f t="shared" si="1"/>
        <v>990601.76492050628</v>
      </c>
      <c r="F24" s="303">
        <f t="shared" si="2"/>
        <v>9222.2386554089935</v>
      </c>
      <c r="G24" s="304">
        <f t="shared" si="3"/>
        <v>471.92306527785604</v>
      </c>
      <c r="H24" s="303">
        <f t="shared" si="4"/>
        <v>8750.3155901311384</v>
      </c>
      <c r="I24" s="305">
        <f t="shared" si="5"/>
        <v>990129.84185522841</v>
      </c>
    </row>
    <row r="25" spans="4:9" x14ac:dyDescent="0.25">
      <c r="D25" s="262">
        <f t="shared" si="0"/>
        <v>24</v>
      </c>
      <c r="E25" s="303">
        <f t="shared" si="1"/>
        <v>990129.84185522841</v>
      </c>
      <c r="F25" s="303">
        <f t="shared" si="2"/>
        <v>9222.2386554089953</v>
      </c>
      <c r="G25" s="304">
        <f t="shared" si="3"/>
        <v>476.0917190211436</v>
      </c>
      <c r="H25" s="303">
        <f t="shared" si="4"/>
        <v>8746.1469363878514</v>
      </c>
      <c r="I25" s="305">
        <f t="shared" si="5"/>
        <v>989653.75013620732</v>
      </c>
    </row>
    <row r="26" spans="4:9" x14ac:dyDescent="0.25">
      <c r="D26" s="262">
        <f t="shared" si="0"/>
        <v>25</v>
      </c>
      <c r="E26" s="303">
        <f t="shared" si="1"/>
        <v>989653.75013620732</v>
      </c>
      <c r="F26" s="303">
        <f t="shared" si="2"/>
        <v>9222.2386554089953</v>
      </c>
      <c r="G26" s="304">
        <f t="shared" si="3"/>
        <v>480.29719587249713</v>
      </c>
      <c r="H26" s="303">
        <f t="shared" si="4"/>
        <v>8741.9414595364979</v>
      </c>
      <c r="I26" s="305">
        <f t="shared" si="5"/>
        <v>989173.4529403348</v>
      </c>
    </row>
    <row r="27" spans="4:9" x14ac:dyDescent="0.25">
      <c r="D27" s="262">
        <f t="shared" si="0"/>
        <v>26</v>
      </c>
      <c r="E27" s="303">
        <f t="shared" si="1"/>
        <v>989173.4529403348</v>
      </c>
      <c r="F27" s="303">
        <f t="shared" si="2"/>
        <v>9222.2386554089935</v>
      </c>
      <c r="G27" s="304">
        <f t="shared" si="3"/>
        <v>484.53982110270414</v>
      </c>
      <c r="H27" s="303">
        <f t="shared" si="4"/>
        <v>8737.6988343062894</v>
      </c>
      <c r="I27" s="305">
        <f t="shared" si="5"/>
        <v>988688.91311923205</v>
      </c>
    </row>
    <row r="28" spans="4:9" x14ac:dyDescent="0.25">
      <c r="D28" s="262">
        <f t="shared" si="0"/>
        <v>27</v>
      </c>
      <c r="E28" s="303">
        <f t="shared" si="1"/>
        <v>988688.91311923205</v>
      </c>
      <c r="F28" s="303">
        <f t="shared" si="2"/>
        <v>9222.2386554089953</v>
      </c>
      <c r="G28" s="304">
        <f t="shared" si="3"/>
        <v>488.81992285577809</v>
      </c>
      <c r="H28" s="303">
        <f t="shared" si="4"/>
        <v>8733.4187325532166</v>
      </c>
      <c r="I28" s="305">
        <f t="shared" si="5"/>
        <v>988200.09319637623</v>
      </c>
    </row>
    <row r="29" spans="4:9" x14ac:dyDescent="0.25">
      <c r="D29" s="262">
        <f t="shared" si="0"/>
        <v>28</v>
      </c>
      <c r="E29" s="303">
        <f t="shared" si="1"/>
        <v>988200.09319637623</v>
      </c>
      <c r="F29" s="303">
        <f t="shared" si="2"/>
        <v>9222.2386554089935</v>
      </c>
      <c r="G29" s="304">
        <f t="shared" si="3"/>
        <v>493.1378321743374</v>
      </c>
      <c r="H29" s="303">
        <f t="shared" si="4"/>
        <v>8729.1008232346558</v>
      </c>
      <c r="I29" s="305">
        <f t="shared" si="5"/>
        <v>987706.95536420192</v>
      </c>
    </row>
    <row r="30" spans="4:9" x14ac:dyDescent="0.25">
      <c r="D30" s="262">
        <f t="shared" si="0"/>
        <v>29</v>
      </c>
      <c r="E30" s="303">
        <f t="shared" si="1"/>
        <v>987706.95536420192</v>
      </c>
      <c r="F30" s="303">
        <f t="shared" si="2"/>
        <v>9222.2386554089935</v>
      </c>
      <c r="G30" s="304">
        <f t="shared" si="3"/>
        <v>497.49388302521083</v>
      </c>
      <c r="H30" s="303">
        <f t="shared" si="4"/>
        <v>8724.7447723837831</v>
      </c>
      <c r="I30" s="305">
        <f t="shared" si="5"/>
        <v>987209.46148117667</v>
      </c>
    </row>
    <row r="31" spans="4:9" x14ac:dyDescent="0.25">
      <c r="D31" s="262">
        <f t="shared" si="0"/>
        <v>30</v>
      </c>
      <c r="E31" s="303">
        <f t="shared" si="1"/>
        <v>987209.46148117667</v>
      </c>
      <c r="F31" s="303">
        <f t="shared" si="2"/>
        <v>9222.2386554089935</v>
      </c>
      <c r="G31" s="304">
        <f t="shared" si="3"/>
        <v>501.88841232526681</v>
      </c>
      <c r="H31" s="303">
        <f t="shared" si="4"/>
        <v>8720.350243083727</v>
      </c>
      <c r="I31" s="305">
        <f t="shared" si="5"/>
        <v>986707.57306885137</v>
      </c>
    </row>
    <row r="32" spans="4:9" x14ac:dyDescent="0.25">
      <c r="D32" s="262">
        <f t="shared" si="0"/>
        <v>31</v>
      </c>
      <c r="E32" s="303">
        <f t="shared" si="1"/>
        <v>986707.57306885137</v>
      </c>
      <c r="F32" s="303">
        <f t="shared" si="2"/>
        <v>9222.2386554089935</v>
      </c>
      <c r="G32" s="304">
        <f t="shared" si="3"/>
        <v>506.32175996747338</v>
      </c>
      <c r="H32" s="303">
        <f t="shared" si="4"/>
        <v>8715.91689544152</v>
      </c>
      <c r="I32" s="305">
        <f t="shared" si="5"/>
        <v>986201.25130888389</v>
      </c>
    </row>
    <row r="33" spans="4:9" x14ac:dyDescent="0.25">
      <c r="D33" s="262">
        <f t="shared" si="0"/>
        <v>32</v>
      </c>
      <c r="E33" s="303">
        <f t="shared" si="1"/>
        <v>986201.25130888389</v>
      </c>
      <c r="F33" s="303">
        <f t="shared" si="2"/>
        <v>9222.2386554089935</v>
      </c>
      <c r="G33" s="304">
        <f t="shared" si="3"/>
        <v>510.79426884718617</v>
      </c>
      <c r="H33" s="303">
        <f t="shared" si="4"/>
        <v>8711.4443865618068</v>
      </c>
      <c r="I33" s="305">
        <f t="shared" si="5"/>
        <v>985690.45704003668</v>
      </c>
    </row>
    <row r="34" spans="4:9" x14ac:dyDescent="0.25">
      <c r="D34" s="262">
        <f t="shared" si="0"/>
        <v>33</v>
      </c>
      <c r="E34" s="303">
        <f t="shared" si="1"/>
        <v>985690.45704003668</v>
      </c>
      <c r="F34" s="303">
        <f t="shared" si="2"/>
        <v>9222.2386554089935</v>
      </c>
      <c r="G34" s="304">
        <f t="shared" si="3"/>
        <v>515.30628488866944</v>
      </c>
      <c r="H34" s="303">
        <f t="shared" si="4"/>
        <v>8706.9323705203242</v>
      </c>
      <c r="I34" s="305">
        <f t="shared" si="5"/>
        <v>985175.15075514803</v>
      </c>
    </row>
    <row r="35" spans="4:9" x14ac:dyDescent="0.25">
      <c r="D35" s="262">
        <f t="shared" si="0"/>
        <v>34</v>
      </c>
      <c r="E35" s="303">
        <f t="shared" si="1"/>
        <v>985175.15075514803</v>
      </c>
      <c r="F35" s="303">
        <f t="shared" si="2"/>
        <v>9222.2386554089935</v>
      </c>
      <c r="G35" s="304">
        <f t="shared" si="3"/>
        <v>519.85815707185259</v>
      </c>
      <c r="H35" s="303">
        <f t="shared" si="4"/>
        <v>8702.380498337141</v>
      </c>
      <c r="I35" s="305">
        <f t="shared" si="5"/>
        <v>984655.29259807616</v>
      </c>
    </row>
    <row r="36" spans="4:9" x14ac:dyDescent="0.25">
      <c r="D36" s="262">
        <f t="shared" si="0"/>
        <v>35</v>
      </c>
      <c r="E36" s="303">
        <f t="shared" si="1"/>
        <v>984655.29259807616</v>
      </c>
      <c r="F36" s="303">
        <f t="shared" si="2"/>
        <v>9222.2386554089935</v>
      </c>
      <c r="G36" s="304">
        <f t="shared" si="3"/>
        <v>524.45023745932076</v>
      </c>
      <c r="H36" s="303">
        <f t="shared" si="4"/>
        <v>8697.7884179496723</v>
      </c>
      <c r="I36" s="305">
        <f t="shared" si="5"/>
        <v>984130.84236061689</v>
      </c>
    </row>
    <row r="37" spans="4:9" x14ac:dyDescent="0.25">
      <c r="D37" s="262">
        <f t="shared" si="0"/>
        <v>36</v>
      </c>
      <c r="E37" s="303">
        <f t="shared" si="1"/>
        <v>984130.84236061689</v>
      </c>
      <c r="F37" s="303">
        <f t="shared" si="2"/>
        <v>9222.2386554089935</v>
      </c>
      <c r="G37" s="304">
        <f t="shared" si="3"/>
        <v>529.08288122354475</v>
      </c>
      <c r="H37" s="303">
        <f t="shared" si="4"/>
        <v>8693.1557741854485</v>
      </c>
      <c r="I37" s="305">
        <f t="shared" si="5"/>
        <v>983601.75947939337</v>
      </c>
    </row>
    <row r="38" spans="4:9" x14ac:dyDescent="0.25">
      <c r="D38" s="262">
        <f t="shared" si="0"/>
        <v>37</v>
      </c>
      <c r="E38" s="303">
        <f t="shared" si="1"/>
        <v>983601.75947939337</v>
      </c>
      <c r="F38" s="303">
        <f t="shared" si="2"/>
        <v>9222.2386554089953</v>
      </c>
      <c r="G38" s="304">
        <f t="shared" si="3"/>
        <v>533.75644667435279</v>
      </c>
      <c r="H38" s="303">
        <f t="shared" si="4"/>
        <v>8688.482208734642</v>
      </c>
      <c r="I38" s="305">
        <f t="shared" si="5"/>
        <v>983068.00303271902</v>
      </c>
    </row>
    <row r="39" spans="4:9" x14ac:dyDescent="0.25">
      <c r="D39" s="262">
        <f t="shared" si="0"/>
        <v>38</v>
      </c>
      <c r="E39" s="303">
        <f t="shared" si="1"/>
        <v>983068.00303271902</v>
      </c>
      <c r="F39" s="303">
        <f t="shared" si="2"/>
        <v>9222.2386554089935</v>
      </c>
      <c r="G39" s="304">
        <f t="shared" si="3"/>
        <v>538.47129528664289</v>
      </c>
      <c r="H39" s="303">
        <f t="shared" si="4"/>
        <v>8683.7673601223505</v>
      </c>
      <c r="I39" s="305">
        <f t="shared" si="5"/>
        <v>982529.53173743235</v>
      </c>
    </row>
    <row r="40" spans="4:9" x14ac:dyDescent="0.25">
      <c r="D40" s="262">
        <f t="shared" si="0"/>
        <v>39</v>
      </c>
      <c r="E40" s="303">
        <f t="shared" si="1"/>
        <v>982529.53173743235</v>
      </c>
      <c r="F40" s="303">
        <f t="shared" si="2"/>
        <v>9222.2386554089935</v>
      </c>
      <c r="G40" s="304">
        <f t="shared" si="3"/>
        <v>543.22779172834157</v>
      </c>
      <c r="H40" s="303">
        <f t="shared" si="4"/>
        <v>8679.0108636806526</v>
      </c>
      <c r="I40" s="305">
        <f t="shared" si="5"/>
        <v>981986.30394570401</v>
      </c>
    </row>
    <row r="41" spans="4:9" x14ac:dyDescent="0.25">
      <c r="D41" s="262">
        <f t="shared" si="0"/>
        <v>40</v>
      </c>
      <c r="E41" s="303">
        <f t="shared" si="1"/>
        <v>981986.30394570401</v>
      </c>
      <c r="F41" s="303">
        <f t="shared" si="2"/>
        <v>9222.2386554089935</v>
      </c>
      <c r="G41" s="304">
        <f t="shared" si="3"/>
        <v>548.0263038886086</v>
      </c>
      <c r="H41" s="303">
        <f t="shared" si="4"/>
        <v>8674.2123515203857</v>
      </c>
      <c r="I41" s="305">
        <f t="shared" si="5"/>
        <v>981438.27764181537</v>
      </c>
    </row>
    <row r="42" spans="4:9" x14ac:dyDescent="0.25">
      <c r="D42" s="262">
        <f t="shared" si="0"/>
        <v>41</v>
      </c>
      <c r="E42" s="303">
        <f t="shared" si="1"/>
        <v>981438.27764181537</v>
      </c>
      <c r="F42" s="303">
        <f t="shared" si="2"/>
        <v>9222.2386554089935</v>
      </c>
      <c r="G42" s="304">
        <f t="shared" si="3"/>
        <v>552.86720290629137</v>
      </c>
      <c r="H42" s="303">
        <f t="shared" si="4"/>
        <v>8669.3714525027026</v>
      </c>
      <c r="I42" s="305">
        <f t="shared" si="5"/>
        <v>980885.41043890908</v>
      </c>
    </row>
    <row r="43" spans="4:9" x14ac:dyDescent="0.25">
      <c r="D43" s="262">
        <f t="shared" si="0"/>
        <v>42</v>
      </c>
      <c r="E43" s="303">
        <f t="shared" si="1"/>
        <v>980885.41043890908</v>
      </c>
      <c r="F43" s="303">
        <f t="shared" si="2"/>
        <v>9222.2386554089935</v>
      </c>
      <c r="G43" s="304">
        <f t="shared" si="3"/>
        <v>557.7508631986301</v>
      </c>
      <c r="H43" s="303">
        <f t="shared" si="4"/>
        <v>8664.4877922103642</v>
      </c>
      <c r="I43" s="305">
        <f t="shared" si="5"/>
        <v>980327.65957571042</v>
      </c>
    </row>
    <row r="44" spans="4:9" x14ac:dyDescent="0.25">
      <c r="D44" s="262">
        <f t="shared" si="0"/>
        <v>43</v>
      </c>
      <c r="E44" s="303">
        <f t="shared" si="1"/>
        <v>980327.65957571042</v>
      </c>
      <c r="F44" s="303">
        <f t="shared" si="2"/>
        <v>9222.2386554089935</v>
      </c>
      <c r="G44" s="304">
        <f t="shared" si="3"/>
        <v>562.67766249021804</v>
      </c>
      <c r="H44" s="303">
        <f t="shared" si="4"/>
        <v>8659.5609929187758</v>
      </c>
      <c r="I44" s="305">
        <f t="shared" si="5"/>
        <v>979764.98191322025</v>
      </c>
    </row>
    <row r="45" spans="4:9" x14ac:dyDescent="0.25">
      <c r="D45" s="262">
        <f t="shared" si="0"/>
        <v>44</v>
      </c>
      <c r="E45" s="303">
        <f t="shared" si="1"/>
        <v>979764.98191322025</v>
      </c>
      <c r="F45" s="303">
        <f t="shared" si="2"/>
        <v>9222.2386554089935</v>
      </c>
      <c r="G45" s="304">
        <f t="shared" si="3"/>
        <v>567.6479818422149</v>
      </c>
      <c r="H45" s="303">
        <f t="shared" si="4"/>
        <v>8654.5906735667795</v>
      </c>
      <c r="I45" s="305">
        <f t="shared" si="5"/>
        <v>979197.33393137809</v>
      </c>
    </row>
    <row r="46" spans="4:9" x14ac:dyDescent="0.25">
      <c r="D46" s="262">
        <f t="shared" si="0"/>
        <v>45</v>
      </c>
      <c r="E46" s="303">
        <f t="shared" si="1"/>
        <v>979197.33393137809</v>
      </c>
      <c r="F46" s="303">
        <f t="shared" si="2"/>
        <v>9222.2386554089935</v>
      </c>
      <c r="G46" s="304">
        <f t="shared" si="3"/>
        <v>572.66220568182121</v>
      </c>
      <c r="H46" s="303">
        <f t="shared" si="4"/>
        <v>8649.5764497271721</v>
      </c>
      <c r="I46" s="305">
        <f t="shared" si="5"/>
        <v>978624.6717256963</v>
      </c>
    </row>
    <row r="47" spans="4:9" x14ac:dyDescent="0.25">
      <c r="D47" s="262">
        <f t="shared" si="0"/>
        <v>46</v>
      </c>
      <c r="E47" s="303">
        <f t="shared" si="1"/>
        <v>978624.6717256963</v>
      </c>
      <c r="F47" s="303">
        <f t="shared" si="2"/>
        <v>9222.2386554089953</v>
      </c>
      <c r="G47" s="304">
        <f t="shared" si="3"/>
        <v>577.72072183201067</v>
      </c>
      <c r="H47" s="303">
        <f t="shared" si="4"/>
        <v>8644.5179335769844</v>
      </c>
      <c r="I47" s="305">
        <f t="shared" si="5"/>
        <v>978046.95100386429</v>
      </c>
    </row>
    <row r="48" spans="4:9" x14ac:dyDescent="0.25">
      <c r="D48" s="262">
        <f t="shared" si="0"/>
        <v>47</v>
      </c>
      <c r="E48" s="303">
        <f t="shared" si="1"/>
        <v>978046.95100386429</v>
      </c>
      <c r="F48" s="303">
        <f t="shared" si="2"/>
        <v>9222.2386554089953</v>
      </c>
      <c r="G48" s="304">
        <f t="shared" si="3"/>
        <v>582.82392154152683</v>
      </c>
      <c r="H48" s="303">
        <f t="shared" si="4"/>
        <v>8639.4147338674684</v>
      </c>
      <c r="I48" s="305">
        <f t="shared" si="5"/>
        <v>977464.12708232272</v>
      </c>
    </row>
    <row r="49" spans="4:9" x14ac:dyDescent="0.25">
      <c r="D49" s="262">
        <f t="shared" si="0"/>
        <v>48</v>
      </c>
      <c r="E49" s="303">
        <f t="shared" si="1"/>
        <v>977464.12708232272</v>
      </c>
      <c r="F49" s="303">
        <f t="shared" si="2"/>
        <v>9222.2386554089935</v>
      </c>
      <c r="G49" s="304">
        <f t="shared" si="3"/>
        <v>587.97219951514364</v>
      </c>
      <c r="H49" s="303">
        <f t="shared" si="4"/>
        <v>8634.2664558938504</v>
      </c>
      <c r="I49" s="305">
        <f t="shared" si="5"/>
        <v>976876.15488280763</v>
      </c>
    </row>
    <row r="50" spans="4:9" x14ac:dyDescent="0.25">
      <c r="D50" s="262">
        <f t="shared" si="0"/>
        <v>49</v>
      </c>
      <c r="E50" s="303">
        <f t="shared" si="1"/>
        <v>976876.15488280763</v>
      </c>
      <c r="F50" s="303">
        <f t="shared" si="2"/>
        <v>9222.2386554089935</v>
      </c>
      <c r="G50" s="304">
        <f t="shared" si="3"/>
        <v>593.16595394419414</v>
      </c>
      <c r="H50" s="303">
        <f t="shared" si="4"/>
        <v>8629.0727014648</v>
      </c>
      <c r="I50" s="305">
        <f t="shared" si="5"/>
        <v>976282.98892886343</v>
      </c>
    </row>
    <row r="51" spans="4:9" x14ac:dyDescent="0.25">
      <c r="D51" s="262">
        <f t="shared" si="0"/>
        <v>50</v>
      </c>
      <c r="E51" s="303">
        <f t="shared" si="1"/>
        <v>976282.98892886343</v>
      </c>
      <c r="F51" s="303">
        <f t="shared" si="2"/>
        <v>9222.2386554089935</v>
      </c>
      <c r="G51" s="304">
        <f t="shared" si="3"/>
        <v>598.40558653736753</v>
      </c>
      <c r="H51" s="303">
        <f t="shared" si="4"/>
        <v>8623.8330688716269</v>
      </c>
      <c r="I51" s="305">
        <f t="shared" si="5"/>
        <v>975684.58334232611</v>
      </c>
    </row>
    <row r="52" spans="4:9" x14ac:dyDescent="0.25">
      <c r="D52" s="262">
        <f t="shared" si="0"/>
        <v>51</v>
      </c>
      <c r="E52" s="303">
        <f t="shared" si="1"/>
        <v>975684.58334232611</v>
      </c>
      <c r="F52" s="303">
        <f t="shared" si="2"/>
        <v>9222.2386554089953</v>
      </c>
      <c r="G52" s="304">
        <f t="shared" si="3"/>
        <v>603.69150255178101</v>
      </c>
      <c r="H52" s="303">
        <f t="shared" si="4"/>
        <v>8618.5471528572143</v>
      </c>
      <c r="I52" s="305">
        <f t="shared" si="5"/>
        <v>975080.89183977433</v>
      </c>
    </row>
    <row r="53" spans="4:9" x14ac:dyDescent="0.25">
      <c r="D53" s="262">
        <f t="shared" si="0"/>
        <v>52</v>
      </c>
      <c r="E53" s="303">
        <f t="shared" si="1"/>
        <v>975080.89183977433</v>
      </c>
      <c r="F53" s="303">
        <f t="shared" si="2"/>
        <v>9222.2386554089953</v>
      </c>
      <c r="G53" s="304">
        <f t="shared" si="3"/>
        <v>609.02411082432184</v>
      </c>
      <c r="H53" s="303">
        <f t="shared" si="4"/>
        <v>8613.2145445846727</v>
      </c>
      <c r="I53" s="305">
        <f t="shared" si="5"/>
        <v>974471.86772894999</v>
      </c>
    </row>
    <row r="54" spans="4:9" x14ac:dyDescent="0.25">
      <c r="D54" s="262">
        <f t="shared" si="0"/>
        <v>53</v>
      </c>
      <c r="E54" s="303">
        <f t="shared" si="1"/>
        <v>974471.86772894999</v>
      </c>
      <c r="F54" s="303">
        <f t="shared" si="2"/>
        <v>9222.2386554089953</v>
      </c>
      <c r="G54" s="304">
        <f t="shared" si="3"/>
        <v>614.40382380326992</v>
      </c>
      <c r="H54" s="303">
        <f t="shared" si="4"/>
        <v>8607.8348316057254</v>
      </c>
      <c r="I54" s="305">
        <f t="shared" si="5"/>
        <v>973857.46390514669</v>
      </c>
    </row>
    <row r="55" spans="4:9" x14ac:dyDescent="0.25">
      <c r="D55" s="262">
        <f t="shared" si="0"/>
        <v>54</v>
      </c>
      <c r="E55" s="303">
        <f t="shared" si="1"/>
        <v>973857.46390514669</v>
      </c>
      <c r="F55" s="303">
        <f t="shared" si="2"/>
        <v>9222.2386554089953</v>
      </c>
      <c r="G55" s="304">
        <f t="shared" si="3"/>
        <v>619.83105758019894</v>
      </c>
      <c r="H55" s="303">
        <f t="shared" si="4"/>
        <v>8602.4075978287965</v>
      </c>
      <c r="I55" s="305">
        <f t="shared" si="5"/>
        <v>973237.63284756651</v>
      </c>
    </row>
    <row r="56" spans="4:9" x14ac:dyDescent="0.25">
      <c r="D56" s="262">
        <f t="shared" si="0"/>
        <v>55</v>
      </c>
      <c r="E56" s="303">
        <f t="shared" si="1"/>
        <v>973237.63284756651</v>
      </c>
      <c r="F56" s="303">
        <f t="shared" si="2"/>
        <v>9222.2386554089953</v>
      </c>
      <c r="G56" s="304">
        <f t="shared" si="3"/>
        <v>625.30623192215739</v>
      </c>
      <c r="H56" s="303">
        <f t="shared" si="4"/>
        <v>8596.9324234868382</v>
      </c>
      <c r="I56" s="305">
        <f t="shared" si="5"/>
        <v>972612.32661564439</v>
      </c>
    </row>
    <row r="57" spans="4:9" x14ac:dyDescent="0.25">
      <c r="D57" s="262">
        <f t="shared" si="0"/>
        <v>56</v>
      </c>
      <c r="E57" s="303">
        <f t="shared" si="1"/>
        <v>972612.32661564439</v>
      </c>
      <c r="F57" s="303">
        <f t="shared" si="2"/>
        <v>9222.2386554089953</v>
      </c>
      <c r="G57" s="304">
        <f t="shared" si="3"/>
        <v>630.82977030413656</v>
      </c>
      <c r="H57" s="303">
        <f t="shared" si="4"/>
        <v>8591.4088851048582</v>
      </c>
      <c r="I57" s="305">
        <f t="shared" si="5"/>
        <v>971981.49684534024</v>
      </c>
    </row>
    <row r="58" spans="4:9" x14ac:dyDescent="0.25">
      <c r="D58" s="262">
        <f t="shared" si="0"/>
        <v>57</v>
      </c>
      <c r="E58" s="303">
        <f t="shared" si="1"/>
        <v>971981.49684534024</v>
      </c>
      <c r="F58" s="303">
        <f t="shared" si="2"/>
        <v>9222.2386554089935</v>
      </c>
      <c r="G58" s="304">
        <f t="shared" si="3"/>
        <v>636.40209994182305</v>
      </c>
      <c r="H58" s="303">
        <f t="shared" si="4"/>
        <v>8585.8365554671709</v>
      </c>
      <c r="I58" s="305">
        <f t="shared" si="5"/>
        <v>971345.09474539838</v>
      </c>
    </row>
    <row r="59" spans="4:9" x14ac:dyDescent="0.25">
      <c r="D59" s="262">
        <f t="shared" si="0"/>
        <v>58</v>
      </c>
      <c r="E59" s="303">
        <f t="shared" si="1"/>
        <v>971345.09474539838</v>
      </c>
      <c r="F59" s="303">
        <f t="shared" si="2"/>
        <v>9222.2386554089953</v>
      </c>
      <c r="G59" s="304">
        <f t="shared" si="3"/>
        <v>642.02365182464246</v>
      </c>
      <c r="H59" s="303">
        <f t="shared" si="4"/>
        <v>8580.2150035843533</v>
      </c>
      <c r="I59" s="305">
        <f t="shared" si="5"/>
        <v>970703.0710935737</v>
      </c>
    </row>
    <row r="60" spans="4:9" x14ac:dyDescent="0.25">
      <c r="D60" s="262">
        <f t="shared" si="0"/>
        <v>59</v>
      </c>
      <c r="E60" s="303">
        <f t="shared" si="1"/>
        <v>970703.0710935737</v>
      </c>
      <c r="F60" s="303">
        <f t="shared" si="2"/>
        <v>9222.2386554089953</v>
      </c>
      <c r="G60" s="304">
        <f t="shared" si="3"/>
        <v>647.69486074909321</v>
      </c>
      <c r="H60" s="303">
        <f t="shared" si="4"/>
        <v>8574.5437946599013</v>
      </c>
      <c r="I60" s="305">
        <f t="shared" si="5"/>
        <v>970055.37623282464</v>
      </c>
    </row>
    <row r="61" spans="4:9" x14ac:dyDescent="0.25">
      <c r="D61" s="262">
        <f t="shared" si="0"/>
        <v>60</v>
      </c>
      <c r="E61" s="303">
        <f t="shared" si="1"/>
        <v>970055.37623282464</v>
      </c>
      <c r="F61" s="303">
        <f t="shared" si="2"/>
        <v>9222.2386554089953</v>
      </c>
      <c r="G61" s="304">
        <f t="shared" si="3"/>
        <v>653.41616535237688</v>
      </c>
      <c r="H61" s="303">
        <f t="shared" si="4"/>
        <v>8568.8224900566183</v>
      </c>
      <c r="I61" s="305">
        <f t="shared" si="5"/>
        <v>969401.9600674723</v>
      </c>
    </row>
    <row r="62" spans="4:9" x14ac:dyDescent="0.25">
      <c r="D62" s="262">
        <f t="shared" si="0"/>
        <v>61</v>
      </c>
      <c r="E62" s="303">
        <f t="shared" si="1"/>
        <v>969401.9600674723</v>
      </c>
      <c r="F62" s="303">
        <f t="shared" si="2"/>
        <v>9222.2386554089935</v>
      </c>
      <c r="G62" s="304">
        <f t="shared" si="3"/>
        <v>659.188008146323</v>
      </c>
      <c r="H62" s="303">
        <f t="shared" si="4"/>
        <v>8563.0506472626712</v>
      </c>
      <c r="I62" s="305">
        <f t="shared" si="5"/>
        <v>968742.77205932594</v>
      </c>
    </row>
    <row r="63" spans="4:9" x14ac:dyDescent="0.25">
      <c r="D63" s="262">
        <f t="shared" si="0"/>
        <v>62</v>
      </c>
      <c r="E63" s="303">
        <f t="shared" si="1"/>
        <v>968742.77205932594</v>
      </c>
      <c r="F63" s="303">
        <f t="shared" si="2"/>
        <v>9222.2386554089935</v>
      </c>
      <c r="G63" s="304">
        <f t="shared" si="3"/>
        <v>665.01083555161563</v>
      </c>
      <c r="H63" s="303">
        <f t="shared" si="4"/>
        <v>8557.2278198573786</v>
      </c>
      <c r="I63" s="305">
        <f t="shared" si="5"/>
        <v>968077.76122377429</v>
      </c>
    </row>
    <row r="64" spans="4:9" x14ac:dyDescent="0.25">
      <c r="D64" s="262">
        <f t="shared" si="0"/>
        <v>63</v>
      </c>
      <c r="E64" s="303">
        <f t="shared" si="1"/>
        <v>968077.76122377429</v>
      </c>
      <c r="F64" s="303">
        <f t="shared" si="2"/>
        <v>9222.2386554089953</v>
      </c>
      <c r="G64" s="304">
        <f t="shared" si="3"/>
        <v>670.88509793232151</v>
      </c>
      <c r="H64" s="303">
        <f t="shared" si="4"/>
        <v>8551.3535574766738</v>
      </c>
      <c r="I64" s="305">
        <f t="shared" si="5"/>
        <v>967406.87612584198</v>
      </c>
    </row>
    <row r="65" spans="4:9" x14ac:dyDescent="0.25">
      <c r="D65" s="262">
        <f t="shared" si="0"/>
        <v>64</v>
      </c>
      <c r="E65" s="303">
        <f t="shared" si="1"/>
        <v>967406.87612584198</v>
      </c>
      <c r="F65" s="303">
        <f t="shared" si="2"/>
        <v>9222.2386554089935</v>
      </c>
      <c r="G65" s="304">
        <f t="shared" si="3"/>
        <v>676.81124963072375</v>
      </c>
      <c r="H65" s="303">
        <f t="shared" si="4"/>
        <v>8545.4274057782695</v>
      </c>
      <c r="I65" s="305">
        <f t="shared" si="5"/>
        <v>966730.06487621123</v>
      </c>
    </row>
    <row r="66" spans="4:9" x14ac:dyDescent="0.25">
      <c r="D66" s="262">
        <f t="shared" si="0"/>
        <v>65</v>
      </c>
      <c r="E66" s="303">
        <f t="shared" si="1"/>
        <v>966730.06487621123</v>
      </c>
      <c r="F66" s="303">
        <f t="shared" si="2"/>
        <v>9222.2386554089953</v>
      </c>
      <c r="G66" s="304">
        <f t="shared" si="3"/>
        <v>682.78974900246169</v>
      </c>
      <c r="H66" s="303">
        <f t="shared" si="4"/>
        <v>8539.4489064065328</v>
      </c>
      <c r="I66" s="305">
        <f t="shared" si="5"/>
        <v>966047.27512720879</v>
      </c>
    </row>
    <row r="67" spans="4:9" x14ac:dyDescent="0.25">
      <c r="D67" s="262">
        <f t="shared" si="0"/>
        <v>66</v>
      </c>
      <c r="E67" s="303">
        <f t="shared" si="1"/>
        <v>966047.27512720879</v>
      </c>
      <c r="F67" s="303">
        <f t="shared" si="2"/>
        <v>9222.2386554089953</v>
      </c>
      <c r="G67" s="304">
        <f t="shared" si="3"/>
        <v>688.82105845198362</v>
      </c>
      <c r="H67" s="303">
        <f t="shared" si="4"/>
        <v>8533.4175969570115</v>
      </c>
      <c r="I67" s="305">
        <f t="shared" si="5"/>
        <v>965358.45406875678</v>
      </c>
    </row>
    <row r="68" spans="4:9" x14ac:dyDescent="0.25">
      <c r="D68" s="262">
        <f t="shared" ref="D68:D131" si="6">D67+1</f>
        <v>67</v>
      </c>
      <c r="E68" s="303">
        <f t="shared" ref="E68:E131" si="7">IF(D68/12&gt;$B$6,0,I67)</f>
        <v>965358.45406875678</v>
      </c>
      <c r="F68" s="303">
        <f t="shared" ref="F68:F131" si="8">SUM(G68:H68)</f>
        <v>9222.2386554089935</v>
      </c>
      <c r="G68" s="304">
        <f t="shared" ref="G68:G131" si="9">IF(AND(D68&gt;$B$4,D68/12&lt;=$B$6),-PPMT($B$5/12,D68-$B$4,$B$3*12,$B$2,0,0),0)</f>
        <v>694.90564446830922</v>
      </c>
      <c r="H68" s="303">
        <f t="shared" ref="H68:H131" si="10">E68*$B$5/12</f>
        <v>8527.3330109406852</v>
      </c>
      <c r="I68" s="305">
        <f t="shared" ref="I68:I131" si="11">E68-G68</f>
        <v>964663.54842428851</v>
      </c>
    </row>
    <row r="69" spans="4:9" x14ac:dyDescent="0.25">
      <c r="D69" s="262">
        <f t="shared" si="6"/>
        <v>68</v>
      </c>
      <c r="E69" s="303">
        <f t="shared" si="7"/>
        <v>964663.54842428851</v>
      </c>
      <c r="F69" s="303">
        <f t="shared" si="8"/>
        <v>9222.2386554089953</v>
      </c>
      <c r="G69" s="304">
        <f t="shared" si="9"/>
        <v>701.04397766111265</v>
      </c>
      <c r="H69" s="303">
        <f t="shared" si="10"/>
        <v>8521.1946777478825</v>
      </c>
      <c r="I69" s="305">
        <f t="shared" si="11"/>
        <v>963962.50444662746</v>
      </c>
    </row>
    <row r="70" spans="4:9" x14ac:dyDescent="0.25">
      <c r="D70" s="262">
        <f t="shared" si="6"/>
        <v>69</v>
      </c>
      <c r="E70" s="303">
        <f t="shared" si="7"/>
        <v>963962.50444662746</v>
      </c>
      <c r="F70" s="303">
        <f t="shared" si="8"/>
        <v>9222.2386554089935</v>
      </c>
      <c r="G70" s="304">
        <f t="shared" si="9"/>
        <v>707.23653279711914</v>
      </c>
      <c r="H70" s="303">
        <f t="shared" si="10"/>
        <v>8515.0021226118752</v>
      </c>
      <c r="I70" s="305">
        <f t="shared" si="11"/>
        <v>963255.26791383035</v>
      </c>
    </row>
    <row r="71" spans="4:9" x14ac:dyDescent="0.25">
      <c r="D71" s="262">
        <f t="shared" si="6"/>
        <v>70</v>
      </c>
      <c r="E71" s="303">
        <f t="shared" si="7"/>
        <v>963255.26791383035</v>
      </c>
      <c r="F71" s="303">
        <f t="shared" si="8"/>
        <v>9222.2386554089953</v>
      </c>
      <c r="G71" s="304">
        <f t="shared" si="9"/>
        <v>713.48378883682699</v>
      </c>
      <c r="H71" s="303">
        <f t="shared" si="10"/>
        <v>8508.7548665721679</v>
      </c>
      <c r="I71" s="305">
        <f t="shared" si="11"/>
        <v>962541.78412499349</v>
      </c>
    </row>
    <row r="72" spans="4:9" x14ac:dyDescent="0.25">
      <c r="D72" s="262">
        <f t="shared" si="6"/>
        <v>71</v>
      </c>
      <c r="E72" s="303">
        <f t="shared" si="7"/>
        <v>962541.78412499349</v>
      </c>
      <c r="F72" s="303">
        <f t="shared" si="8"/>
        <v>9222.2386554089953</v>
      </c>
      <c r="G72" s="304">
        <f t="shared" si="9"/>
        <v>719.78622897155242</v>
      </c>
      <c r="H72" s="303">
        <f t="shared" si="10"/>
        <v>8502.4524264374431</v>
      </c>
      <c r="I72" s="305">
        <f t="shared" si="11"/>
        <v>961821.99789602193</v>
      </c>
    </row>
    <row r="73" spans="4:9" x14ac:dyDescent="0.25">
      <c r="D73" s="262">
        <f t="shared" si="6"/>
        <v>72</v>
      </c>
      <c r="E73" s="303">
        <f t="shared" si="7"/>
        <v>961821.99789602193</v>
      </c>
      <c r="F73" s="303">
        <f t="shared" si="8"/>
        <v>9222.2386554089953</v>
      </c>
      <c r="G73" s="304">
        <f t="shared" si="9"/>
        <v>726.14434066080116</v>
      </c>
      <c r="H73" s="303">
        <f t="shared" si="10"/>
        <v>8496.0943147481939</v>
      </c>
      <c r="I73" s="305">
        <f t="shared" si="11"/>
        <v>961095.85355536116</v>
      </c>
    </row>
    <row r="74" spans="4:9" x14ac:dyDescent="0.25">
      <c r="D74" s="262">
        <f t="shared" si="6"/>
        <v>73</v>
      </c>
      <c r="E74" s="303">
        <f t="shared" si="7"/>
        <v>961095.85355536116</v>
      </c>
      <c r="F74" s="303">
        <f t="shared" si="8"/>
        <v>9222.2386554089953</v>
      </c>
      <c r="G74" s="304">
        <f t="shared" si="9"/>
        <v>732.55861566997157</v>
      </c>
      <c r="H74" s="303">
        <f t="shared" si="10"/>
        <v>8489.6800397390234</v>
      </c>
      <c r="I74" s="305">
        <f t="shared" si="11"/>
        <v>960363.2949396912</v>
      </c>
    </row>
    <row r="75" spans="4:9" x14ac:dyDescent="0.25">
      <c r="D75" s="262">
        <f t="shared" si="6"/>
        <v>74</v>
      </c>
      <c r="E75" s="303">
        <f t="shared" si="7"/>
        <v>960363.2949396912</v>
      </c>
      <c r="F75" s="303">
        <f t="shared" si="8"/>
        <v>9222.2386554089953</v>
      </c>
      <c r="G75" s="304">
        <f t="shared" si="9"/>
        <v>739.0295501083898</v>
      </c>
      <c r="H75" s="303">
        <f t="shared" si="10"/>
        <v>8483.2091053006061</v>
      </c>
      <c r="I75" s="305">
        <f t="shared" si="11"/>
        <v>959624.26538958284</v>
      </c>
    </row>
    <row r="76" spans="4:9" x14ac:dyDescent="0.25">
      <c r="D76" s="262">
        <f t="shared" si="6"/>
        <v>75</v>
      </c>
      <c r="E76" s="303">
        <f t="shared" si="7"/>
        <v>959624.26538958284</v>
      </c>
      <c r="F76" s="303">
        <f t="shared" si="8"/>
        <v>9222.2386554089953</v>
      </c>
      <c r="G76" s="304">
        <f t="shared" si="9"/>
        <v>745.55764446768057</v>
      </c>
      <c r="H76" s="303">
        <f t="shared" si="10"/>
        <v>8476.6810109413145</v>
      </c>
      <c r="I76" s="305">
        <f t="shared" si="11"/>
        <v>958878.70774511516</v>
      </c>
    </row>
    <row r="77" spans="4:9" x14ac:dyDescent="0.25">
      <c r="D77" s="262">
        <f t="shared" si="6"/>
        <v>76</v>
      </c>
      <c r="E77" s="303">
        <f t="shared" si="7"/>
        <v>958878.70774511516</v>
      </c>
      <c r="F77" s="303">
        <f t="shared" si="8"/>
        <v>9222.2386554089953</v>
      </c>
      <c r="G77" s="304">
        <f t="shared" si="9"/>
        <v>752.14340366047804</v>
      </c>
      <c r="H77" s="303">
        <f t="shared" si="10"/>
        <v>8470.0952517485166</v>
      </c>
      <c r="I77" s="305">
        <f t="shared" si="11"/>
        <v>958126.56434145465</v>
      </c>
    </row>
    <row r="78" spans="4:9" x14ac:dyDescent="0.25">
      <c r="D78" s="262">
        <f t="shared" si="6"/>
        <v>77</v>
      </c>
      <c r="E78" s="303">
        <f t="shared" si="7"/>
        <v>958126.56434145465</v>
      </c>
      <c r="F78" s="303">
        <f t="shared" si="8"/>
        <v>9222.2386554089953</v>
      </c>
      <c r="G78" s="304">
        <f t="shared" si="9"/>
        <v>758.78733705947911</v>
      </c>
      <c r="H78" s="303">
        <f t="shared" si="10"/>
        <v>8463.4513183495164</v>
      </c>
      <c r="I78" s="305">
        <f t="shared" si="11"/>
        <v>957367.77700439515</v>
      </c>
    </row>
    <row r="79" spans="4:9" x14ac:dyDescent="0.25">
      <c r="D79" s="262">
        <f t="shared" si="6"/>
        <v>78</v>
      </c>
      <c r="E79" s="303">
        <f t="shared" si="7"/>
        <v>957367.77700439515</v>
      </c>
      <c r="F79" s="303">
        <f t="shared" si="8"/>
        <v>9222.2386554089953</v>
      </c>
      <c r="G79" s="304">
        <f t="shared" si="9"/>
        <v>765.48995853683778</v>
      </c>
      <c r="H79" s="303">
        <f t="shared" si="10"/>
        <v>8456.7486968721569</v>
      </c>
      <c r="I79" s="305">
        <f t="shared" si="11"/>
        <v>956602.28704585833</v>
      </c>
    </row>
    <row r="80" spans="4:9" x14ac:dyDescent="0.25">
      <c r="D80" s="262">
        <f t="shared" si="6"/>
        <v>79</v>
      </c>
      <c r="E80" s="303">
        <f t="shared" si="7"/>
        <v>956602.28704585833</v>
      </c>
      <c r="F80" s="303">
        <f t="shared" si="8"/>
        <v>9222.2386554089953</v>
      </c>
      <c r="G80" s="304">
        <f t="shared" si="9"/>
        <v>772.25178650391319</v>
      </c>
      <c r="H80" s="303">
        <f t="shared" si="10"/>
        <v>8449.9868689050818</v>
      </c>
      <c r="I80" s="305">
        <f t="shared" si="11"/>
        <v>955830.03525935439</v>
      </c>
    </row>
    <row r="81" spans="4:9" x14ac:dyDescent="0.25">
      <c r="D81" s="262">
        <f t="shared" si="6"/>
        <v>80</v>
      </c>
      <c r="E81" s="303">
        <f t="shared" si="7"/>
        <v>955830.03525935439</v>
      </c>
      <c r="F81" s="303">
        <f t="shared" si="8"/>
        <v>9222.2386554089953</v>
      </c>
      <c r="G81" s="304">
        <f t="shared" si="9"/>
        <v>779.07334395136456</v>
      </c>
      <c r="H81" s="303">
        <f t="shared" si="10"/>
        <v>8443.1653114576311</v>
      </c>
      <c r="I81" s="305">
        <f t="shared" si="11"/>
        <v>955050.96191540302</v>
      </c>
    </row>
    <row r="82" spans="4:9" x14ac:dyDescent="0.25">
      <c r="D82" s="262">
        <f t="shared" si="6"/>
        <v>81</v>
      </c>
      <c r="E82" s="303">
        <f t="shared" si="7"/>
        <v>955050.96191540302</v>
      </c>
      <c r="F82" s="303">
        <f t="shared" si="8"/>
        <v>9222.2386554089953</v>
      </c>
      <c r="G82" s="304">
        <f t="shared" si="9"/>
        <v>785.95515848960156</v>
      </c>
      <c r="H82" s="303">
        <f t="shared" si="10"/>
        <v>8436.2834969193937</v>
      </c>
      <c r="I82" s="305">
        <f t="shared" si="11"/>
        <v>954265.00675691338</v>
      </c>
    </row>
    <row r="83" spans="4:9" x14ac:dyDescent="0.25">
      <c r="D83" s="262">
        <f t="shared" si="6"/>
        <v>82</v>
      </c>
      <c r="E83" s="303">
        <f t="shared" si="7"/>
        <v>954265.00675691338</v>
      </c>
      <c r="F83" s="303">
        <f t="shared" si="8"/>
        <v>9222.2386554089953</v>
      </c>
      <c r="G83" s="304">
        <f t="shared" si="9"/>
        <v>792.89776238959303</v>
      </c>
      <c r="H83" s="303">
        <f t="shared" si="10"/>
        <v>8429.3408930194018</v>
      </c>
      <c r="I83" s="305">
        <f t="shared" si="11"/>
        <v>953472.10899452376</v>
      </c>
    </row>
    <row r="84" spans="4:9" x14ac:dyDescent="0.25">
      <c r="D84" s="262">
        <f t="shared" si="6"/>
        <v>83</v>
      </c>
      <c r="E84" s="303">
        <f t="shared" si="7"/>
        <v>953472.10899452376</v>
      </c>
      <c r="F84" s="303">
        <f t="shared" si="8"/>
        <v>9222.2386554089935</v>
      </c>
      <c r="G84" s="304">
        <f t="shared" si="9"/>
        <v>799.90169262403458</v>
      </c>
      <c r="H84" s="303">
        <f t="shared" si="10"/>
        <v>8422.3369627849588</v>
      </c>
      <c r="I84" s="305">
        <f t="shared" si="11"/>
        <v>952672.20730189967</v>
      </c>
    </row>
    <row r="85" spans="4:9" x14ac:dyDescent="0.25">
      <c r="D85" s="262">
        <f t="shared" si="6"/>
        <v>84</v>
      </c>
      <c r="E85" s="303">
        <f t="shared" si="7"/>
        <v>952672.20730189967</v>
      </c>
      <c r="F85" s="303">
        <f t="shared" si="8"/>
        <v>9222.2386554089935</v>
      </c>
      <c r="G85" s="304">
        <f t="shared" si="9"/>
        <v>806.96749090887988</v>
      </c>
      <c r="H85" s="303">
        <f t="shared" si="10"/>
        <v>8415.2711645001127</v>
      </c>
      <c r="I85" s="305">
        <f t="shared" si="11"/>
        <v>951865.23981099075</v>
      </c>
    </row>
    <row r="86" spans="4:9" x14ac:dyDescent="0.25">
      <c r="D86" s="262">
        <f t="shared" si="6"/>
        <v>85</v>
      </c>
      <c r="E86" s="303">
        <f t="shared" si="7"/>
        <v>951865.23981099075</v>
      </c>
      <c r="F86" s="303">
        <f t="shared" si="8"/>
        <v>9222.2386554089935</v>
      </c>
      <c r="G86" s="304">
        <f t="shared" si="9"/>
        <v>814.09570374524174</v>
      </c>
      <c r="H86" s="303">
        <f t="shared" si="10"/>
        <v>8408.1429516637509</v>
      </c>
      <c r="I86" s="305">
        <f t="shared" si="11"/>
        <v>951051.14410724549</v>
      </c>
    </row>
    <row r="87" spans="4:9" x14ac:dyDescent="0.25">
      <c r="D87" s="262">
        <f t="shared" si="6"/>
        <v>86</v>
      </c>
      <c r="E87" s="303">
        <f t="shared" si="7"/>
        <v>951051.14410724549</v>
      </c>
      <c r="F87" s="303">
        <f t="shared" si="8"/>
        <v>9222.2386554089935</v>
      </c>
      <c r="G87" s="304">
        <f t="shared" si="9"/>
        <v>821.28688246165814</v>
      </c>
      <c r="H87" s="303">
        <f t="shared" si="10"/>
        <v>8400.9517729473355</v>
      </c>
      <c r="I87" s="305">
        <f t="shared" si="11"/>
        <v>950229.85722478386</v>
      </c>
    </row>
    <row r="88" spans="4:9" x14ac:dyDescent="0.25">
      <c r="D88" s="262">
        <f t="shared" si="6"/>
        <v>87</v>
      </c>
      <c r="E88" s="303">
        <f t="shared" si="7"/>
        <v>950229.85722478386</v>
      </c>
      <c r="F88" s="303">
        <f t="shared" si="8"/>
        <v>9222.2386554089935</v>
      </c>
      <c r="G88" s="304">
        <f t="shared" si="9"/>
        <v>828.5415832567362</v>
      </c>
      <c r="H88" s="303">
        <f t="shared" si="10"/>
        <v>8393.6970721522575</v>
      </c>
      <c r="I88" s="305">
        <f t="shared" si="11"/>
        <v>949401.31564152718</v>
      </c>
    </row>
    <row r="89" spans="4:9" x14ac:dyDescent="0.25">
      <c r="D89" s="262">
        <f t="shared" si="6"/>
        <v>88</v>
      </c>
      <c r="E89" s="303">
        <f t="shared" si="7"/>
        <v>949401.31564152718</v>
      </c>
      <c r="F89" s="303">
        <f t="shared" si="8"/>
        <v>9222.2386554089935</v>
      </c>
      <c r="G89" s="304">
        <f t="shared" si="9"/>
        <v>835.8603672421707</v>
      </c>
      <c r="H89" s="303">
        <f t="shared" si="10"/>
        <v>8386.378288166823</v>
      </c>
      <c r="I89" s="305">
        <f t="shared" si="11"/>
        <v>948565.45527428505</v>
      </c>
    </row>
    <row r="90" spans="4:9" x14ac:dyDescent="0.25">
      <c r="D90" s="262">
        <f t="shared" si="6"/>
        <v>89</v>
      </c>
      <c r="E90" s="303">
        <f t="shared" si="7"/>
        <v>948565.45527428505</v>
      </c>
      <c r="F90" s="303">
        <f t="shared" si="8"/>
        <v>9222.2386554089953</v>
      </c>
      <c r="G90" s="304">
        <f t="shared" si="9"/>
        <v>843.24380048614319</v>
      </c>
      <c r="H90" s="303">
        <f t="shared" si="10"/>
        <v>8378.994854922852</v>
      </c>
      <c r="I90" s="305">
        <f t="shared" si="11"/>
        <v>947722.21147379896</v>
      </c>
    </row>
    <row r="91" spans="4:9" x14ac:dyDescent="0.25">
      <c r="D91" s="262">
        <f t="shared" si="6"/>
        <v>90</v>
      </c>
      <c r="E91" s="303">
        <f t="shared" si="7"/>
        <v>947722.21147379896</v>
      </c>
      <c r="F91" s="303">
        <f t="shared" si="8"/>
        <v>9222.2386554089935</v>
      </c>
      <c r="G91" s="304">
        <f t="shared" si="9"/>
        <v>850.6924540571041</v>
      </c>
      <c r="H91" s="303">
        <f t="shared" si="10"/>
        <v>8371.54620135189</v>
      </c>
      <c r="I91" s="305">
        <f t="shared" si="11"/>
        <v>946871.51901974191</v>
      </c>
    </row>
    <row r="92" spans="4:9" x14ac:dyDescent="0.25">
      <c r="D92" s="262">
        <f t="shared" si="6"/>
        <v>91</v>
      </c>
      <c r="E92" s="303">
        <f t="shared" si="7"/>
        <v>946871.51901974191</v>
      </c>
      <c r="F92" s="303">
        <f t="shared" si="8"/>
        <v>9222.2386554089953</v>
      </c>
      <c r="G92" s="304">
        <f t="shared" si="9"/>
        <v>858.20690406794199</v>
      </c>
      <c r="H92" s="303">
        <f t="shared" si="10"/>
        <v>8364.0317513410537</v>
      </c>
      <c r="I92" s="305">
        <f t="shared" si="11"/>
        <v>946013.31211567402</v>
      </c>
    </row>
    <row r="93" spans="4:9" x14ac:dyDescent="0.25">
      <c r="D93" s="262">
        <f t="shared" si="6"/>
        <v>92</v>
      </c>
      <c r="E93" s="303">
        <f t="shared" si="7"/>
        <v>946013.31211567402</v>
      </c>
      <c r="F93" s="303">
        <f t="shared" si="8"/>
        <v>9222.2386554089953</v>
      </c>
      <c r="G93" s="304">
        <f t="shared" si="9"/>
        <v>865.78773172054218</v>
      </c>
      <c r="H93" s="303">
        <f t="shared" si="10"/>
        <v>8356.4509236884533</v>
      </c>
      <c r="I93" s="305">
        <f t="shared" si="11"/>
        <v>945147.52438395342</v>
      </c>
    </row>
    <row r="94" spans="4:9" x14ac:dyDescent="0.25">
      <c r="D94" s="262">
        <f t="shared" si="6"/>
        <v>93</v>
      </c>
      <c r="E94" s="303">
        <f t="shared" si="7"/>
        <v>945147.52438395342</v>
      </c>
      <c r="F94" s="303">
        <f t="shared" si="8"/>
        <v>9222.2386554089935</v>
      </c>
      <c r="G94" s="304">
        <f t="shared" si="9"/>
        <v>873.43552335073991</v>
      </c>
      <c r="H94" s="303">
        <f t="shared" si="10"/>
        <v>8348.8031320582541</v>
      </c>
      <c r="I94" s="305">
        <f t="shared" si="11"/>
        <v>944274.0888606027</v>
      </c>
    </row>
    <row r="95" spans="4:9" x14ac:dyDescent="0.25">
      <c r="D95" s="262">
        <f t="shared" si="6"/>
        <v>94</v>
      </c>
      <c r="E95" s="303">
        <f t="shared" si="7"/>
        <v>944274.0888606027</v>
      </c>
      <c r="F95" s="303">
        <f t="shared" si="8"/>
        <v>9222.2386554089953</v>
      </c>
      <c r="G95" s="304">
        <f t="shared" si="9"/>
        <v>881.15087047367138</v>
      </c>
      <c r="H95" s="303">
        <f t="shared" si="10"/>
        <v>8341.0877849353237</v>
      </c>
      <c r="I95" s="305">
        <f t="shared" si="11"/>
        <v>943392.93799012899</v>
      </c>
    </row>
    <row r="96" spans="4:9" x14ac:dyDescent="0.25">
      <c r="D96" s="262">
        <f t="shared" si="6"/>
        <v>95</v>
      </c>
      <c r="E96" s="303">
        <f t="shared" si="7"/>
        <v>943392.93799012899</v>
      </c>
      <c r="F96" s="303">
        <f t="shared" si="8"/>
        <v>9222.2386554089935</v>
      </c>
      <c r="G96" s="304">
        <f t="shared" si="9"/>
        <v>888.93436982952221</v>
      </c>
      <c r="H96" s="303">
        <f t="shared" si="10"/>
        <v>8333.304285579472</v>
      </c>
      <c r="I96" s="305">
        <f t="shared" si="11"/>
        <v>942504.00362029951</v>
      </c>
    </row>
    <row r="97" spans="4:9" x14ac:dyDescent="0.25">
      <c r="D97" s="262">
        <f t="shared" si="6"/>
        <v>96</v>
      </c>
      <c r="E97" s="303">
        <f t="shared" si="7"/>
        <v>942504.00362029951</v>
      </c>
      <c r="F97" s="303">
        <f t="shared" si="8"/>
        <v>9222.2386554089953</v>
      </c>
      <c r="G97" s="304">
        <f t="shared" si="9"/>
        <v>896.78662342968323</v>
      </c>
      <c r="H97" s="303">
        <f t="shared" si="10"/>
        <v>8325.4520319793119</v>
      </c>
      <c r="I97" s="305">
        <f t="shared" si="11"/>
        <v>941607.21699686977</v>
      </c>
    </row>
    <row r="98" spans="4:9" x14ac:dyDescent="0.25">
      <c r="D98" s="262">
        <f t="shared" si="6"/>
        <v>97</v>
      </c>
      <c r="E98" s="303">
        <f t="shared" si="7"/>
        <v>941607.21699686977</v>
      </c>
      <c r="F98" s="303">
        <f t="shared" si="8"/>
        <v>9222.2386554089953</v>
      </c>
      <c r="G98" s="304">
        <f t="shared" si="9"/>
        <v>904.708238603312</v>
      </c>
      <c r="H98" s="303">
        <f t="shared" si="10"/>
        <v>8317.5304168056828</v>
      </c>
      <c r="I98" s="305">
        <f t="shared" si="11"/>
        <v>940702.50875826646</v>
      </c>
    </row>
    <row r="99" spans="4:9" x14ac:dyDescent="0.25">
      <c r="D99" s="262">
        <f t="shared" si="6"/>
        <v>98</v>
      </c>
      <c r="E99" s="303">
        <f t="shared" si="7"/>
        <v>940702.50875826646</v>
      </c>
      <c r="F99" s="303">
        <f t="shared" si="8"/>
        <v>9222.2386554089953</v>
      </c>
      <c r="G99" s="304">
        <f t="shared" si="9"/>
        <v>912.69982804430811</v>
      </c>
      <c r="H99" s="303">
        <f t="shared" si="10"/>
        <v>8309.5388273646877</v>
      </c>
      <c r="I99" s="305">
        <f t="shared" si="11"/>
        <v>939789.80893022218</v>
      </c>
    </row>
    <row r="100" spans="4:9" x14ac:dyDescent="0.25">
      <c r="D100" s="262">
        <f t="shared" si="6"/>
        <v>99</v>
      </c>
      <c r="E100" s="303">
        <f t="shared" si="7"/>
        <v>939789.80893022218</v>
      </c>
      <c r="F100" s="303">
        <f t="shared" si="8"/>
        <v>9222.2386554089953</v>
      </c>
      <c r="G100" s="304">
        <f t="shared" si="9"/>
        <v>920.76200985869934</v>
      </c>
      <c r="H100" s="303">
        <f t="shared" si="10"/>
        <v>8301.4766455502959</v>
      </c>
      <c r="I100" s="305">
        <f t="shared" si="11"/>
        <v>938869.04692036344</v>
      </c>
    </row>
    <row r="101" spans="4:9" x14ac:dyDescent="0.25">
      <c r="D101" s="262">
        <f t="shared" si="6"/>
        <v>100</v>
      </c>
      <c r="E101" s="303">
        <f t="shared" si="7"/>
        <v>938869.04692036344</v>
      </c>
      <c r="F101" s="303">
        <f t="shared" si="8"/>
        <v>9222.2386554089953</v>
      </c>
      <c r="G101" s="304">
        <f t="shared" si="9"/>
        <v>928.89540761245132</v>
      </c>
      <c r="H101" s="303">
        <f t="shared" si="10"/>
        <v>8293.3432477965434</v>
      </c>
      <c r="I101" s="305">
        <f t="shared" si="11"/>
        <v>937940.15151275101</v>
      </c>
    </row>
    <row r="102" spans="4:9" x14ac:dyDescent="0.25">
      <c r="D102" s="262">
        <f t="shared" si="6"/>
        <v>101</v>
      </c>
      <c r="E102" s="303">
        <f t="shared" si="7"/>
        <v>937940.15151275101</v>
      </c>
      <c r="F102" s="303">
        <f t="shared" si="8"/>
        <v>9222.2386554089935</v>
      </c>
      <c r="G102" s="304">
        <f t="shared" si="9"/>
        <v>937.10065037969434</v>
      </c>
      <c r="H102" s="303">
        <f t="shared" si="10"/>
        <v>8285.1380050292992</v>
      </c>
      <c r="I102" s="305">
        <f t="shared" si="11"/>
        <v>937003.05086237134</v>
      </c>
    </row>
    <row r="103" spans="4:9" x14ac:dyDescent="0.25">
      <c r="D103" s="262">
        <f t="shared" si="6"/>
        <v>102</v>
      </c>
      <c r="E103" s="303">
        <f t="shared" si="7"/>
        <v>937003.05086237134</v>
      </c>
      <c r="F103" s="303">
        <f t="shared" si="8"/>
        <v>9222.2386554089953</v>
      </c>
      <c r="G103" s="304">
        <f t="shared" si="9"/>
        <v>945.37837279138159</v>
      </c>
      <c r="H103" s="303">
        <f t="shared" si="10"/>
        <v>8276.8602826176138</v>
      </c>
      <c r="I103" s="305">
        <f t="shared" si="11"/>
        <v>936057.67248958</v>
      </c>
    </row>
    <row r="104" spans="4:9" x14ac:dyDescent="0.25">
      <c r="D104" s="262">
        <f t="shared" si="6"/>
        <v>103</v>
      </c>
      <c r="E104" s="303">
        <f t="shared" si="7"/>
        <v>936057.67248958</v>
      </c>
      <c r="F104" s="303">
        <f t="shared" si="8"/>
        <v>9222.2386554089953</v>
      </c>
      <c r="G104" s="304">
        <f t="shared" si="9"/>
        <v>953.72921508437219</v>
      </c>
      <c r="H104" s="303">
        <f t="shared" si="10"/>
        <v>8268.5094403246239</v>
      </c>
      <c r="I104" s="305">
        <f t="shared" si="11"/>
        <v>935103.94327449566</v>
      </c>
    </row>
    <row r="105" spans="4:9" x14ac:dyDescent="0.25">
      <c r="D105" s="262">
        <f t="shared" si="6"/>
        <v>104</v>
      </c>
      <c r="E105" s="303">
        <f t="shared" si="7"/>
        <v>935103.94327449566</v>
      </c>
      <c r="F105" s="303">
        <f t="shared" si="8"/>
        <v>9222.2386554089953</v>
      </c>
      <c r="G105" s="304">
        <f t="shared" si="9"/>
        <v>962.15382315095076</v>
      </c>
      <c r="H105" s="303">
        <f t="shared" si="10"/>
        <v>8260.0848322580441</v>
      </c>
      <c r="I105" s="305">
        <f t="shared" si="11"/>
        <v>934141.78945134475</v>
      </c>
    </row>
    <row r="106" spans="4:9" x14ac:dyDescent="0.25">
      <c r="D106" s="262">
        <f t="shared" si="6"/>
        <v>105</v>
      </c>
      <c r="E106" s="303">
        <f t="shared" si="7"/>
        <v>934141.78945134475</v>
      </c>
      <c r="F106" s="303">
        <f t="shared" si="8"/>
        <v>9222.2386554089971</v>
      </c>
      <c r="G106" s="304">
        <f t="shared" si="9"/>
        <v>970.65284858878442</v>
      </c>
      <c r="H106" s="303">
        <f t="shared" si="10"/>
        <v>8251.5858068202124</v>
      </c>
      <c r="I106" s="305">
        <f t="shared" si="11"/>
        <v>933171.13660275599</v>
      </c>
    </row>
    <row r="107" spans="4:9" x14ac:dyDescent="0.25">
      <c r="D107" s="262">
        <f t="shared" si="6"/>
        <v>106</v>
      </c>
      <c r="E107" s="303">
        <f t="shared" si="7"/>
        <v>933171.13660275599</v>
      </c>
      <c r="F107" s="303">
        <f t="shared" si="8"/>
        <v>9222.2386554089953</v>
      </c>
      <c r="G107" s="304">
        <f t="shared" si="9"/>
        <v>979.22694875131867</v>
      </c>
      <c r="H107" s="303">
        <f t="shared" si="10"/>
        <v>8243.0117066576768</v>
      </c>
      <c r="I107" s="305">
        <f t="shared" si="11"/>
        <v>932191.90965400462</v>
      </c>
    </row>
    <row r="108" spans="4:9" x14ac:dyDescent="0.25">
      <c r="D108" s="262">
        <f t="shared" si="6"/>
        <v>107</v>
      </c>
      <c r="E108" s="303">
        <f t="shared" si="7"/>
        <v>932191.90965400462</v>
      </c>
      <c r="F108" s="303">
        <f t="shared" si="8"/>
        <v>9222.2386554089971</v>
      </c>
      <c r="G108" s="304">
        <f t="shared" si="9"/>
        <v>987.87678679862211</v>
      </c>
      <c r="H108" s="303">
        <f t="shared" si="10"/>
        <v>8234.3618686103746</v>
      </c>
      <c r="I108" s="305">
        <f t="shared" si="11"/>
        <v>931204.03286720603</v>
      </c>
    </row>
    <row r="109" spans="4:9" x14ac:dyDescent="0.25">
      <c r="D109" s="262">
        <f t="shared" si="6"/>
        <v>108</v>
      </c>
      <c r="E109" s="303">
        <f t="shared" si="7"/>
        <v>931204.03286720603</v>
      </c>
      <c r="F109" s="303">
        <f t="shared" si="8"/>
        <v>9222.2386554089953</v>
      </c>
      <c r="G109" s="304">
        <f t="shared" si="9"/>
        <v>996.60303174867647</v>
      </c>
      <c r="H109" s="303">
        <f t="shared" si="10"/>
        <v>8225.6356236603187</v>
      </c>
      <c r="I109" s="305">
        <f t="shared" si="11"/>
        <v>930207.42983545735</v>
      </c>
    </row>
    <row r="110" spans="4:9" x14ac:dyDescent="0.25">
      <c r="D110" s="262">
        <f t="shared" si="6"/>
        <v>109</v>
      </c>
      <c r="E110" s="303">
        <f t="shared" si="7"/>
        <v>930207.42983545735</v>
      </c>
      <c r="F110" s="303">
        <f t="shared" si="8"/>
        <v>9222.2386554089971</v>
      </c>
      <c r="G110" s="304">
        <f t="shared" si="9"/>
        <v>1005.4063585291233</v>
      </c>
      <c r="H110" s="303">
        <f t="shared" si="10"/>
        <v>8216.832296879873</v>
      </c>
      <c r="I110" s="305">
        <f t="shared" si="11"/>
        <v>929202.02347692824</v>
      </c>
    </row>
    <row r="111" spans="4:9" x14ac:dyDescent="0.25">
      <c r="D111" s="262">
        <f t="shared" si="6"/>
        <v>110</v>
      </c>
      <c r="E111" s="303">
        <f t="shared" si="7"/>
        <v>929202.02347692824</v>
      </c>
      <c r="F111" s="303">
        <f t="shared" si="8"/>
        <v>9222.2386554089953</v>
      </c>
      <c r="G111" s="304">
        <f t="shared" si="9"/>
        <v>1014.2874480294635</v>
      </c>
      <c r="H111" s="303">
        <f t="shared" si="10"/>
        <v>8207.9512073795322</v>
      </c>
      <c r="I111" s="305">
        <f t="shared" si="11"/>
        <v>928187.73602889874</v>
      </c>
    </row>
    <row r="112" spans="4:9" x14ac:dyDescent="0.25">
      <c r="D112" s="262">
        <f t="shared" si="6"/>
        <v>111</v>
      </c>
      <c r="E112" s="303">
        <f t="shared" si="7"/>
        <v>928187.73602889874</v>
      </c>
      <c r="F112" s="303">
        <f t="shared" si="8"/>
        <v>9222.2386554089953</v>
      </c>
      <c r="G112" s="304">
        <f t="shared" si="9"/>
        <v>1023.2469871537237</v>
      </c>
      <c r="H112" s="303">
        <f t="shared" si="10"/>
        <v>8198.9916682552721</v>
      </c>
      <c r="I112" s="305">
        <f t="shared" si="11"/>
        <v>927164.48904174496</v>
      </c>
    </row>
    <row r="113" spans="4:9" x14ac:dyDescent="0.25">
      <c r="D113" s="262">
        <f t="shared" si="6"/>
        <v>112</v>
      </c>
      <c r="E113" s="303">
        <f t="shared" si="7"/>
        <v>927164.48904174496</v>
      </c>
      <c r="F113" s="303">
        <f t="shared" si="8"/>
        <v>9222.2386554089953</v>
      </c>
      <c r="G113" s="304">
        <f t="shared" si="9"/>
        <v>1032.2856688735817</v>
      </c>
      <c r="H113" s="303">
        <f t="shared" si="10"/>
        <v>8189.9529865354134</v>
      </c>
      <c r="I113" s="305">
        <f t="shared" si="11"/>
        <v>926132.20337287139</v>
      </c>
    </row>
    <row r="114" spans="4:9" x14ac:dyDescent="0.25">
      <c r="D114" s="262">
        <f t="shared" si="6"/>
        <v>113</v>
      </c>
      <c r="E114" s="303">
        <f t="shared" si="7"/>
        <v>926132.20337287139</v>
      </c>
      <c r="F114" s="303">
        <f t="shared" si="8"/>
        <v>9222.2386554089953</v>
      </c>
      <c r="G114" s="304">
        <f t="shared" si="9"/>
        <v>1041.4041922819652</v>
      </c>
      <c r="H114" s="303">
        <f t="shared" si="10"/>
        <v>8180.8344631270302</v>
      </c>
      <c r="I114" s="305">
        <f t="shared" si="11"/>
        <v>925090.79918058938</v>
      </c>
    </row>
    <row r="115" spans="4:9" x14ac:dyDescent="0.25">
      <c r="D115" s="262">
        <f t="shared" si="6"/>
        <v>114</v>
      </c>
      <c r="E115" s="303">
        <f t="shared" si="7"/>
        <v>925090.79918058938</v>
      </c>
      <c r="F115" s="303">
        <f t="shared" si="8"/>
        <v>9222.2386554089953</v>
      </c>
      <c r="G115" s="304">
        <f t="shared" si="9"/>
        <v>1050.6032626471226</v>
      </c>
      <c r="H115" s="303">
        <f t="shared" si="10"/>
        <v>8171.6353927618729</v>
      </c>
      <c r="I115" s="305">
        <f t="shared" si="11"/>
        <v>924040.19591794221</v>
      </c>
    </row>
    <row r="116" spans="4:9" x14ac:dyDescent="0.25">
      <c r="D116" s="262">
        <f t="shared" si="6"/>
        <v>115</v>
      </c>
      <c r="E116" s="303">
        <f t="shared" si="7"/>
        <v>924040.19591794221</v>
      </c>
      <c r="F116" s="303">
        <f t="shared" si="8"/>
        <v>9222.2386554089935</v>
      </c>
      <c r="G116" s="304">
        <f t="shared" si="9"/>
        <v>1059.8835914671722</v>
      </c>
      <c r="H116" s="303">
        <f t="shared" si="10"/>
        <v>8162.3550639418218</v>
      </c>
      <c r="I116" s="305">
        <f t="shared" si="11"/>
        <v>922980.31232647505</v>
      </c>
    </row>
    <row r="117" spans="4:9" x14ac:dyDescent="0.25">
      <c r="D117" s="262">
        <f t="shared" si="6"/>
        <v>116</v>
      </c>
      <c r="E117" s="303">
        <f t="shared" si="7"/>
        <v>922980.31232647505</v>
      </c>
      <c r="F117" s="303">
        <f t="shared" si="8"/>
        <v>9222.2386554089953</v>
      </c>
      <c r="G117" s="304">
        <f t="shared" si="9"/>
        <v>1069.2458965251321</v>
      </c>
      <c r="H117" s="303">
        <f t="shared" si="10"/>
        <v>8152.9927588838627</v>
      </c>
      <c r="I117" s="305">
        <f t="shared" si="11"/>
        <v>921911.06642994995</v>
      </c>
    </row>
    <row r="118" spans="4:9" x14ac:dyDescent="0.25">
      <c r="D118" s="262">
        <f t="shared" si="6"/>
        <v>117</v>
      </c>
      <c r="E118" s="303">
        <f t="shared" si="7"/>
        <v>921911.06642994995</v>
      </c>
      <c r="F118" s="303">
        <f t="shared" si="8"/>
        <v>9222.2386554089953</v>
      </c>
      <c r="G118" s="304">
        <f t="shared" si="9"/>
        <v>1078.6909019444374</v>
      </c>
      <c r="H118" s="303">
        <f t="shared" si="10"/>
        <v>8143.5477534645579</v>
      </c>
      <c r="I118" s="305">
        <f t="shared" si="11"/>
        <v>920832.37552800553</v>
      </c>
    </row>
    <row r="119" spans="4:9" x14ac:dyDescent="0.25">
      <c r="D119" s="262">
        <f t="shared" si="6"/>
        <v>118</v>
      </c>
      <c r="E119" s="303">
        <f t="shared" si="7"/>
        <v>920832.37552800553</v>
      </c>
      <c r="F119" s="303">
        <f t="shared" si="8"/>
        <v>9222.2386554089953</v>
      </c>
      <c r="G119" s="304">
        <f t="shared" si="9"/>
        <v>1088.2193382449464</v>
      </c>
      <c r="H119" s="303">
        <f t="shared" si="10"/>
        <v>8134.0193171640485</v>
      </c>
      <c r="I119" s="305">
        <f t="shared" si="11"/>
        <v>919744.15618976054</v>
      </c>
    </row>
    <row r="120" spans="4:9" x14ac:dyDescent="0.25">
      <c r="D120" s="262">
        <f t="shared" si="6"/>
        <v>119</v>
      </c>
      <c r="E120" s="303">
        <f t="shared" si="7"/>
        <v>919744.15618976054</v>
      </c>
      <c r="F120" s="303">
        <f t="shared" si="8"/>
        <v>9222.2386554089935</v>
      </c>
      <c r="G120" s="304">
        <f t="shared" si="9"/>
        <v>1097.8319423994435</v>
      </c>
      <c r="H120" s="303">
        <f t="shared" si="10"/>
        <v>8124.4067130095509</v>
      </c>
      <c r="I120" s="305">
        <f t="shared" si="11"/>
        <v>918646.32424736104</v>
      </c>
    </row>
    <row r="121" spans="4:9" x14ac:dyDescent="0.25">
      <c r="D121" s="262">
        <f t="shared" si="6"/>
        <v>120</v>
      </c>
      <c r="E121" s="303">
        <f t="shared" si="7"/>
        <v>918646.32424736104</v>
      </c>
      <c r="F121" s="303">
        <f t="shared" si="8"/>
        <v>9222.2386554089935</v>
      </c>
      <c r="G121" s="304">
        <f t="shared" si="9"/>
        <v>1107.5294578906387</v>
      </c>
      <c r="H121" s="303">
        <f t="shared" si="10"/>
        <v>8114.7091975183548</v>
      </c>
      <c r="I121" s="305">
        <f t="shared" si="11"/>
        <v>917538.79478947038</v>
      </c>
    </row>
    <row r="122" spans="4:9" x14ac:dyDescent="0.25">
      <c r="D122" s="262">
        <f t="shared" si="6"/>
        <v>121</v>
      </c>
      <c r="E122" s="303">
        <f t="shared" si="7"/>
        <v>917538.79478947038</v>
      </c>
      <c r="F122" s="303">
        <f t="shared" si="8"/>
        <v>9222.2386554089953</v>
      </c>
      <c r="G122" s="304">
        <f t="shared" si="9"/>
        <v>1117.3126347686728</v>
      </c>
      <c r="H122" s="303">
        <f t="shared" si="10"/>
        <v>8104.9260206403223</v>
      </c>
      <c r="I122" s="305">
        <f t="shared" si="11"/>
        <v>916421.48215470172</v>
      </c>
    </row>
    <row r="123" spans="4:9" x14ac:dyDescent="0.25">
      <c r="D123" s="262">
        <f t="shared" si="6"/>
        <v>122</v>
      </c>
      <c r="E123" s="303">
        <f t="shared" si="7"/>
        <v>916421.48215470172</v>
      </c>
      <c r="F123" s="303">
        <f t="shared" si="8"/>
        <v>9222.2386554089935</v>
      </c>
      <c r="G123" s="304">
        <f t="shared" si="9"/>
        <v>1127.1822297091294</v>
      </c>
      <c r="H123" s="303">
        <f t="shared" si="10"/>
        <v>8095.056425699865</v>
      </c>
      <c r="I123" s="305">
        <f t="shared" si="11"/>
        <v>915294.29992499261</v>
      </c>
    </row>
    <row r="124" spans="4:9" x14ac:dyDescent="0.25">
      <c r="D124" s="262">
        <f t="shared" si="6"/>
        <v>123</v>
      </c>
      <c r="E124" s="303">
        <f t="shared" si="7"/>
        <v>915294.29992499261</v>
      </c>
      <c r="F124" s="303">
        <f t="shared" si="8"/>
        <v>9222.2386554089935</v>
      </c>
      <c r="G124" s="304">
        <f t="shared" si="9"/>
        <v>1137.1390060715601</v>
      </c>
      <c r="H124" s="303">
        <f t="shared" si="10"/>
        <v>8085.0996493374341</v>
      </c>
      <c r="I124" s="305">
        <f t="shared" si="11"/>
        <v>914157.160918921</v>
      </c>
    </row>
    <row r="125" spans="4:9" x14ac:dyDescent="0.25">
      <c r="D125" s="262">
        <f t="shared" si="6"/>
        <v>124</v>
      </c>
      <c r="E125" s="303">
        <f t="shared" si="7"/>
        <v>914157.160918921</v>
      </c>
      <c r="F125" s="303">
        <f t="shared" si="8"/>
        <v>9222.2386554089935</v>
      </c>
      <c r="G125" s="304">
        <f t="shared" si="9"/>
        <v>1147.1837339585254</v>
      </c>
      <c r="H125" s="303">
        <f t="shared" si="10"/>
        <v>8075.0549214504681</v>
      </c>
      <c r="I125" s="305">
        <f t="shared" si="11"/>
        <v>913009.97718496248</v>
      </c>
    </row>
    <row r="126" spans="4:9" x14ac:dyDescent="0.25">
      <c r="D126" s="262">
        <f t="shared" si="6"/>
        <v>125</v>
      </c>
      <c r="E126" s="303">
        <f t="shared" si="7"/>
        <v>913009.97718496248</v>
      </c>
      <c r="F126" s="303">
        <f t="shared" si="8"/>
        <v>9222.2386554089935</v>
      </c>
      <c r="G126" s="304">
        <f t="shared" si="9"/>
        <v>1157.3171902751592</v>
      </c>
      <c r="H126" s="303">
        <f t="shared" si="10"/>
        <v>8064.9214651338343</v>
      </c>
      <c r="I126" s="305">
        <f t="shared" si="11"/>
        <v>911852.6599946873</v>
      </c>
    </row>
    <row r="127" spans="4:9" x14ac:dyDescent="0.25">
      <c r="D127" s="262">
        <f t="shared" si="6"/>
        <v>126</v>
      </c>
      <c r="E127" s="303">
        <f t="shared" si="7"/>
        <v>911852.6599946873</v>
      </c>
      <c r="F127" s="303">
        <f t="shared" si="8"/>
        <v>9222.2386554089935</v>
      </c>
      <c r="G127" s="304">
        <f t="shared" si="9"/>
        <v>1167.5401587892563</v>
      </c>
      <c r="H127" s="303">
        <f t="shared" si="10"/>
        <v>8054.6984966197379</v>
      </c>
      <c r="I127" s="305">
        <f t="shared" si="11"/>
        <v>910685.11983589805</v>
      </c>
    </row>
    <row r="128" spans="4:9" x14ac:dyDescent="0.25">
      <c r="D128" s="262">
        <f t="shared" si="6"/>
        <v>127</v>
      </c>
      <c r="E128" s="303">
        <f t="shared" si="7"/>
        <v>910685.11983589805</v>
      </c>
      <c r="F128" s="303">
        <f t="shared" si="8"/>
        <v>9222.2386554089935</v>
      </c>
      <c r="G128" s="304">
        <f t="shared" si="9"/>
        <v>1177.8534301918946</v>
      </c>
      <c r="H128" s="303">
        <f t="shared" si="10"/>
        <v>8044.3852252170991</v>
      </c>
      <c r="I128" s="305">
        <f t="shared" si="11"/>
        <v>909507.26640570618</v>
      </c>
    </row>
    <row r="129" spans="4:9" x14ac:dyDescent="0.25">
      <c r="D129" s="262">
        <f t="shared" si="6"/>
        <v>128</v>
      </c>
      <c r="E129" s="303">
        <f t="shared" si="7"/>
        <v>909507.26640570618</v>
      </c>
      <c r="F129" s="303">
        <f t="shared" si="8"/>
        <v>9222.2386554089935</v>
      </c>
      <c r="G129" s="304">
        <f t="shared" si="9"/>
        <v>1188.2578021585896</v>
      </c>
      <c r="H129" s="303">
        <f t="shared" si="10"/>
        <v>8033.9808532504039</v>
      </c>
      <c r="I129" s="305">
        <f t="shared" si="11"/>
        <v>908319.00860354758</v>
      </c>
    </row>
    <row r="130" spans="4:9" x14ac:dyDescent="0.25">
      <c r="D130" s="262">
        <f t="shared" si="6"/>
        <v>129</v>
      </c>
      <c r="E130" s="303">
        <f t="shared" si="7"/>
        <v>908319.00860354758</v>
      </c>
      <c r="F130" s="303">
        <f t="shared" si="8"/>
        <v>9222.2386554089935</v>
      </c>
      <c r="G130" s="304">
        <f t="shared" si="9"/>
        <v>1198.7540794109907</v>
      </c>
      <c r="H130" s="303">
        <f t="shared" si="10"/>
        <v>8023.4845759980026</v>
      </c>
      <c r="I130" s="305">
        <f t="shared" si="11"/>
        <v>907120.25452413654</v>
      </c>
    </row>
    <row r="131" spans="4:9" x14ac:dyDescent="0.25">
      <c r="D131" s="262">
        <f t="shared" si="6"/>
        <v>130</v>
      </c>
      <c r="E131" s="303">
        <f t="shared" si="7"/>
        <v>907120.25452413654</v>
      </c>
      <c r="F131" s="303">
        <f t="shared" si="8"/>
        <v>9222.2386554089935</v>
      </c>
      <c r="G131" s="304">
        <f t="shared" si="9"/>
        <v>1209.3430737791209</v>
      </c>
      <c r="H131" s="303">
        <f t="shared" si="10"/>
        <v>8012.895581629873</v>
      </c>
      <c r="I131" s="305">
        <f t="shared" si="11"/>
        <v>905910.91145035741</v>
      </c>
    </row>
    <row r="132" spans="4:9" x14ac:dyDescent="0.25">
      <c r="D132" s="262">
        <f t="shared" ref="D132:D195" si="12">D131+1</f>
        <v>131</v>
      </c>
      <c r="E132" s="303">
        <f t="shared" ref="E132:E195" si="13">IF(D132/12&gt;$B$6,0,I131)</f>
        <v>905910.91145035741</v>
      </c>
      <c r="F132" s="303">
        <f t="shared" ref="F132:F195" si="14">SUM(G132:H132)</f>
        <v>9222.2386554089935</v>
      </c>
      <c r="G132" s="304">
        <f t="shared" ref="G132:G195" si="15">IF(AND(D132&gt;$B$4,D132/12&lt;=$B$6),-PPMT($B$5/12,D132-$B$4,$B$3*12,$B$2,0,0),0)</f>
        <v>1220.0256042641699</v>
      </c>
      <c r="H132" s="303">
        <f t="shared" ref="H132:H195" si="16">E132*$B$5/12</f>
        <v>8002.2130511448231</v>
      </c>
      <c r="I132" s="305">
        <f t="shared" ref="I132:I195" si="17">E132-G132</f>
        <v>904690.8858460933</v>
      </c>
    </row>
    <row r="133" spans="4:9" x14ac:dyDescent="0.25">
      <c r="D133" s="262">
        <f t="shared" si="12"/>
        <v>132</v>
      </c>
      <c r="E133" s="303">
        <f t="shared" si="13"/>
        <v>904690.8858460933</v>
      </c>
      <c r="F133" s="303">
        <f t="shared" si="14"/>
        <v>9222.2386554089935</v>
      </c>
      <c r="G133" s="304">
        <f t="shared" si="15"/>
        <v>1230.8024971018367</v>
      </c>
      <c r="H133" s="303">
        <f t="shared" si="16"/>
        <v>7991.4361583071577</v>
      </c>
      <c r="I133" s="305">
        <f t="shared" si="17"/>
        <v>903460.08334899147</v>
      </c>
    </row>
    <row r="134" spans="4:9" x14ac:dyDescent="0.25">
      <c r="D134" s="262">
        <f t="shared" si="12"/>
        <v>133</v>
      </c>
      <c r="E134" s="303">
        <f t="shared" si="13"/>
        <v>903460.08334899147</v>
      </c>
      <c r="F134" s="303">
        <f t="shared" si="14"/>
        <v>9222.2386554089935</v>
      </c>
      <c r="G134" s="304">
        <f t="shared" si="15"/>
        <v>1241.6745858262364</v>
      </c>
      <c r="H134" s="303">
        <f t="shared" si="16"/>
        <v>7980.5640695827578</v>
      </c>
      <c r="I134" s="305">
        <f t="shared" si="17"/>
        <v>902218.40876316524</v>
      </c>
    </row>
    <row r="135" spans="4:9" x14ac:dyDescent="0.25">
      <c r="D135" s="262">
        <f t="shared" si="12"/>
        <v>134</v>
      </c>
      <c r="E135" s="303">
        <f t="shared" si="13"/>
        <v>902218.40876316524</v>
      </c>
      <c r="F135" s="303">
        <f t="shared" si="14"/>
        <v>9222.2386554089935</v>
      </c>
      <c r="G135" s="304">
        <f t="shared" si="15"/>
        <v>1252.642711334368</v>
      </c>
      <c r="H135" s="303">
        <f t="shared" si="16"/>
        <v>7969.5959440746265</v>
      </c>
      <c r="I135" s="305">
        <f t="shared" si="17"/>
        <v>900965.76605183084</v>
      </c>
    </row>
    <row r="136" spans="4:9" x14ac:dyDescent="0.25">
      <c r="D136" s="262">
        <f t="shared" si="12"/>
        <v>135</v>
      </c>
      <c r="E136" s="303">
        <f t="shared" si="13"/>
        <v>900965.76605183084</v>
      </c>
      <c r="F136" s="303">
        <f t="shared" si="14"/>
        <v>9222.2386554089935</v>
      </c>
      <c r="G136" s="304">
        <f t="shared" si="15"/>
        <v>1263.7077219511552</v>
      </c>
      <c r="H136" s="303">
        <f t="shared" si="16"/>
        <v>7958.5309334578387</v>
      </c>
      <c r="I136" s="305">
        <f t="shared" si="17"/>
        <v>899702.05832987966</v>
      </c>
    </row>
    <row r="137" spans="4:9" x14ac:dyDescent="0.25">
      <c r="D137" s="262">
        <f t="shared" si="12"/>
        <v>136</v>
      </c>
      <c r="E137" s="303">
        <f t="shared" si="13"/>
        <v>899702.05832987966</v>
      </c>
      <c r="F137" s="303">
        <f t="shared" si="14"/>
        <v>9222.2386554089935</v>
      </c>
      <c r="G137" s="304">
        <f t="shared" si="15"/>
        <v>1274.870473495057</v>
      </c>
      <c r="H137" s="303">
        <f t="shared" si="16"/>
        <v>7947.3681819139374</v>
      </c>
      <c r="I137" s="305">
        <f t="shared" si="17"/>
        <v>898427.18785638455</v>
      </c>
    </row>
    <row r="138" spans="4:9" x14ac:dyDescent="0.25">
      <c r="D138" s="262">
        <f t="shared" si="12"/>
        <v>137</v>
      </c>
      <c r="E138" s="303">
        <f t="shared" si="13"/>
        <v>898427.18785638455</v>
      </c>
      <c r="F138" s="303">
        <f t="shared" si="14"/>
        <v>9222.2386554089935</v>
      </c>
      <c r="G138" s="304">
        <f t="shared" si="15"/>
        <v>1286.1318293442632</v>
      </c>
      <c r="H138" s="303">
        <f t="shared" si="16"/>
        <v>7936.1068260647298</v>
      </c>
      <c r="I138" s="305">
        <f t="shared" si="17"/>
        <v>897141.05602704023</v>
      </c>
    </row>
    <row r="139" spans="4:9" x14ac:dyDescent="0.25">
      <c r="D139" s="262">
        <f t="shared" si="12"/>
        <v>138</v>
      </c>
      <c r="E139" s="303">
        <f t="shared" si="13"/>
        <v>897141.05602704023</v>
      </c>
      <c r="F139" s="303">
        <f t="shared" si="14"/>
        <v>9222.2386554089935</v>
      </c>
      <c r="G139" s="304">
        <f t="shared" si="15"/>
        <v>1297.4926605034707</v>
      </c>
      <c r="H139" s="303">
        <f t="shared" si="16"/>
        <v>7924.7459949055219</v>
      </c>
      <c r="I139" s="305">
        <f t="shared" si="17"/>
        <v>895843.56336653675</v>
      </c>
    </row>
    <row r="140" spans="4:9" x14ac:dyDescent="0.25">
      <c r="D140" s="262">
        <f t="shared" si="12"/>
        <v>139</v>
      </c>
      <c r="E140" s="303">
        <f t="shared" si="13"/>
        <v>895843.56336653675</v>
      </c>
      <c r="F140" s="303">
        <f t="shared" si="14"/>
        <v>9222.2386554089935</v>
      </c>
      <c r="G140" s="304">
        <f t="shared" si="15"/>
        <v>1308.9538456712517</v>
      </c>
      <c r="H140" s="303">
        <f t="shared" si="16"/>
        <v>7913.2848097377419</v>
      </c>
      <c r="I140" s="305">
        <f t="shared" si="17"/>
        <v>894534.60952086549</v>
      </c>
    </row>
    <row r="141" spans="4:9" x14ac:dyDescent="0.25">
      <c r="D141" s="262">
        <f t="shared" si="12"/>
        <v>140</v>
      </c>
      <c r="E141" s="303">
        <f t="shared" si="13"/>
        <v>894534.60952086549</v>
      </c>
      <c r="F141" s="303">
        <f t="shared" si="14"/>
        <v>9222.2386554089935</v>
      </c>
      <c r="G141" s="304">
        <f t="shared" si="15"/>
        <v>1320.5162713080142</v>
      </c>
      <c r="H141" s="303">
        <f t="shared" si="16"/>
        <v>7901.7223841009791</v>
      </c>
      <c r="I141" s="305">
        <f t="shared" si="17"/>
        <v>893214.09324955742</v>
      </c>
    </row>
    <row r="142" spans="4:9" x14ac:dyDescent="0.25">
      <c r="D142" s="262">
        <f t="shared" si="12"/>
        <v>141</v>
      </c>
      <c r="E142" s="303">
        <f t="shared" si="13"/>
        <v>893214.09324955742</v>
      </c>
      <c r="F142" s="303">
        <f t="shared" si="14"/>
        <v>9222.2386554089917</v>
      </c>
      <c r="G142" s="304">
        <f t="shared" si="15"/>
        <v>1332.1808317045686</v>
      </c>
      <c r="H142" s="303">
        <f t="shared" si="16"/>
        <v>7890.0578237044238</v>
      </c>
      <c r="I142" s="305">
        <f t="shared" si="17"/>
        <v>891881.9124178529</v>
      </c>
    </row>
    <row r="143" spans="4:9" x14ac:dyDescent="0.25">
      <c r="D143" s="262">
        <f t="shared" si="12"/>
        <v>142</v>
      </c>
      <c r="E143" s="303">
        <f t="shared" si="13"/>
        <v>891881.9124178529</v>
      </c>
      <c r="F143" s="303">
        <f t="shared" si="14"/>
        <v>9222.2386554089935</v>
      </c>
      <c r="G143" s="304">
        <f t="shared" si="15"/>
        <v>1343.9484290512921</v>
      </c>
      <c r="H143" s="303">
        <f t="shared" si="16"/>
        <v>7878.2902263577007</v>
      </c>
      <c r="I143" s="305">
        <f t="shared" si="17"/>
        <v>890537.96398880158</v>
      </c>
    </row>
    <row r="144" spans="4:9" x14ac:dyDescent="0.25">
      <c r="D144" s="262">
        <f t="shared" si="12"/>
        <v>143</v>
      </c>
      <c r="E144" s="303">
        <f t="shared" si="13"/>
        <v>890537.96398880158</v>
      </c>
      <c r="F144" s="303">
        <f t="shared" si="14"/>
        <v>9222.2386554089917</v>
      </c>
      <c r="G144" s="304">
        <f t="shared" si="15"/>
        <v>1355.8199735079118</v>
      </c>
      <c r="H144" s="303">
        <f t="shared" si="16"/>
        <v>7866.4186819010802</v>
      </c>
      <c r="I144" s="305">
        <f t="shared" si="17"/>
        <v>889182.14401529368</v>
      </c>
    </row>
    <row r="145" spans="4:9" x14ac:dyDescent="0.25">
      <c r="D145" s="262">
        <f t="shared" si="12"/>
        <v>144</v>
      </c>
      <c r="E145" s="303">
        <f t="shared" si="13"/>
        <v>889182.14401529368</v>
      </c>
      <c r="F145" s="303">
        <f t="shared" si="14"/>
        <v>9222.2386554089917</v>
      </c>
      <c r="G145" s="304">
        <f t="shared" si="15"/>
        <v>1367.7963832738985</v>
      </c>
      <c r="H145" s="303">
        <f t="shared" si="16"/>
        <v>7854.4422721350938</v>
      </c>
      <c r="I145" s="305">
        <f t="shared" si="17"/>
        <v>887814.34763201978</v>
      </c>
    </row>
    <row r="146" spans="4:9" x14ac:dyDescent="0.25">
      <c r="D146" s="262">
        <f t="shared" si="12"/>
        <v>145</v>
      </c>
      <c r="E146" s="303">
        <f t="shared" si="13"/>
        <v>887814.34763201978</v>
      </c>
      <c r="F146" s="303">
        <f t="shared" si="14"/>
        <v>9222.2386554089917</v>
      </c>
      <c r="G146" s="304">
        <f t="shared" si="15"/>
        <v>1379.8785846594847</v>
      </c>
      <c r="H146" s="303">
        <f t="shared" si="16"/>
        <v>7842.360070749507</v>
      </c>
      <c r="I146" s="305">
        <f t="shared" si="17"/>
        <v>886434.46904736024</v>
      </c>
    </row>
    <row r="147" spans="4:9" x14ac:dyDescent="0.25">
      <c r="D147" s="262">
        <f t="shared" si="12"/>
        <v>146</v>
      </c>
      <c r="E147" s="303">
        <f t="shared" si="13"/>
        <v>886434.46904736024</v>
      </c>
      <c r="F147" s="303">
        <f t="shared" si="14"/>
        <v>9222.2386554089917</v>
      </c>
      <c r="G147" s="304">
        <f t="shared" si="15"/>
        <v>1392.0675121573099</v>
      </c>
      <c r="H147" s="303">
        <f t="shared" si="16"/>
        <v>7830.1711432516822</v>
      </c>
      <c r="I147" s="305">
        <f t="shared" si="17"/>
        <v>885042.40153520298</v>
      </c>
    </row>
    <row r="148" spans="4:9" x14ac:dyDescent="0.25">
      <c r="D148" s="262">
        <f t="shared" si="12"/>
        <v>147</v>
      </c>
      <c r="E148" s="303">
        <f t="shared" si="13"/>
        <v>885042.40153520298</v>
      </c>
      <c r="F148" s="303">
        <f t="shared" si="14"/>
        <v>9222.2386554089935</v>
      </c>
      <c r="G148" s="304">
        <f t="shared" si="15"/>
        <v>1404.3641085146994</v>
      </c>
      <c r="H148" s="303">
        <f t="shared" si="16"/>
        <v>7817.8745468942934</v>
      </c>
      <c r="I148" s="305">
        <f t="shared" si="17"/>
        <v>883638.03742668824</v>
      </c>
    </row>
    <row r="149" spans="4:9" x14ac:dyDescent="0.25">
      <c r="D149" s="262">
        <f t="shared" si="12"/>
        <v>148</v>
      </c>
      <c r="E149" s="303">
        <f t="shared" si="13"/>
        <v>883638.03742668824</v>
      </c>
      <c r="F149" s="303">
        <f t="shared" si="14"/>
        <v>9222.2386554089917</v>
      </c>
      <c r="G149" s="304">
        <f t="shared" si="15"/>
        <v>1416.7693248065793</v>
      </c>
      <c r="H149" s="303">
        <f t="shared" si="16"/>
        <v>7805.4693306024128</v>
      </c>
      <c r="I149" s="305">
        <f t="shared" si="17"/>
        <v>882221.26810188161</v>
      </c>
    </row>
    <row r="150" spans="4:9" x14ac:dyDescent="0.25">
      <c r="D150" s="262">
        <f t="shared" si="12"/>
        <v>149</v>
      </c>
      <c r="E150" s="303">
        <f t="shared" si="13"/>
        <v>882221.26810188161</v>
      </c>
      <c r="F150" s="303">
        <f t="shared" si="14"/>
        <v>9222.2386554089917</v>
      </c>
      <c r="G150" s="304">
        <f t="shared" si="15"/>
        <v>1429.2841205090374</v>
      </c>
      <c r="H150" s="303">
        <f t="shared" si="16"/>
        <v>7792.9545348999536</v>
      </c>
      <c r="I150" s="305">
        <f t="shared" si="17"/>
        <v>880791.98398137256</v>
      </c>
    </row>
    <row r="151" spans="4:9" x14ac:dyDescent="0.25">
      <c r="D151" s="262">
        <f t="shared" si="12"/>
        <v>150</v>
      </c>
      <c r="E151" s="303">
        <f t="shared" si="13"/>
        <v>880791.98398137256</v>
      </c>
      <c r="F151" s="303">
        <f t="shared" si="14"/>
        <v>9222.2386554089917</v>
      </c>
      <c r="G151" s="304">
        <f t="shared" si="15"/>
        <v>1441.9094635735339</v>
      </c>
      <c r="H151" s="303">
        <f t="shared" si="16"/>
        <v>7780.329191835458</v>
      </c>
      <c r="I151" s="305">
        <f t="shared" si="17"/>
        <v>879350.07451779908</v>
      </c>
    </row>
    <row r="152" spans="4:9" x14ac:dyDescent="0.25">
      <c r="D152" s="262">
        <f t="shared" si="12"/>
        <v>151</v>
      </c>
      <c r="E152" s="303">
        <f t="shared" si="13"/>
        <v>879350.07451779908</v>
      </c>
      <c r="F152" s="303">
        <f t="shared" si="14"/>
        <v>9222.2386554089917</v>
      </c>
      <c r="G152" s="304">
        <f t="shared" si="15"/>
        <v>1454.6463305017664</v>
      </c>
      <c r="H152" s="303">
        <f t="shared" si="16"/>
        <v>7767.5923249072248</v>
      </c>
      <c r="I152" s="305">
        <f t="shared" si="17"/>
        <v>877895.42818729731</v>
      </c>
    </row>
    <row r="153" spans="4:9" x14ac:dyDescent="0.25">
      <c r="D153" s="262">
        <f t="shared" si="12"/>
        <v>152</v>
      </c>
      <c r="E153" s="303">
        <f t="shared" si="13"/>
        <v>877895.42818729731</v>
      </c>
      <c r="F153" s="303">
        <f t="shared" si="14"/>
        <v>9222.2386554089935</v>
      </c>
      <c r="G153" s="304">
        <f t="shared" si="15"/>
        <v>1467.4957064211994</v>
      </c>
      <c r="H153" s="303">
        <f t="shared" si="16"/>
        <v>7754.7429489877932</v>
      </c>
      <c r="I153" s="305">
        <f t="shared" si="17"/>
        <v>876427.9324808761</v>
      </c>
    </row>
    <row r="154" spans="4:9" x14ac:dyDescent="0.25">
      <c r="D154" s="262">
        <f t="shared" si="12"/>
        <v>153</v>
      </c>
      <c r="E154" s="303">
        <f t="shared" si="13"/>
        <v>876427.9324808761</v>
      </c>
      <c r="F154" s="303">
        <f t="shared" si="14"/>
        <v>9222.2386554089917</v>
      </c>
      <c r="G154" s="304">
        <f t="shared" si="15"/>
        <v>1480.458585161253</v>
      </c>
      <c r="H154" s="303">
        <f t="shared" si="16"/>
        <v>7741.7800702477389</v>
      </c>
      <c r="I154" s="305">
        <f t="shared" si="17"/>
        <v>874947.47389571485</v>
      </c>
    </row>
    <row r="155" spans="4:9" x14ac:dyDescent="0.25">
      <c r="D155" s="262">
        <f t="shared" si="12"/>
        <v>154</v>
      </c>
      <c r="E155" s="303">
        <f t="shared" si="13"/>
        <v>874947.47389571485</v>
      </c>
      <c r="F155" s="303">
        <f t="shared" si="14"/>
        <v>9222.2386554089917</v>
      </c>
      <c r="G155" s="304">
        <f t="shared" si="15"/>
        <v>1493.5359693301777</v>
      </c>
      <c r="H155" s="303">
        <f t="shared" si="16"/>
        <v>7728.7026860788137</v>
      </c>
      <c r="I155" s="305">
        <f t="shared" si="17"/>
        <v>873453.93792638462</v>
      </c>
    </row>
    <row r="156" spans="4:9" x14ac:dyDescent="0.25">
      <c r="D156" s="262">
        <f t="shared" si="12"/>
        <v>155</v>
      </c>
      <c r="E156" s="303">
        <f t="shared" si="13"/>
        <v>873453.93792638462</v>
      </c>
      <c r="F156" s="303">
        <f t="shared" si="14"/>
        <v>9222.2386554089917</v>
      </c>
      <c r="G156" s="304">
        <f t="shared" si="15"/>
        <v>1506.728870392594</v>
      </c>
      <c r="H156" s="303">
        <f t="shared" si="16"/>
        <v>7715.5097850163975</v>
      </c>
      <c r="I156" s="305">
        <f t="shared" si="17"/>
        <v>871947.20905599208</v>
      </c>
    </row>
    <row r="157" spans="4:9" x14ac:dyDescent="0.25">
      <c r="D157" s="262">
        <f t="shared" si="12"/>
        <v>156</v>
      </c>
      <c r="E157" s="303">
        <f t="shared" si="13"/>
        <v>871947.20905599208</v>
      </c>
      <c r="F157" s="303">
        <f t="shared" si="14"/>
        <v>9222.2386554089917</v>
      </c>
      <c r="G157" s="304">
        <f t="shared" si="15"/>
        <v>1520.0383087477287</v>
      </c>
      <c r="H157" s="303">
        <f t="shared" si="16"/>
        <v>7702.2003466612632</v>
      </c>
      <c r="I157" s="305">
        <f t="shared" si="17"/>
        <v>870427.17074724438</v>
      </c>
    </row>
    <row r="158" spans="4:9" x14ac:dyDescent="0.25">
      <c r="D158" s="262">
        <f t="shared" si="12"/>
        <v>157</v>
      </c>
      <c r="E158" s="303">
        <f t="shared" si="13"/>
        <v>870427.17074724438</v>
      </c>
      <c r="F158" s="303">
        <f t="shared" si="14"/>
        <v>9222.2386554089917</v>
      </c>
      <c r="G158" s="304">
        <f t="shared" si="15"/>
        <v>1533.4653138083336</v>
      </c>
      <c r="H158" s="303">
        <f t="shared" si="16"/>
        <v>7688.7733416006586</v>
      </c>
      <c r="I158" s="305">
        <f t="shared" si="17"/>
        <v>868893.70543343609</v>
      </c>
    </row>
    <row r="159" spans="4:9" x14ac:dyDescent="0.25">
      <c r="D159" s="262">
        <f t="shared" si="12"/>
        <v>158</v>
      </c>
      <c r="E159" s="303">
        <f t="shared" si="13"/>
        <v>868893.70543343609</v>
      </c>
      <c r="F159" s="303">
        <f t="shared" si="14"/>
        <v>9222.2386554089935</v>
      </c>
      <c r="G159" s="304">
        <f t="shared" si="15"/>
        <v>1547.0109240803072</v>
      </c>
      <c r="H159" s="303">
        <f t="shared" si="16"/>
        <v>7675.2277313286859</v>
      </c>
      <c r="I159" s="305">
        <f t="shared" si="17"/>
        <v>867346.69450935582</v>
      </c>
    </row>
    <row r="160" spans="4:9" x14ac:dyDescent="0.25">
      <c r="D160" s="262">
        <f t="shared" si="12"/>
        <v>159</v>
      </c>
      <c r="E160" s="303">
        <f t="shared" si="13"/>
        <v>867346.69450935582</v>
      </c>
      <c r="F160" s="303">
        <f t="shared" si="14"/>
        <v>9222.2386554089917</v>
      </c>
      <c r="G160" s="304">
        <f t="shared" si="15"/>
        <v>1560.6761872430163</v>
      </c>
      <c r="H160" s="303">
        <f t="shared" si="16"/>
        <v>7661.5624681659756</v>
      </c>
      <c r="I160" s="305">
        <f t="shared" si="17"/>
        <v>865786.01832211285</v>
      </c>
    </row>
    <row r="161" spans="4:9" x14ac:dyDescent="0.25">
      <c r="D161" s="262">
        <f t="shared" si="12"/>
        <v>160</v>
      </c>
      <c r="E161" s="303">
        <f t="shared" si="13"/>
        <v>865786.01832211285</v>
      </c>
      <c r="F161" s="303">
        <f t="shared" si="14"/>
        <v>9222.2386554089935</v>
      </c>
      <c r="G161" s="304">
        <f t="shared" si="15"/>
        <v>1574.4621602303298</v>
      </c>
      <c r="H161" s="303">
        <f t="shared" si="16"/>
        <v>7647.776495178663</v>
      </c>
      <c r="I161" s="305">
        <f t="shared" si="17"/>
        <v>864211.55616188247</v>
      </c>
    </row>
    <row r="162" spans="4:9" x14ac:dyDescent="0.25">
      <c r="D162" s="262">
        <f t="shared" si="12"/>
        <v>161</v>
      </c>
      <c r="E162" s="303">
        <f t="shared" si="13"/>
        <v>864211.55616188247</v>
      </c>
      <c r="F162" s="303">
        <f t="shared" si="14"/>
        <v>9222.2386554089935</v>
      </c>
      <c r="G162" s="304">
        <f t="shared" si="15"/>
        <v>1588.3699093123644</v>
      </c>
      <c r="H162" s="303">
        <f t="shared" si="16"/>
        <v>7633.8687460966285</v>
      </c>
      <c r="I162" s="305">
        <f t="shared" si="17"/>
        <v>862623.18625257013</v>
      </c>
    </row>
    <row r="163" spans="4:9" x14ac:dyDescent="0.25">
      <c r="D163" s="262">
        <f t="shared" si="12"/>
        <v>162</v>
      </c>
      <c r="E163" s="303">
        <f t="shared" si="13"/>
        <v>862623.18625257013</v>
      </c>
      <c r="F163" s="303">
        <f t="shared" si="14"/>
        <v>9222.2386554089935</v>
      </c>
      <c r="G163" s="304">
        <f t="shared" si="15"/>
        <v>1602.4005101779571</v>
      </c>
      <c r="H163" s="303">
        <f t="shared" si="16"/>
        <v>7619.8381452310359</v>
      </c>
      <c r="I163" s="305">
        <f t="shared" si="17"/>
        <v>861020.78574239218</v>
      </c>
    </row>
    <row r="164" spans="4:9" x14ac:dyDescent="0.25">
      <c r="D164" s="262">
        <f t="shared" si="12"/>
        <v>163</v>
      </c>
      <c r="E164" s="303">
        <f t="shared" si="13"/>
        <v>861020.78574239218</v>
      </c>
      <c r="F164" s="303">
        <f t="shared" si="14"/>
        <v>9222.2386554089917</v>
      </c>
      <c r="G164" s="304">
        <f t="shared" si="15"/>
        <v>1616.555048017862</v>
      </c>
      <c r="H164" s="303">
        <f t="shared" si="16"/>
        <v>7605.68360739113</v>
      </c>
      <c r="I164" s="305">
        <f t="shared" si="17"/>
        <v>859404.2306943743</v>
      </c>
    </row>
    <row r="165" spans="4:9" x14ac:dyDescent="0.25">
      <c r="D165" s="262">
        <f t="shared" si="12"/>
        <v>164</v>
      </c>
      <c r="E165" s="303">
        <f t="shared" si="13"/>
        <v>859404.2306943743</v>
      </c>
      <c r="F165" s="303">
        <f t="shared" si="14"/>
        <v>9222.2386554089917</v>
      </c>
      <c r="G165" s="304">
        <f t="shared" si="15"/>
        <v>1630.8346176086866</v>
      </c>
      <c r="H165" s="303">
        <f t="shared" si="16"/>
        <v>7591.4040378003056</v>
      </c>
      <c r="I165" s="305">
        <f t="shared" si="17"/>
        <v>857773.39607676561</v>
      </c>
    </row>
    <row r="166" spans="4:9" x14ac:dyDescent="0.25">
      <c r="D166" s="262">
        <f t="shared" si="12"/>
        <v>165</v>
      </c>
      <c r="E166" s="303">
        <f t="shared" si="13"/>
        <v>857773.39607676561</v>
      </c>
      <c r="F166" s="303">
        <f t="shared" si="14"/>
        <v>9222.2386554089935</v>
      </c>
      <c r="G166" s="304">
        <f t="shared" si="15"/>
        <v>1645.2403233975633</v>
      </c>
      <c r="H166" s="303">
        <f t="shared" si="16"/>
        <v>7576.9983320114297</v>
      </c>
      <c r="I166" s="305">
        <f t="shared" si="17"/>
        <v>856128.15575336805</v>
      </c>
    </row>
    <row r="167" spans="4:9" x14ac:dyDescent="0.25">
      <c r="D167" s="262">
        <f t="shared" si="12"/>
        <v>166</v>
      </c>
      <c r="E167" s="303">
        <f t="shared" si="13"/>
        <v>856128.15575336805</v>
      </c>
      <c r="F167" s="303">
        <f t="shared" si="14"/>
        <v>9222.2386554089935</v>
      </c>
      <c r="G167" s="304">
        <f t="shared" si="15"/>
        <v>1659.7732795875754</v>
      </c>
      <c r="H167" s="303">
        <f t="shared" si="16"/>
        <v>7562.4653758214181</v>
      </c>
      <c r="I167" s="305">
        <f t="shared" si="17"/>
        <v>854468.38247378042</v>
      </c>
    </row>
    <row r="168" spans="4:9" x14ac:dyDescent="0.25">
      <c r="D168" s="262">
        <f t="shared" si="12"/>
        <v>167</v>
      </c>
      <c r="E168" s="303">
        <f t="shared" si="13"/>
        <v>854468.38247378042</v>
      </c>
      <c r="F168" s="303">
        <f t="shared" si="14"/>
        <v>9222.2386554089917</v>
      </c>
      <c r="G168" s="304">
        <f t="shared" si="15"/>
        <v>1674.4346102239317</v>
      </c>
      <c r="H168" s="303">
        <f t="shared" si="16"/>
        <v>7547.8040451850602</v>
      </c>
      <c r="I168" s="305">
        <f t="shared" si="17"/>
        <v>852793.94786355644</v>
      </c>
    </row>
    <row r="169" spans="4:9" x14ac:dyDescent="0.25">
      <c r="D169" s="262">
        <f t="shared" si="12"/>
        <v>168</v>
      </c>
      <c r="E169" s="303">
        <f t="shared" si="13"/>
        <v>852793.94786355644</v>
      </c>
      <c r="F169" s="303">
        <f t="shared" si="14"/>
        <v>9222.2386554089917</v>
      </c>
      <c r="G169" s="304">
        <f t="shared" si="15"/>
        <v>1689.2254492809102</v>
      </c>
      <c r="H169" s="303">
        <f t="shared" si="16"/>
        <v>7533.0132061280819</v>
      </c>
      <c r="I169" s="305">
        <f t="shared" si="17"/>
        <v>851104.72241427551</v>
      </c>
    </row>
    <row r="170" spans="4:9" x14ac:dyDescent="0.25">
      <c r="D170" s="262">
        <f t="shared" si="12"/>
        <v>169</v>
      </c>
      <c r="E170" s="303">
        <f t="shared" si="13"/>
        <v>851104.72241427551</v>
      </c>
      <c r="F170" s="303">
        <f t="shared" si="14"/>
        <v>9222.2386554089917</v>
      </c>
      <c r="G170" s="304">
        <f t="shared" si="15"/>
        <v>1704.1469407495583</v>
      </c>
      <c r="H170" s="303">
        <f t="shared" si="16"/>
        <v>7518.0917146594329</v>
      </c>
      <c r="I170" s="305">
        <f t="shared" si="17"/>
        <v>849400.57547352591</v>
      </c>
    </row>
    <row r="171" spans="4:9" x14ac:dyDescent="0.25">
      <c r="D171" s="262">
        <f t="shared" si="12"/>
        <v>170</v>
      </c>
      <c r="E171" s="303">
        <f t="shared" si="13"/>
        <v>849400.57547352591</v>
      </c>
      <c r="F171" s="303">
        <f t="shared" si="14"/>
        <v>9222.2386554089917</v>
      </c>
      <c r="G171" s="304">
        <f t="shared" si="15"/>
        <v>1719.2002387261796</v>
      </c>
      <c r="H171" s="303">
        <f t="shared" si="16"/>
        <v>7503.0384166828117</v>
      </c>
      <c r="I171" s="305">
        <f t="shared" si="17"/>
        <v>847681.37523479969</v>
      </c>
    </row>
    <row r="172" spans="4:9" x14ac:dyDescent="0.25">
      <c r="D172" s="262">
        <f t="shared" si="12"/>
        <v>171</v>
      </c>
      <c r="E172" s="303">
        <f t="shared" si="13"/>
        <v>847681.37523479969</v>
      </c>
      <c r="F172" s="303">
        <f t="shared" si="14"/>
        <v>9222.2386554089917</v>
      </c>
      <c r="G172" s="304">
        <f t="shared" si="15"/>
        <v>1734.3865075015942</v>
      </c>
      <c r="H172" s="303">
        <f t="shared" si="16"/>
        <v>7487.852147907397</v>
      </c>
      <c r="I172" s="305">
        <f t="shared" si="17"/>
        <v>845946.9887272981</v>
      </c>
    </row>
    <row r="173" spans="4:9" x14ac:dyDescent="0.25">
      <c r="D173" s="262">
        <f t="shared" si="12"/>
        <v>172</v>
      </c>
      <c r="E173" s="303">
        <f t="shared" si="13"/>
        <v>845946.9887272981</v>
      </c>
      <c r="F173" s="303">
        <f t="shared" si="14"/>
        <v>9222.2386554089899</v>
      </c>
      <c r="G173" s="304">
        <f t="shared" si="15"/>
        <v>1749.7069216511914</v>
      </c>
      <c r="H173" s="303">
        <f t="shared" si="16"/>
        <v>7472.531733757799</v>
      </c>
      <c r="I173" s="305">
        <f t="shared" si="17"/>
        <v>844197.28180564696</v>
      </c>
    </row>
    <row r="174" spans="4:9" x14ac:dyDescent="0.25">
      <c r="D174" s="262">
        <f t="shared" si="12"/>
        <v>173</v>
      </c>
      <c r="E174" s="303">
        <f t="shared" si="13"/>
        <v>844197.28180564696</v>
      </c>
      <c r="F174" s="303">
        <f t="shared" si="14"/>
        <v>9222.2386554089917</v>
      </c>
      <c r="G174" s="304">
        <f t="shared" si="15"/>
        <v>1765.1626661257769</v>
      </c>
      <c r="H174" s="303">
        <f t="shared" si="16"/>
        <v>7457.0759892832148</v>
      </c>
      <c r="I174" s="305">
        <f t="shared" si="17"/>
        <v>842432.11913952115</v>
      </c>
    </row>
    <row r="175" spans="4:9" x14ac:dyDescent="0.25">
      <c r="D175" s="262">
        <f t="shared" si="12"/>
        <v>174</v>
      </c>
      <c r="E175" s="303">
        <f t="shared" si="13"/>
        <v>842432.11913952115</v>
      </c>
      <c r="F175" s="303">
        <f t="shared" si="14"/>
        <v>9222.2386554089917</v>
      </c>
      <c r="G175" s="304">
        <f t="shared" si="15"/>
        <v>1780.7549363432213</v>
      </c>
      <c r="H175" s="303">
        <f t="shared" si="16"/>
        <v>7441.4837190657699</v>
      </c>
      <c r="I175" s="305">
        <f t="shared" si="17"/>
        <v>840651.36420317797</v>
      </c>
    </row>
    <row r="176" spans="4:9" x14ac:dyDescent="0.25">
      <c r="D176" s="262">
        <f t="shared" si="12"/>
        <v>175</v>
      </c>
      <c r="E176" s="303">
        <f t="shared" si="13"/>
        <v>840651.36420317797</v>
      </c>
      <c r="F176" s="303">
        <f t="shared" si="14"/>
        <v>9222.2386554089917</v>
      </c>
      <c r="G176" s="304">
        <f t="shared" si="15"/>
        <v>1796.4849382809198</v>
      </c>
      <c r="H176" s="303">
        <f t="shared" si="16"/>
        <v>7425.7537171280719</v>
      </c>
      <c r="I176" s="305">
        <f t="shared" si="17"/>
        <v>838854.87926489708</v>
      </c>
    </row>
    <row r="177" spans="4:9" x14ac:dyDescent="0.25">
      <c r="D177" s="262">
        <f t="shared" si="12"/>
        <v>176</v>
      </c>
      <c r="E177" s="303">
        <f t="shared" si="13"/>
        <v>838854.87926489708</v>
      </c>
      <c r="F177" s="303">
        <f t="shared" si="14"/>
        <v>9222.2386554089917</v>
      </c>
      <c r="G177" s="304">
        <f t="shared" si="15"/>
        <v>1812.3538885690677</v>
      </c>
      <c r="H177" s="303">
        <f t="shared" si="16"/>
        <v>7409.8847668399239</v>
      </c>
      <c r="I177" s="305">
        <f t="shared" si="17"/>
        <v>837042.52537632803</v>
      </c>
    </row>
    <row r="178" spans="4:9" x14ac:dyDescent="0.25">
      <c r="D178" s="262">
        <f t="shared" si="12"/>
        <v>177</v>
      </c>
      <c r="E178" s="303">
        <f t="shared" si="13"/>
        <v>837042.52537632803</v>
      </c>
      <c r="F178" s="303">
        <f t="shared" si="14"/>
        <v>9222.2386554089917</v>
      </c>
      <c r="G178" s="304">
        <f t="shared" si="15"/>
        <v>1828.3630145847612</v>
      </c>
      <c r="H178" s="303">
        <f t="shared" si="16"/>
        <v>7393.8756408242307</v>
      </c>
      <c r="I178" s="305">
        <f t="shared" si="17"/>
        <v>835214.16236174328</v>
      </c>
    </row>
    <row r="179" spans="4:9" x14ac:dyDescent="0.25">
      <c r="D179" s="262">
        <f t="shared" si="12"/>
        <v>178</v>
      </c>
      <c r="E179" s="303">
        <f t="shared" si="13"/>
        <v>835214.16236174328</v>
      </c>
      <c r="F179" s="303">
        <f t="shared" si="14"/>
        <v>9222.2386554089917</v>
      </c>
      <c r="G179" s="304">
        <f t="shared" si="15"/>
        <v>1844.5135545469266</v>
      </c>
      <c r="H179" s="303">
        <f t="shared" si="16"/>
        <v>7377.7251008620651</v>
      </c>
      <c r="I179" s="305">
        <f t="shared" si="17"/>
        <v>833369.6488071963</v>
      </c>
    </row>
    <row r="180" spans="4:9" x14ac:dyDescent="0.25">
      <c r="D180" s="262">
        <f t="shared" si="12"/>
        <v>179</v>
      </c>
      <c r="E180" s="303">
        <f t="shared" si="13"/>
        <v>833369.6488071963</v>
      </c>
      <c r="F180" s="303">
        <f t="shared" si="14"/>
        <v>9222.2386554089917</v>
      </c>
      <c r="G180" s="304">
        <f t="shared" si="15"/>
        <v>1860.8067576120914</v>
      </c>
      <c r="H180" s="303">
        <f t="shared" si="16"/>
        <v>7361.4318977969006</v>
      </c>
      <c r="I180" s="305">
        <f t="shared" si="17"/>
        <v>831508.84204958426</v>
      </c>
    </row>
    <row r="181" spans="4:9" x14ac:dyDescent="0.25">
      <c r="D181" s="262">
        <f t="shared" si="12"/>
        <v>180</v>
      </c>
      <c r="E181" s="303">
        <f t="shared" si="13"/>
        <v>831508.84204958426</v>
      </c>
      <c r="F181" s="303">
        <f t="shared" si="14"/>
        <v>9222.2386554089917</v>
      </c>
      <c r="G181" s="304">
        <f t="shared" si="15"/>
        <v>1877.2438839709978</v>
      </c>
      <c r="H181" s="303">
        <f t="shared" si="16"/>
        <v>7344.9947714379932</v>
      </c>
      <c r="I181" s="305">
        <f t="shared" si="17"/>
        <v>829631.59816561325</v>
      </c>
    </row>
    <row r="182" spans="4:9" x14ac:dyDescent="0.25">
      <c r="D182" s="262">
        <f t="shared" si="12"/>
        <v>181</v>
      </c>
      <c r="E182" s="303">
        <f t="shared" si="13"/>
        <v>829631.59816561325</v>
      </c>
      <c r="F182" s="303">
        <f t="shared" si="14"/>
        <v>9222.2386554089917</v>
      </c>
      <c r="G182" s="304">
        <f t="shared" si="15"/>
        <v>1893.8262049460752</v>
      </c>
      <c r="H182" s="303">
        <f t="shared" si="16"/>
        <v>7328.4124504629171</v>
      </c>
      <c r="I182" s="305">
        <f t="shared" si="17"/>
        <v>827737.77196066722</v>
      </c>
    </row>
    <row r="183" spans="4:9" x14ac:dyDescent="0.25">
      <c r="D183" s="262">
        <f t="shared" si="12"/>
        <v>182</v>
      </c>
      <c r="E183" s="303">
        <f t="shared" si="13"/>
        <v>827737.77196066722</v>
      </c>
      <c r="F183" s="303">
        <f t="shared" si="14"/>
        <v>9222.2386554089917</v>
      </c>
      <c r="G183" s="304">
        <f t="shared" si="15"/>
        <v>1910.5550030897655</v>
      </c>
      <c r="H183" s="303">
        <f t="shared" si="16"/>
        <v>7311.683652319226</v>
      </c>
      <c r="I183" s="305">
        <f t="shared" si="17"/>
        <v>825827.2169575775</v>
      </c>
    </row>
    <row r="184" spans="4:9" x14ac:dyDescent="0.25">
      <c r="D184" s="262">
        <f t="shared" si="12"/>
        <v>183</v>
      </c>
      <c r="E184" s="303">
        <f t="shared" si="13"/>
        <v>825827.2169575775</v>
      </c>
      <c r="F184" s="303">
        <f t="shared" si="14"/>
        <v>9222.2386554089917</v>
      </c>
      <c r="G184" s="304">
        <f t="shared" si="15"/>
        <v>1927.431572283725</v>
      </c>
      <c r="H184" s="303">
        <f t="shared" si="16"/>
        <v>7294.8070831252671</v>
      </c>
      <c r="I184" s="305">
        <f t="shared" si="17"/>
        <v>823899.78538529377</v>
      </c>
    </row>
    <row r="185" spans="4:9" x14ac:dyDescent="0.25">
      <c r="D185" s="262">
        <f t="shared" si="12"/>
        <v>184</v>
      </c>
      <c r="E185" s="303">
        <f t="shared" si="13"/>
        <v>823899.78538529377</v>
      </c>
      <c r="F185" s="303">
        <f t="shared" si="14"/>
        <v>9222.2386554089917</v>
      </c>
      <c r="G185" s="304">
        <f t="shared" si="15"/>
        <v>1944.4572178388978</v>
      </c>
      <c r="H185" s="303">
        <f t="shared" si="16"/>
        <v>7277.7814375700946</v>
      </c>
      <c r="I185" s="305">
        <f t="shared" si="17"/>
        <v>821955.32816745492</v>
      </c>
    </row>
    <row r="186" spans="4:9" x14ac:dyDescent="0.25">
      <c r="D186" s="262">
        <f t="shared" si="12"/>
        <v>185</v>
      </c>
      <c r="E186" s="303">
        <f t="shared" si="13"/>
        <v>821955.32816745492</v>
      </c>
      <c r="F186" s="303">
        <f t="shared" si="14"/>
        <v>9222.2386554089917</v>
      </c>
      <c r="G186" s="304">
        <f t="shared" si="15"/>
        <v>1961.6332565964747</v>
      </c>
      <c r="H186" s="303">
        <f t="shared" si="16"/>
        <v>7260.6053988125177</v>
      </c>
      <c r="I186" s="305">
        <f t="shared" si="17"/>
        <v>819993.69491085841</v>
      </c>
    </row>
    <row r="187" spans="4:9" x14ac:dyDescent="0.25">
      <c r="D187" s="262">
        <f t="shared" si="12"/>
        <v>186</v>
      </c>
      <c r="E187" s="303">
        <f t="shared" si="13"/>
        <v>819993.69491085841</v>
      </c>
      <c r="F187" s="303">
        <f t="shared" si="14"/>
        <v>9222.2386554089935</v>
      </c>
      <c r="G187" s="304">
        <f t="shared" si="15"/>
        <v>1978.9610170297437</v>
      </c>
      <c r="H187" s="303">
        <f t="shared" si="16"/>
        <v>7243.2776383792489</v>
      </c>
      <c r="I187" s="305">
        <f t="shared" si="17"/>
        <v>818014.7338938287</v>
      </c>
    </row>
    <row r="188" spans="4:9" x14ac:dyDescent="0.25">
      <c r="D188" s="262">
        <f t="shared" si="12"/>
        <v>187</v>
      </c>
      <c r="E188" s="303">
        <f t="shared" si="13"/>
        <v>818014.7338938287</v>
      </c>
      <c r="F188" s="303">
        <f t="shared" si="14"/>
        <v>9222.2386554089935</v>
      </c>
      <c r="G188" s="304">
        <f t="shared" si="15"/>
        <v>1996.44183934684</v>
      </c>
      <c r="H188" s="303">
        <f t="shared" si="16"/>
        <v>7225.7968160621531</v>
      </c>
      <c r="I188" s="305">
        <f t="shared" si="17"/>
        <v>816018.2920544818</v>
      </c>
    </row>
    <row r="189" spans="4:9" x14ac:dyDescent="0.25">
      <c r="D189" s="262">
        <f t="shared" si="12"/>
        <v>188</v>
      </c>
      <c r="E189" s="303">
        <f t="shared" si="13"/>
        <v>816018.2920544818</v>
      </c>
      <c r="F189" s="303">
        <f t="shared" si="14"/>
        <v>9222.2386554089935</v>
      </c>
      <c r="G189" s="304">
        <f t="shared" si="15"/>
        <v>2014.0770755944034</v>
      </c>
      <c r="H189" s="303">
        <f t="shared" si="16"/>
        <v>7208.1615798145895</v>
      </c>
      <c r="I189" s="305">
        <f t="shared" si="17"/>
        <v>814004.21497888735</v>
      </c>
    </row>
    <row r="190" spans="4:9" x14ac:dyDescent="0.25">
      <c r="D190" s="262">
        <f t="shared" si="12"/>
        <v>189</v>
      </c>
      <c r="E190" s="303">
        <f t="shared" si="13"/>
        <v>814004.21497888735</v>
      </c>
      <c r="F190" s="303">
        <f t="shared" si="14"/>
        <v>9222.2386554089917</v>
      </c>
      <c r="G190" s="304">
        <f t="shared" si="15"/>
        <v>2031.8680897621537</v>
      </c>
      <c r="H190" s="303">
        <f t="shared" si="16"/>
        <v>7190.3705656468383</v>
      </c>
      <c r="I190" s="305">
        <f t="shared" si="17"/>
        <v>811972.34688912518</v>
      </c>
    </row>
    <row r="191" spans="4:9" x14ac:dyDescent="0.25">
      <c r="D191" s="262">
        <f t="shared" si="12"/>
        <v>190</v>
      </c>
      <c r="E191" s="303">
        <f t="shared" si="13"/>
        <v>811972.34688912518</v>
      </c>
      <c r="F191" s="303">
        <f t="shared" si="14"/>
        <v>9222.2386554089917</v>
      </c>
      <c r="G191" s="304">
        <f t="shared" si="15"/>
        <v>2049.8162578883866</v>
      </c>
      <c r="H191" s="303">
        <f t="shared" si="16"/>
        <v>7172.422397520605</v>
      </c>
      <c r="I191" s="305">
        <f t="shared" si="17"/>
        <v>809922.53063123685</v>
      </c>
    </row>
    <row r="192" spans="4:9" x14ac:dyDescent="0.25">
      <c r="D192" s="262">
        <f t="shared" si="12"/>
        <v>191</v>
      </c>
      <c r="E192" s="303">
        <f t="shared" si="13"/>
        <v>809922.53063123685</v>
      </c>
      <c r="F192" s="303">
        <f t="shared" si="14"/>
        <v>9222.2386554089935</v>
      </c>
      <c r="G192" s="304">
        <f t="shared" si="15"/>
        <v>2067.9229681664006</v>
      </c>
      <c r="H192" s="303">
        <f t="shared" si="16"/>
        <v>7154.3156872425925</v>
      </c>
      <c r="I192" s="305">
        <f t="shared" si="17"/>
        <v>807854.60766307043</v>
      </c>
    </row>
    <row r="193" spans="4:9" x14ac:dyDescent="0.25">
      <c r="D193" s="262">
        <f t="shared" si="12"/>
        <v>192</v>
      </c>
      <c r="E193" s="303">
        <f t="shared" si="13"/>
        <v>807854.60766307043</v>
      </c>
      <c r="F193" s="303">
        <f t="shared" si="14"/>
        <v>9222.2386554089935</v>
      </c>
      <c r="G193" s="304">
        <f t="shared" si="15"/>
        <v>2086.1896210518707</v>
      </c>
      <c r="H193" s="303">
        <f t="shared" si="16"/>
        <v>7136.0490343571219</v>
      </c>
      <c r="I193" s="305">
        <f t="shared" si="17"/>
        <v>805768.41804201854</v>
      </c>
    </row>
    <row r="194" spans="4:9" x14ac:dyDescent="0.25">
      <c r="D194" s="262">
        <f t="shared" si="12"/>
        <v>193</v>
      </c>
      <c r="E194" s="303">
        <f t="shared" si="13"/>
        <v>805768.41804201854</v>
      </c>
      <c r="F194" s="303">
        <f t="shared" si="14"/>
        <v>9222.2386554089935</v>
      </c>
      <c r="G194" s="304">
        <f t="shared" si="15"/>
        <v>2104.6176293711615</v>
      </c>
      <c r="H194" s="303">
        <f t="shared" si="16"/>
        <v>7117.6210260378311</v>
      </c>
      <c r="I194" s="305">
        <f t="shared" si="17"/>
        <v>803663.80041264743</v>
      </c>
    </row>
    <row r="195" spans="4:9" x14ac:dyDescent="0.25">
      <c r="D195" s="262">
        <f t="shared" si="12"/>
        <v>194</v>
      </c>
      <c r="E195" s="303">
        <f t="shared" si="13"/>
        <v>803663.80041264743</v>
      </c>
      <c r="F195" s="303">
        <f t="shared" si="14"/>
        <v>9222.2386554089935</v>
      </c>
      <c r="G195" s="304">
        <f t="shared" si="15"/>
        <v>2123.2084184306068</v>
      </c>
      <c r="H195" s="303">
        <f t="shared" si="16"/>
        <v>7099.0302369783858</v>
      </c>
      <c r="I195" s="305">
        <f t="shared" si="17"/>
        <v>801540.59199421678</v>
      </c>
    </row>
    <row r="196" spans="4:9" x14ac:dyDescent="0.25">
      <c r="D196" s="262">
        <f t="shared" ref="D196:D259" si="18">D195+1</f>
        <v>195</v>
      </c>
      <c r="E196" s="303">
        <f t="shared" ref="E196:E259" si="19">IF(D196/12&gt;$B$6,0,I195)</f>
        <v>801540.59199421678</v>
      </c>
      <c r="F196" s="303">
        <f t="shared" ref="F196:F259" si="20">SUM(G196:H196)</f>
        <v>9222.2386554089917</v>
      </c>
      <c r="G196" s="304">
        <f t="shared" ref="G196:G259" si="21">IF(AND(D196&gt;$B$4,D196/12&lt;=$B$6),-PPMT($B$5/12,D196-$B$4,$B$3*12,$B$2,0,0),0)</f>
        <v>2141.9634261267443</v>
      </c>
      <c r="H196" s="303">
        <f t="shared" ref="H196:H259" si="22">E196*$B$5/12</f>
        <v>7080.2752292822479</v>
      </c>
      <c r="I196" s="305">
        <f t="shared" ref="I196:I259" si="23">E196-G196</f>
        <v>799398.62856809003</v>
      </c>
    </row>
    <row r="197" spans="4:9" x14ac:dyDescent="0.25">
      <c r="D197" s="262">
        <f t="shared" si="18"/>
        <v>196</v>
      </c>
      <c r="E197" s="303">
        <f t="shared" si="19"/>
        <v>799398.62856809003</v>
      </c>
      <c r="F197" s="303">
        <f t="shared" si="20"/>
        <v>9222.2386554089935</v>
      </c>
      <c r="G197" s="304">
        <f t="shared" si="21"/>
        <v>2160.8841030575304</v>
      </c>
      <c r="H197" s="303">
        <f t="shared" si="22"/>
        <v>7061.3545523514622</v>
      </c>
      <c r="I197" s="305">
        <f t="shared" si="23"/>
        <v>797237.74446503248</v>
      </c>
    </row>
    <row r="198" spans="4:9" x14ac:dyDescent="0.25">
      <c r="D198" s="262">
        <f t="shared" si="18"/>
        <v>197</v>
      </c>
      <c r="E198" s="303">
        <f t="shared" si="19"/>
        <v>797237.74446503248</v>
      </c>
      <c r="F198" s="303">
        <f t="shared" si="20"/>
        <v>9222.2386554089917</v>
      </c>
      <c r="G198" s="304">
        <f t="shared" si="21"/>
        <v>2179.9719126345385</v>
      </c>
      <c r="H198" s="303">
        <f t="shared" si="22"/>
        <v>7042.2667427744536</v>
      </c>
      <c r="I198" s="305">
        <f t="shared" si="23"/>
        <v>795057.77255239792</v>
      </c>
    </row>
    <row r="199" spans="4:9" x14ac:dyDescent="0.25">
      <c r="D199" s="262">
        <f t="shared" si="18"/>
        <v>198</v>
      </c>
      <c r="E199" s="303">
        <f t="shared" si="19"/>
        <v>795057.77255239792</v>
      </c>
      <c r="F199" s="303">
        <f t="shared" si="20"/>
        <v>9222.2386554089935</v>
      </c>
      <c r="G199" s="304">
        <f t="shared" si="21"/>
        <v>2199.2283311961437</v>
      </c>
      <c r="H199" s="303">
        <f t="shared" si="22"/>
        <v>7023.0103242128489</v>
      </c>
      <c r="I199" s="305">
        <f t="shared" si="23"/>
        <v>792858.5442212018</v>
      </c>
    </row>
    <row r="200" spans="4:9" x14ac:dyDescent="0.25">
      <c r="D200" s="262">
        <f t="shared" si="18"/>
        <v>199</v>
      </c>
      <c r="E200" s="303">
        <f t="shared" si="19"/>
        <v>792858.5442212018</v>
      </c>
      <c r="F200" s="303">
        <f t="shared" si="20"/>
        <v>9222.2386554089917</v>
      </c>
      <c r="G200" s="304">
        <f t="shared" si="21"/>
        <v>2218.6548481217096</v>
      </c>
      <c r="H200" s="303">
        <f t="shared" si="22"/>
        <v>7003.5838072872821</v>
      </c>
      <c r="I200" s="305">
        <f t="shared" si="23"/>
        <v>790639.88937308011</v>
      </c>
    </row>
    <row r="201" spans="4:9" x14ac:dyDescent="0.25">
      <c r="D201" s="262">
        <f t="shared" si="18"/>
        <v>200</v>
      </c>
      <c r="E201" s="303">
        <f t="shared" si="19"/>
        <v>790639.88937308011</v>
      </c>
      <c r="F201" s="303">
        <f t="shared" si="20"/>
        <v>9222.2386554089917</v>
      </c>
      <c r="G201" s="304">
        <f t="shared" si="21"/>
        <v>2238.252965946785</v>
      </c>
      <c r="H201" s="303">
        <f t="shared" si="22"/>
        <v>6983.9856894622071</v>
      </c>
      <c r="I201" s="305">
        <f t="shared" si="23"/>
        <v>788401.63640713331</v>
      </c>
    </row>
    <row r="202" spans="4:9" x14ac:dyDescent="0.25">
      <c r="D202" s="262">
        <f t="shared" si="18"/>
        <v>201</v>
      </c>
      <c r="E202" s="303">
        <f t="shared" si="19"/>
        <v>788401.63640713331</v>
      </c>
      <c r="F202" s="303">
        <f t="shared" si="20"/>
        <v>9222.2386554089935</v>
      </c>
      <c r="G202" s="304">
        <f t="shared" si="21"/>
        <v>2258.0242004793149</v>
      </c>
      <c r="H202" s="303">
        <f t="shared" si="22"/>
        <v>6964.2144549296781</v>
      </c>
      <c r="I202" s="305">
        <f t="shared" si="23"/>
        <v>786143.61220665404</v>
      </c>
    </row>
    <row r="203" spans="4:9" x14ac:dyDescent="0.25">
      <c r="D203" s="262">
        <f t="shared" si="18"/>
        <v>202</v>
      </c>
      <c r="E203" s="303">
        <f t="shared" si="19"/>
        <v>786143.61220665404</v>
      </c>
      <c r="F203" s="303">
        <f t="shared" si="20"/>
        <v>9222.2386554089935</v>
      </c>
      <c r="G203" s="304">
        <f t="shared" si="21"/>
        <v>2277.9700809168817</v>
      </c>
      <c r="H203" s="303">
        <f t="shared" si="22"/>
        <v>6944.2685744921109</v>
      </c>
      <c r="I203" s="305">
        <f t="shared" si="23"/>
        <v>783865.64212573715</v>
      </c>
    </row>
    <row r="204" spans="4:9" x14ac:dyDescent="0.25">
      <c r="D204" s="262">
        <f t="shared" si="18"/>
        <v>203</v>
      </c>
      <c r="E204" s="303">
        <f t="shared" si="19"/>
        <v>783865.64212573715</v>
      </c>
      <c r="F204" s="303">
        <f t="shared" si="20"/>
        <v>9222.2386554089935</v>
      </c>
      <c r="G204" s="304">
        <f t="shared" si="21"/>
        <v>2298.0921499649812</v>
      </c>
      <c r="H204" s="303">
        <f t="shared" si="22"/>
        <v>6924.1465054440114</v>
      </c>
      <c r="I204" s="305">
        <f t="shared" si="23"/>
        <v>781567.54997577216</v>
      </c>
    </row>
    <row r="205" spans="4:9" x14ac:dyDescent="0.25">
      <c r="D205" s="262">
        <f t="shared" si="18"/>
        <v>204</v>
      </c>
      <c r="E205" s="303">
        <f t="shared" si="19"/>
        <v>781567.54997577216</v>
      </c>
      <c r="F205" s="303">
        <f t="shared" si="20"/>
        <v>9222.2386554089935</v>
      </c>
      <c r="G205" s="304">
        <f t="shared" si="21"/>
        <v>2318.3919639563387</v>
      </c>
      <c r="H205" s="303">
        <f t="shared" si="22"/>
        <v>6903.8466914526543</v>
      </c>
      <c r="I205" s="305">
        <f t="shared" si="23"/>
        <v>779249.15801181586</v>
      </c>
    </row>
    <row r="206" spans="4:9" x14ac:dyDescent="0.25">
      <c r="D206" s="262">
        <f t="shared" si="18"/>
        <v>205</v>
      </c>
      <c r="E206" s="303">
        <f t="shared" si="19"/>
        <v>779249.15801181586</v>
      </c>
      <c r="F206" s="303">
        <f t="shared" si="20"/>
        <v>9222.2386554089935</v>
      </c>
      <c r="G206" s="304">
        <f t="shared" si="21"/>
        <v>2338.8710929712865</v>
      </c>
      <c r="H206" s="303">
        <f t="shared" si="22"/>
        <v>6883.3675624377065</v>
      </c>
      <c r="I206" s="305">
        <f t="shared" si="23"/>
        <v>776910.28691884456</v>
      </c>
    </row>
    <row r="207" spans="4:9" x14ac:dyDescent="0.25">
      <c r="D207" s="262">
        <f t="shared" si="18"/>
        <v>206</v>
      </c>
      <c r="E207" s="303">
        <f t="shared" si="19"/>
        <v>776910.28691884456</v>
      </c>
      <c r="F207" s="303">
        <f t="shared" si="20"/>
        <v>9222.2386554089917</v>
      </c>
      <c r="G207" s="304">
        <f t="shared" si="21"/>
        <v>2359.5311209591987</v>
      </c>
      <c r="H207" s="303">
        <f t="shared" si="22"/>
        <v>6862.7075344497935</v>
      </c>
      <c r="I207" s="305">
        <f t="shared" si="23"/>
        <v>774550.75579788536</v>
      </c>
    </row>
    <row r="208" spans="4:9" x14ac:dyDescent="0.25">
      <c r="D208" s="262">
        <f t="shared" si="18"/>
        <v>207</v>
      </c>
      <c r="E208" s="303">
        <f t="shared" si="19"/>
        <v>774550.75579788536</v>
      </c>
      <c r="F208" s="303">
        <f t="shared" si="20"/>
        <v>9222.2386554089917</v>
      </c>
      <c r="G208" s="304">
        <f t="shared" si="21"/>
        <v>2380.3736458610051</v>
      </c>
      <c r="H208" s="303">
        <f t="shared" si="22"/>
        <v>6841.865009547987</v>
      </c>
      <c r="I208" s="305">
        <f t="shared" si="23"/>
        <v>772170.38215202431</v>
      </c>
    </row>
    <row r="209" spans="4:9" x14ac:dyDescent="0.25">
      <c r="D209" s="262">
        <f t="shared" si="18"/>
        <v>208</v>
      </c>
      <c r="E209" s="303">
        <f t="shared" si="19"/>
        <v>772170.38215202431</v>
      </c>
      <c r="F209" s="303">
        <f t="shared" si="20"/>
        <v>9222.2386554089935</v>
      </c>
      <c r="G209" s="304">
        <f t="shared" si="21"/>
        <v>2401.4002797327776</v>
      </c>
      <c r="H209" s="303">
        <f t="shared" si="22"/>
        <v>6820.838375676215</v>
      </c>
      <c r="I209" s="305">
        <f t="shared" si="23"/>
        <v>769768.98187229154</v>
      </c>
    </row>
    <row r="210" spans="4:9" x14ac:dyDescent="0.25">
      <c r="D210" s="262">
        <f t="shared" si="18"/>
        <v>209</v>
      </c>
      <c r="E210" s="303">
        <f t="shared" si="19"/>
        <v>769768.98187229154</v>
      </c>
      <c r="F210" s="303">
        <f t="shared" si="20"/>
        <v>9222.2386554089935</v>
      </c>
      <c r="G210" s="304">
        <f t="shared" si="21"/>
        <v>2422.6126488704176</v>
      </c>
      <c r="H210" s="303">
        <f t="shared" si="22"/>
        <v>6799.626006538575</v>
      </c>
      <c r="I210" s="305">
        <f t="shared" si="23"/>
        <v>767346.36922342109</v>
      </c>
    </row>
    <row r="211" spans="4:9" x14ac:dyDescent="0.25">
      <c r="D211" s="262">
        <f t="shared" si="18"/>
        <v>210</v>
      </c>
      <c r="E211" s="303">
        <f t="shared" si="19"/>
        <v>767346.36922342109</v>
      </c>
      <c r="F211" s="303">
        <f t="shared" si="20"/>
        <v>9222.2386554089917</v>
      </c>
      <c r="G211" s="304">
        <f t="shared" si="21"/>
        <v>2444.0123939354389</v>
      </c>
      <c r="H211" s="303">
        <f t="shared" si="22"/>
        <v>6778.2262614735528</v>
      </c>
      <c r="I211" s="305">
        <f t="shared" si="23"/>
        <v>764902.35682948562</v>
      </c>
    </row>
    <row r="212" spans="4:9" x14ac:dyDescent="0.25">
      <c r="D212" s="262">
        <f t="shared" si="18"/>
        <v>211</v>
      </c>
      <c r="E212" s="303">
        <f t="shared" si="19"/>
        <v>764902.35682948562</v>
      </c>
      <c r="F212" s="303">
        <f t="shared" si="20"/>
        <v>9222.2386554089917</v>
      </c>
      <c r="G212" s="304">
        <f t="shared" si="21"/>
        <v>2465.6011700818685</v>
      </c>
      <c r="H212" s="303">
        <f t="shared" si="22"/>
        <v>6756.6374853271227</v>
      </c>
      <c r="I212" s="305">
        <f t="shared" si="23"/>
        <v>762436.75565940375</v>
      </c>
    </row>
    <row r="213" spans="4:9" x14ac:dyDescent="0.25">
      <c r="D213" s="262">
        <f t="shared" si="18"/>
        <v>212</v>
      </c>
      <c r="E213" s="303">
        <f t="shared" si="19"/>
        <v>762436.75565940375</v>
      </c>
      <c r="F213" s="303">
        <f t="shared" si="20"/>
        <v>9222.2386554089917</v>
      </c>
      <c r="G213" s="304">
        <f t="shared" si="21"/>
        <v>2487.3806470842587</v>
      </c>
      <c r="H213" s="303">
        <f t="shared" si="22"/>
        <v>6734.8580083247325</v>
      </c>
      <c r="I213" s="305">
        <f t="shared" si="23"/>
        <v>759949.37501231954</v>
      </c>
    </row>
    <row r="214" spans="4:9" x14ac:dyDescent="0.25">
      <c r="D214" s="262">
        <f t="shared" si="18"/>
        <v>213</v>
      </c>
      <c r="E214" s="303">
        <f t="shared" si="19"/>
        <v>759949.37501231954</v>
      </c>
      <c r="F214" s="303">
        <f t="shared" si="20"/>
        <v>9222.2386554089935</v>
      </c>
      <c r="G214" s="304">
        <f t="shared" si="21"/>
        <v>2509.3525094668371</v>
      </c>
      <c r="H214" s="303">
        <f t="shared" si="22"/>
        <v>6712.886145942156</v>
      </c>
      <c r="I214" s="305">
        <f t="shared" si="23"/>
        <v>757440.02250285272</v>
      </c>
    </row>
    <row r="215" spans="4:9" x14ac:dyDescent="0.25">
      <c r="D215" s="262">
        <f t="shared" si="18"/>
        <v>214</v>
      </c>
      <c r="E215" s="303">
        <f t="shared" si="19"/>
        <v>757440.02250285272</v>
      </c>
      <c r="F215" s="303">
        <f t="shared" si="20"/>
        <v>9222.2386554089917</v>
      </c>
      <c r="G215" s="304">
        <f t="shared" si="21"/>
        <v>2531.5184566337925</v>
      </c>
      <c r="H215" s="303">
        <f t="shared" si="22"/>
        <v>6690.7201987751987</v>
      </c>
      <c r="I215" s="305">
        <f t="shared" si="23"/>
        <v>754908.50404621894</v>
      </c>
    </row>
    <row r="216" spans="4:9" x14ac:dyDescent="0.25">
      <c r="D216" s="262">
        <f t="shared" si="18"/>
        <v>215</v>
      </c>
      <c r="E216" s="303">
        <f t="shared" si="19"/>
        <v>754908.50404621894</v>
      </c>
      <c r="F216" s="303">
        <f t="shared" si="20"/>
        <v>9222.2386554089917</v>
      </c>
      <c r="G216" s="304">
        <f t="shared" si="21"/>
        <v>2553.880203000725</v>
      </c>
      <c r="H216" s="303">
        <f t="shared" si="22"/>
        <v>6668.3584524082662</v>
      </c>
      <c r="I216" s="305">
        <f t="shared" si="23"/>
        <v>752354.6238432182</v>
      </c>
    </row>
    <row r="217" spans="4:9" x14ac:dyDescent="0.25">
      <c r="D217" s="262">
        <f t="shared" si="18"/>
        <v>216</v>
      </c>
      <c r="E217" s="303">
        <f t="shared" si="19"/>
        <v>752354.6238432182</v>
      </c>
      <c r="F217" s="303">
        <f t="shared" si="20"/>
        <v>9222.2386554089935</v>
      </c>
      <c r="G217" s="304">
        <f t="shared" si="21"/>
        <v>2576.4394781272313</v>
      </c>
      <c r="H217" s="303">
        <f t="shared" si="22"/>
        <v>6645.7991772817613</v>
      </c>
      <c r="I217" s="305">
        <f t="shared" si="23"/>
        <v>749778.18436509091</v>
      </c>
    </row>
    <row r="218" spans="4:9" x14ac:dyDescent="0.25">
      <c r="D218" s="262">
        <f t="shared" si="18"/>
        <v>217</v>
      </c>
      <c r="E218" s="303">
        <f t="shared" si="19"/>
        <v>749778.18436509091</v>
      </c>
      <c r="F218" s="303">
        <f t="shared" si="20"/>
        <v>9222.2386554089917</v>
      </c>
      <c r="G218" s="304">
        <f t="shared" si="21"/>
        <v>2599.1980268506891</v>
      </c>
      <c r="H218" s="303">
        <f t="shared" si="22"/>
        <v>6623.0406285583022</v>
      </c>
      <c r="I218" s="305">
        <f t="shared" si="23"/>
        <v>747178.98633824021</v>
      </c>
    </row>
    <row r="219" spans="4:9" x14ac:dyDescent="0.25">
      <c r="D219" s="262">
        <f t="shared" si="18"/>
        <v>218</v>
      </c>
      <c r="E219" s="303">
        <f t="shared" si="19"/>
        <v>747178.98633824021</v>
      </c>
      <c r="F219" s="303">
        <f t="shared" si="20"/>
        <v>9222.2386554089899</v>
      </c>
      <c r="G219" s="304">
        <f t="shared" si="21"/>
        <v>2622.1576094212032</v>
      </c>
      <c r="H219" s="303">
        <f t="shared" si="22"/>
        <v>6600.0810459877875</v>
      </c>
      <c r="I219" s="305">
        <f t="shared" si="23"/>
        <v>744556.82872881903</v>
      </c>
    </row>
    <row r="220" spans="4:9" x14ac:dyDescent="0.25">
      <c r="D220" s="262">
        <f t="shared" si="18"/>
        <v>219</v>
      </c>
      <c r="E220" s="303">
        <f t="shared" si="19"/>
        <v>744556.82872881903</v>
      </c>
      <c r="F220" s="303">
        <f t="shared" si="20"/>
        <v>9222.2386554089917</v>
      </c>
      <c r="G220" s="304">
        <f t="shared" si="21"/>
        <v>2645.3200016377568</v>
      </c>
      <c r="H220" s="303">
        <f t="shared" si="22"/>
        <v>6576.9186537712349</v>
      </c>
      <c r="I220" s="305">
        <f t="shared" si="23"/>
        <v>741911.50872718124</v>
      </c>
    </row>
    <row r="221" spans="4:9" x14ac:dyDescent="0.25">
      <c r="D221" s="262">
        <f t="shared" si="18"/>
        <v>220</v>
      </c>
      <c r="E221" s="303">
        <f t="shared" si="19"/>
        <v>741911.50872718124</v>
      </c>
      <c r="F221" s="303">
        <f t="shared" si="20"/>
        <v>9222.2386554089899</v>
      </c>
      <c r="G221" s="304">
        <f t="shared" si="21"/>
        <v>2668.6869949855568</v>
      </c>
      <c r="H221" s="303">
        <f t="shared" si="22"/>
        <v>6553.5516604234335</v>
      </c>
      <c r="I221" s="305">
        <f t="shared" si="23"/>
        <v>739242.82173219568</v>
      </c>
    </row>
    <row r="222" spans="4:9" x14ac:dyDescent="0.25">
      <c r="D222" s="262">
        <f t="shared" si="18"/>
        <v>221</v>
      </c>
      <c r="E222" s="303">
        <f t="shared" si="19"/>
        <v>739242.82173219568</v>
      </c>
      <c r="F222" s="303">
        <f t="shared" si="20"/>
        <v>9222.2386554089917</v>
      </c>
      <c r="G222" s="304">
        <f t="shared" si="21"/>
        <v>2692.2603967745968</v>
      </c>
      <c r="H222" s="303">
        <f t="shared" si="22"/>
        <v>6529.9782586343945</v>
      </c>
      <c r="I222" s="305">
        <f t="shared" si="23"/>
        <v>736550.56133542105</v>
      </c>
    </row>
    <row r="223" spans="4:9" x14ac:dyDescent="0.25">
      <c r="D223" s="262">
        <f t="shared" si="18"/>
        <v>222</v>
      </c>
      <c r="E223" s="303">
        <f t="shared" si="19"/>
        <v>736550.56133542105</v>
      </c>
      <c r="F223" s="303">
        <f t="shared" si="20"/>
        <v>9222.2386554089917</v>
      </c>
      <c r="G223" s="304">
        <f t="shared" si="21"/>
        <v>2716.0420302794387</v>
      </c>
      <c r="H223" s="303">
        <f t="shared" si="22"/>
        <v>6506.1966251295526</v>
      </c>
      <c r="I223" s="305">
        <f t="shared" si="23"/>
        <v>733834.51930514164</v>
      </c>
    </row>
    <row r="224" spans="4:9" x14ac:dyDescent="0.25">
      <c r="D224" s="262">
        <f t="shared" si="18"/>
        <v>223</v>
      </c>
      <c r="E224" s="303">
        <f t="shared" si="19"/>
        <v>733834.51930514164</v>
      </c>
      <c r="F224" s="303">
        <f t="shared" si="20"/>
        <v>9222.2386554089917</v>
      </c>
      <c r="G224" s="304">
        <f t="shared" si="21"/>
        <v>2740.03373488024</v>
      </c>
      <c r="H224" s="303">
        <f t="shared" si="22"/>
        <v>6482.2049205287512</v>
      </c>
      <c r="I224" s="305">
        <f t="shared" si="23"/>
        <v>731094.48557026137</v>
      </c>
    </row>
    <row r="225" spans="4:9" x14ac:dyDescent="0.25">
      <c r="D225" s="262">
        <f t="shared" si="18"/>
        <v>224</v>
      </c>
      <c r="E225" s="303">
        <f t="shared" si="19"/>
        <v>731094.48557026137</v>
      </c>
      <c r="F225" s="303">
        <f t="shared" si="20"/>
        <v>9222.2386554089899</v>
      </c>
      <c r="G225" s="304">
        <f t="shared" si="21"/>
        <v>2764.2373662050159</v>
      </c>
      <c r="H225" s="303">
        <f t="shared" si="22"/>
        <v>6458.0012892039749</v>
      </c>
      <c r="I225" s="305">
        <f t="shared" si="23"/>
        <v>728330.24820405641</v>
      </c>
    </row>
    <row r="226" spans="4:9" x14ac:dyDescent="0.25">
      <c r="D226" s="262">
        <f t="shared" si="18"/>
        <v>225</v>
      </c>
      <c r="E226" s="303">
        <f t="shared" si="19"/>
        <v>728330.24820405641</v>
      </c>
      <c r="F226" s="303">
        <f t="shared" si="20"/>
        <v>9222.2386554089899</v>
      </c>
      <c r="G226" s="304">
        <f t="shared" si="21"/>
        <v>2788.6547962731602</v>
      </c>
      <c r="H226" s="303">
        <f t="shared" si="22"/>
        <v>6433.5838591358306</v>
      </c>
      <c r="I226" s="305">
        <f t="shared" si="23"/>
        <v>725541.59340778319</v>
      </c>
    </row>
    <row r="227" spans="4:9" x14ac:dyDescent="0.25">
      <c r="D227" s="262">
        <f t="shared" si="18"/>
        <v>226</v>
      </c>
      <c r="E227" s="303">
        <f t="shared" si="19"/>
        <v>725541.59340778319</v>
      </c>
      <c r="F227" s="303">
        <f t="shared" si="20"/>
        <v>9222.2386554089917</v>
      </c>
      <c r="G227" s="304">
        <f t="shared" si="21"/>
        <v>2813.2879136402398</v>
      </c>
      <c r="H227" s="303">
        <f t="shared" si="22"/>
        <v>6408.9507417687519</v>
      </c>
      <c r="I227" s="305">
        <f t="shared" si="23"/>
        <v>722728.30549414293</v>
      </c>
    </row>
    <row r="228" spans="4:9" x14ac:dyDescent="0.25">
      <c r="D228" s="262">
        <f t="shared" si="18"/>
        <v>227</v>
      </c>
      <c r="E228" s="303">
        <f t="shared" si="19"/>
        <v>722728.30549414293</v>
      </c>
      <c r="F228" s="303">
        <f t="shared" si="20"/>
        <v>9222.2386554089899</v>
      </c>
      <c r="G228" s="304">
        <f t="shared" si="21"/>
        <v>2838.1386235440614</v>
      </c>
      <c r="H228" s="303">
        <f t="shared" si="22"/>
        <v>6384.1000318649285</v>
      </c>
      <c r="I228" s="305">
        <f t="shared" si="23"/>
        <v>719890.16687059891</v>
      </c>
    </row>
    <row r="229" spans="4:9" x14ac:dyDescent="0.25">
      <c r="D229" s="262">
        <f t="shared" si="18"/>
        <v>228</v>
      </c>
      <c r="E229" s="303">
        <f t="shared" si="19"/>
        <v>719890.16687059891</v>
      </c>
      <c r="F229" s="303">
        <f t="shared" si="20"/>
        <v>9222.2386554089917</v>
      </c>
      <c r="G229" s="304">
        <f t="shared" si="21"/>
        <v>2863.2088480520342</v>
      </c>
      <c r="H229" s="303">
        <f t="shared" si="22"/>
        <v>6359.0298073569575</v>
      </c>
      <c r="I229" s="305">
        <f t="shared" si="23"/>
        <v>717026.95802254684</v>
      </c>
    </row>
    <row r="230" spans="4:9" x14ac:dyDescent="0.25">
      <c r="D230" s="262">
        <f t="shared" si="18"/>
        <v>229</v>
      </c>
      <c r="E230" s="303">
        <f t="shared" si="19"/>
        <v>717026.95802254684</v>
      </c>
      <c r="F230" s="303">
        <f t="shared" si="20"/>
        <v>9222.2386554089899</v>
      </c>
      <c r="G230" s="304">
        <f t="shared" si="21"/>
        <v>2888.5005262098275</v>
      </c>
      <c r="H230" s="303">
        <f t="shared" si="22"/>
        <v>6333.7381291991633</v>
      </c>
      <c r="I230" s="305">
        <f t="shared" si="23"/>
        <v>714138.45749633701</v>
      </c>
    </row>
    <row r="231" spans="4:9" x14ac:dyDescent="0.25">
      <c r="D231" s="262">
        <f t="shared" si="18"/>
        <v>230</v>
      </c>
      <c r="E231" s="303">
        <f t="shared" si="19"/>
        <v>714138.45749633701</v>
      </c>
      <c r="F231" s="303">
        <f t="shared" si="20"/>
        <v>9222.2386554089899</v>
      </c>
      <c r="G231" s="304">
        <f t="shared" si="21"/>
        <v>2914.0156141913476</v>
      </c>
      <c r="H231" s="303">
        <f t="shared" si="22"/>
        <v>6308.2230412176432</v>
      </c>
      <c r="I231" s="305">
        <f t="shared" si="23"/>
        <v>711224.44188214571</v>
      </c>
    </row>
    <row r="232" spans="4:9" x14ac:dyDescent="0.25">
      <c r="D232" s="262">
        <f t="shared" si="18"/>
        <v>231</v>
      </c>
      <c r="E232" s="303">
        <f t="shared" si="19"/>
        <v>711224.44188214571</v>
      </c>
      <c r="F232" s="303">
        <f t="shared" si="20"/>
        <v>9222.2386554089917</v>
      </c>
      <c r="G232" s="304">
        <f t="shared" si="21"/>
        <v>2939.7560854500375</v>
      </c>
      <c r="H232" s="303">
        <f t="shared" si="22"/>
        <v>6282.4825699589537</v>
      </c>
      <c r="I232" s="305">
        <f t="shared" si="23"/>
        <v>708284.68579669564</v>
      </c>
    </row>
    <row r="233" spans="4:9" x14ac:dyDescent="0.25">
      <c r="D233" s="262">
        <f t="shared" si="18"/>
        <v>232</v>
      </c>
      <c r="E233" s="303">
        <f t="shared" si="19"/>
        <v>708284.68579669564</v>
      </c>
      <c r="F233" s="303">
        <f t="shared" si="20"/>
        <v>9222.2386554089899</v>
      </c>
      <c r="G233" s="304">
        <f t="shared" si="21"/>
        <v>2965.7239308715125</v>
      </c>
      <c r="H233" s="303">
        <f t="shared" si="22"/>
        <v>6256.5147245374783</v>
      </c>
      <c r="I233" s="305">
        <f t="shared" si="23"/>
        <v>705318.96186582418</v>
      </c>
    </row>
    <row r="234" spans="4:9" x14ac:dyDescent="0.25">
      <c r="D234" s="262">
        <f t="shared" si="18"/>
        <v>233</v>
      </c>
      <c r="E234" s="303">
        <f t="shared" si="19"/>
        <v>705318.96186582418</v>
      </c>
      <c r="F234" s="303">
        <f t="shared" si="20"/>
        <v>9222.2386554089917</v>
      </c>
      <c r="G234" s="304">
        <f t="shared" si="21"/>
        <v>2991.9211589275446</v>
      </c>
      <c r="H234" s="303">
        <f t="shared" si="22"/>
        <v>6230.3174964814471</v>
      </c>
      <c r="I234" s="305">
        <f t="shared" si="23"/>
        <v>702327.04070689669</v>
      </c>
    </row>
    <row r="235" spans="4:9" x14ac:dyDescent="0.25">
      <c r="D235" s="262">
        <f t="shared" si="18"/>
        <v>234</v>
      </c>
      <c r="E235" s="303">
        <f t="shared" si="19"/>
        <v>702327.04070689669</v>
      </c>
      <c r="F235" s="303">
        <f t="shared" si="20"/>
        <v>9222.2386554089917</v>
      </c>
      <c r="G235" s="304">
        <f t="shared" si="21"/>
        <v>3018.3497958314047</v>
      </c>
      <c r="H235" s="303">
        <f t="shared" si="22"/>
        <v>6203.888859577587</v>
      </c>
      <c r="I235" s="305">
        <f t="shared" si="23"/>
        <v>699308.69091106532</v>
      </c>
    </row>
    <row r="236" spans="4:9" x14ac:dyDescent="0.25">
      <c r="D236" s="262">
        <f t="shared" si="18"/>
        <v>235</v>
      </c>
      <c r="E236" s="303">
        <f t="shared" si="19"/>
        <v>699308.69091106532</v>
      </c>
      <c r="F236" s="303">
        <f t="shared" si="20"/>
        <v>9222.2386554089917</v>
      </c>
      <c r="G236" s="304">
        <f t="shared" si="21"/>
        <v>3045.0118856945824</v>
      </c>
      <c r="H236" s="303">
        <f t="shared" si="22"/>
        <v>6177.2267697144098</v>
      </c>
      <c r="I236" s="305">
        <f t="shared" si="23"/>
        <v>696263.67902537074</v>
      </c>
    </row>
    <row r="237" spans="4:9" x14ac:dyDescent="0.25">
      <c r="D237" s="262">
        <f t="shared" si="18"/>
        <v>236</v>
      </c>
      <c r="E237" s="303">
        <f t="shared" si="19"/>
        <v>696263.67902537074</v>
      </c>
      <c r="F237" s="303">
        <f t="shared" si="20"/>
        <v>9222.2386554089935</v>
      </c>
      <c r="G237" s="304">
        <f t="shared" si="21"/>
        <v>3071.9094906848841</v>
      </c>
      <c r="H237" s="303">
        <f t="shared" si="22"/>
        <v>6150.3291647241085</v>
      </c>
      <c r="I237" s="305">
        <f t="shared" si="23"/>
        <v>693191.76953468588</v>
      </c>
    </row>
    <row r="238" spans="4:9" x14ac:dyDescent="0.25">
      <c r="D238" s="262">
        <f t="shared" si="18"/>
        <v>237</v>
      </c>
      <c r="E238" s="303">
        <f t="shared" si="19"/>
        <v>693191.76953468588</v>
      </c>
      <c r="F238" s="303">
        <f t="shared" si="20"/>
        <v>9222.2386554089917</v>
      </c>
      <c r="G238" s="304">
        <f t="shared" si="21"/>
        <v>3099.044691185934</v>
      </c>
      <c r="H238" s="303">
        <f t="shared" si="22"/>
        <v>6123.1939642230582</v>
      </c>
      <c r="I238" s="305">
        <f t="shared" si="23"/>
        <v>690092.72484349995</v>
      </c>
    </row>
    <row r="239" spans="4:9" x14ac:dyDescent="0.25">
      <c r="D239" s="262">
        <f t="shared" si="18"/>
        <v>238</v>
      </c>
      <c r="E239" s="303">
        <f t="shared" si="19"/>
        <v>690092.72484349995</v>
      </c>
      <c r="F239" s="303">
        <f t="shared" si="20"/>
        <v>9222.2386554089935</v>
      </c>
      <c r="G239" s="304">
        <f t="shared" si="21"/>
        <v>3126.4195859580764</v>
      </c>
      <c r="H239" s="303">
        <f t="shared" si="22"/>
        <v>6095.8190694509167</v>
      </c>
      <c r="I239" s="305">
        <f t="shared" si="23"/>
        <v>686966.30525754183</v>
      </c>
    </row>
    <row r="240" spans="4:9" x14ac:dyDescent="0.25">
      <c r="D240" s="262">
        <f t="shared" si="18"/>
        <v>239</v>
      </c>
      <c r="E240" s="303">
        <f t="shared" si="19"/>
        <v>686966.30525754183</v>
      </c>
      <c r="F240" s="303">
        <f t="shared" si="20"/>
        <v>9222.2386554089917</v>
      </c>
      <c r="G240" s="304">
        <f t="shared" si="21"/>
        <v>3154.036292300706</v>
      </c>
      <c r="H240" s="303">
        <f t="shared" si="22"/>
        <v>6068.2023631082857</v>
      </c>
      <c r="I240" s="305">
        <f t="shared" si="23"/>
        <v>683812.26896524115</v>
      </c>
    </row>
    <row r="241" spans="4:9" x14ac:dyDescent="0.25">
      <c r="D241" s="262">
        <f t="shared" si="18"/>
        <v>240</v>
      </c>
      <c r="E241" s="303">
        <f t="shared" si="19"/>
        <v>683812.26896524115</v>
      </c>
      <c r="F241" s="303">
        <f t="shared" si="20"/>
        <v>9222.2386554089917</v>
      </c>
      <c r="G241" s="304">
        <f t="shared" si="21"/>
        <v>3181.8969462160289</v>
      </c>
      <c r="H241" s="303">
        <f t="shared" si="22"/>
        <v>6040.3417091929632</v>
      </c>
      <c r="I241" s="305">
        <f t="shared" si="23"/>
        <v>680630.37201902515</v>
      </c>
    </row>
    <row r="242" spans="4:9" x14ac:dyDescent="0.25">
      <c r="D242" s="262">
        <f t="shared" si="18"/>
        <v>241</v>
      </c>
      <c r="E242" s="303">
        <f t="shared" si="19"/>
        <v>680630.37201902515</v>
      </c>
      <c r="F242" s="303">
        <f t="shared" si="20"/>
        <v>9222.2386554089935</v>
      </c>
      <c r="G242" s="304">
        <f t="shared" si="21"/>
        <v>3210.0037025742708</v>
      </c>
      <c r="H242" s="303">
        <f t="shared" si="22"/>
        <v>6012.2349528347222</v>
      </c>
      <c r="I242" s="305">
        <f t="shared" si="23"/>
        <v>677420.36831645085</v>
      </c>
    </row>
    <row r="243" spans="4:9" x14ac:dyDescent="0.25">
      <c r="D243" s="262">
        <f t="shared" si="18"/>
        <v>242</v>
      </c>
      <c r="E243" s="303">
        <f t="shared" si="19"/>
        <v>677420.36831645085</v>
      </c>
      <c r="F243" s="303">
        <f t="shared" si="20"/>
        <v>9222.2386554089935</v>
      </c>
      <c r="G243" s="304">
        <f t="shared" si="21"/>
        <v>3238.3587352803434</v>
      </c>
      <c r="H243" s="303">
        <f t="shared" si="22"/>
        <v>5983.8799201286492</v>
      </c>
      <c r="I243" s="305">
        <f t="shared" si="23"/>
        <v>674182.00958117051</v>
      </c>
    </row>
    <row r="244" spans="4:9" x14ac:dyDescent="0.25">
      <c r="D244" s="262">
        <f t="shared" si="18"/>
        <v>243</v>
      </c>
      <c r="E244" s="303">
        <f t="shared" si="19"/>
        <v>674182.00958117051</v>
      </c>
      <c r="F244" s="303">
        <f t="shared" si="20"/>
        <v>9222.2386554089917</v>
      </c>
      <c r="G244" s="304">
        <f t="shared" si="21"/>
        <v>3266.9642374419868</v>
      </c>
      <c r="H244" s="303">
        <f t="shared" si="22"/>
        <v>5955.2744179670053</v>
      </c>
      <c r="I244" s="305">
        <f t="shared" si="23"/>
        <v>670915.0453437285</v>
      </c>
    </row>
    <row r="245" spans="4:9" x14ac:dyDescent="0.25">
      <c r="D245" s="262">
        <f t="shared" si="18"/>
        <v>244</v>
      </c>
      <c r="E245" s="303">
        <f t="shared" si="19"/>
        <v>670915.0453437285</v>
      </c>
      <c r="F245" s="303">
        <f t="shared" si="20"/>
        <v>9222.2386554089917</v>
      </c>
      <c r="G245" s="304">
        <f t="shared" si="21"/>
        <v>3295.8224215393898</v>
      </c>
      <c r="H245" s="303">
        <f t="shared" si="22"/>
        <v>5926.4162338696015</v>
      </c>
      <c r="I245" s="305">
        <f t="shared" si="23"/>
        <v>667619.22292218916</v>
      </c>
    </row>
    <row r="246" spans="4:9" x14ac:dyDescent="0.25">
      <c r="D246" s="262">
        <f t="shared" si="18"/>
        <v>245</v>
      </c>
      <c r="E246" s="303">
        <f t="shared" si="19"/>
        <v>667619.22292218916</v>
      </c>
      <c r="F246" s="303">
        <f t="shared" si="20"/>
        <v>9222.2386554089935</v>
      </c>
      <c r="G246" s="304">
        <f t="shared" si="21"/>
        <v>3324.9355195963217</v>
      </c>
      <c r="H246" s="303">
        <f t="shared" si="22"/>
        <v>5897.3031358126709</v>
      </c>
      <c r="I246" s="305">
        <f t="shared" si="23"/>
        <v>664294.28740259283</v>
      </c>
    </row>
    <row r="247" spans="4:9" x14ac:dyDescent="0.25">
      <c r="D247" s="262">
        <f t="shared" si="18"/>
        <v>246</v>
      </c>
      <c r="E247" s="303">
        <f t="shared" si="19"/>
        <v>664294.28740259283</v>
      </c>
      <c r="F247" s="303">
        <f t="shared" si="20"/>
        <v>9222.2386554089935</v>
      </c>
      <c r="G247" s="304">
        <f t="shared" si="21"/>
        <v>3354.3057833527564</v>
      </c>
      <c r="H247" s="303">
        <f t="shared" si="22"/>
        <v>5867.9328720562371</v>
      </c>
      <c r="I247" s="305">
        <f t="shared" si="23"/>
        <v>660939.98161924002</v>
      </c>
    </row>
    <row r="248" spans="4:9" x14ac:dyDescent="0.25">
      <c r="D248" s="262">
        <f t="shared" si="18"/>
        <v>247</v>
      </c>
      <c r="E248" s="303">
        <f t="shared" si="19"/>
        <v>660939.98161924002</v>
      </c>
      <c r="F248" s="303">
        <f t="shared" si="20"/>
        <v>9222.2386554089917</v>
      </c>
      <c r="G248" s="304">
        <f t="shared" si="21"/>
        <v>3383.9354844390386</v>
      </c>
      <c r="H248" s="303">
        <f t="shared" si="22"/>
        <v>5838.3031709699535</v>
      </c>
      <c r="I248" s="305">
        <f t="shared" si="23"/>
        <v>657556.046134801</v>
      </c>
    </row>
    <row r="249" spans="4:9" x14ac:dyDescent="0.25">
      <c r="D249" s="262">
        <f t="shared" si="18"/>
        <v>248</v>
      </c>
      <c r="E249" s="303">
        <f t="shared" si="19"/>
        <v>657556.046134801</v>
      </c>
      <c r="F249" s="303">
        <f t="shared" si="20"/>
        <v>9222.2386554089917</v>
      </c>
      <c r="G249" s="304">
        <f t="shared" si="21"/>
        <v>3413.8269145515833</v>
      </c>
      <c r="H249" s="303">
        <f t="shared" si="22"/>
        <v>5808.4117408574084</v>
      </c>
      <c r="I249" s="305">
        <f t="shared" si="23"/>
        <v>654142.21922024945</v>
      </c>
    </row>
    <row r="250" spans="4:9" x14ac:dyDescent="0.25">
      <c r="D250" s="262">
        <f t="shared" si="18"/>
        <v>249</v>
      </c>
      <c r="E250" s="303">
        <f t="shared" si="19"/>
        <v>654142.21922024945</v>
      </c>
      <c r="F250" s="303">
        <f t="shared" si="20"/>
        <v>9222.2386554089917</v>
      </c>
      <c r="G250" s="304">
        <f t="shared" si="21"/>
        <v>3443.9823856301223</v>
      </c>
      <c r="H250" s="303">
        <f t="shared" si="22"/>
        <v>5778.2562697788699</v>
      </c>
      <c r="I250" s="305">
        <f t="shared" si="23"/>
        <v>650698.23683461931</v>
      </c>
    </row>
    <row r="251" spans="4:9" x14ac:dyDescent="0.25">
      <c r="D251" s="262">
        <f t="shared" si="18"/>
        <v>250</v>
      </c>
      <c r="E251" s="303">
        <f t="shared" si="19"/>
        <v>650698.23683461931</v>
      </c>
      <c r="F251" s="303">
        <f t="shared" si="20"/>
        <v>9222.2386554089935</v>
      </c>
      <c r="G251" s="304">
        <f t="shared" si="21"/>
        <v>3474.4042300365218</v>
      </c>
      <c r="H251" s="303">
        <f t="shared" si="22"/>
        <v>5747.8344253724708</v>
      </c>
      <c r="I251" s="305">
        <f t="shared" si="23"/>
        <v>647223.83260458277</v>
      </c>
    </row>
    <row r="252" spans="4:9" x14ac:dyDescent="0.25">
      <c r="D252" s="262">
        <f t="shared" si="18"/>
        <v>251</v>
      </c>
      <c r="E252" s="303">
        <f t="shared" si="19"/>
        <v>647223.83260458277</v>
      </c>
      <c r="F252" s="303">
        <f t="shared" si="20"/>
        <v>9222.2386554089935</v>
      </c>
      <c r="G252" s="304">
        <f t="shared" si="21"/>
        <v>3505.0948007351785</v>
      </c>
      <c r="H252" s="303">
        <f t="shared" si="22"/>
        <v>5717.1438546738145</v>
      </c>
      <c r="I252" s="305">
        <f t="shared" si="23"/>
        <v>643718.73780384765</v>
      </c>
    </row>
    <row r="253" spans="4:9" x14ac:dyDescent="0.25">
      <c r="D253" s="262">
        <f t="shared" si="18"/>
        <v>252</v>
      </c>
      <c r="E253" s="303">
        <f t="shared" si="19"/>
        <v>643718.73780384765</v>
      </c>
      <c r="F253" s="303">
        <f t="shared" si="20"/>
        <v>9222.2386554089935</v>
      </c>
      <c r="G253" s="304">
        <f t="shared" si="21"/>
        <v>3536.0564714750053</v>
      </c>
      <c r="H253" s="303">
        <f t="shared" si="22"/>
        <v>5686.1821839339873</v>
      </c>
      <c r="I253" s="305">
        <f t="shared" si="23"/>
        <v>640182.68133237259</v>
      </c>
    </row>
    <row r="254" spans="4:9" x14ac:dyDescent="0.25">
      <c r="D254" s="262">
        <f t="shared" si="18"/>
        <v>253</v>
      </c>
      <c r="E254" s="303">
        <f t="shared" si="19"/>
        <v>640182.68133237259</v>
      </c>
      <c r="F254" s="303">
        <f t="shared" si="20"/>
        <v>9222.2386554089917</v>
      </c>
      <c r="G254" s="304">
        <f t="shared" si="21"/>
        <v>3567.2916369730342</v>
      </c>
      <c r="H254" s="303">
        <f t="shared" si="22"/>
        <v>5654.947018435957</v>
      </c>
      <c r="I254" s="305">
        <f t="shared" si="23"/>
        <v>636615.38969539956</v>
      </c>
    </row>
    <row r="255" spans="4:9" x14ac:dyDescent="0.25">
      <c r="D255" s="262">
        <f t="shared" si="18"/>
        <v>254</v>
      </c>
      <c r="E255" s="303">
        <f t="shared" si="19"/>
        <v>636615.38969539956</v>
      </c>
      <c r="F255" s="303">
        <f t="shared" si="20"/>
        <v>9222.2386554089935</v>
      </c>
      <c r="G255" s="304">
        <f t="shared" si="21"/>
        <v>3598.8027130996302</v>
      </c>
      <c r="H255" s="303">
        <f t="shared" si="22"/>
        <v>5623.4359423093629</v>
      </c>
      <c r="I255" s="305">
        <f t="shared" si="23"/>
        <v>633016.58698229992</v>
      </c>
    </row>
    <row r="256" spans="4:9" x14ac:dyDescent="0.25">
      <c r="D256" s="262">
        <f t="shared" si="18"/>
        <v>255</v>
      </c>
      <c r="E256" s="303">
        <f t="shared" si="19"/>
        <v>633016.58698229992</v>
      </c>
      <c r="F256" s="303">
        <f t="shared" si="20"/>
        <v>9222.2386554089917</v>
      </c>
      <c r="G256" s="304">
        <f t="shared" si="21"/>
        <v>3630.5921370653427</v>
      </c>
      <c r="H256" s="303">
        <f t="shared" si="22"/>
        <v>5591.6465183436494</v>
      </c>
      <c r="I256" s="305">
        <f t="shared" si="23"/>
        <v>629385.99484523456</v>
      </c>
    </row>
    <row r="257" spans="4:9" x14ac:dyDescent="0.25">
      <c r="D257" s="262">
        <f t="shared" si="18"/>
        <v>256</v>
      </c>
      <c r="E257" s="303">
        <f t="shared" si="19"/>
        <v>629385.99484523456</v>
      </c>
      <c r="F257" s="303">
        <f t="shared" si="20"/>
        <v>9222.2386554089935</v>
      </c>
      <c r="G257" s="304">
        <f t="shared" si="21"/>
        <v>3662.6623676094205</v>
      </c>
      <c r="H257" s="303">
        <f t="shared" si="22"/>
        <v>5559.5762877995721</v>
      </c>
      <c r="I257" s="305">
        <f t="shared" si="23"/>
        <v>625723.33247762511</v>
      </c>
    </row>
    <row r="258" spans="4:9" x14ac:dyDescent="0.25">
      <c r="D258" s="262">
        <f t="shared" si="18"/>
        <v>257</v>
      </c>
      <c r="E258" s="303">
        <f t="shared" si="19"/>
        <v>625723.33247762511</v>
      </c>
      <c r="F258" s="303">
        <f t="shared" si="20"/>
        <v>9222.2386554089917</v>
      </c>
      <c r="G258" s="304">
        <f t="shared" si="21"/>
        <v>3695.0158851899705</v>
      </c>
      <c r="H258" s="303">
        <f t="shared" si="22"/>
        <v>5527.2227702190212</v>
      </c>
      <c r="I258" s="305">
        <f t="shared" si="23"/>
        <v>622028.31659243512</v>
      </c>
    </row>
    <row r="259" spans="4:9" x14ac:dyDescent="0.25">
      <c r="D259" s="262">
        <f t="shared" si="18"/>
        <v>258</v>
      </c>
      <c r="E259" s="303">
        <f t="shared" si="19"/>
        <v>622028.31659243512</v>
      </c>
      <c r="F259" s="303">
        <f t="shared" si="20"/>
        <v>9222.2386554089917</v>
      </c>
      <c r="G259" s="304">
        <f t="shared" si="21"/>
        <v>3727.655192175815</v>
      </c>
      <c r="H259" s="303">
        <f t="shared" si="22"/>
        <v>5494.5834632331762</v>
      </c>
      <c r="I259" s="305">
        <f t="shared" si="23"/>
        <v>618300.66140025936</v>
      </c>
    </row>
    <row r="260" spans="4:9" x14ac:dyDescent="0.25">
      <c r="D260" s="262">
        <f t="shared" ref="D260:D323" si="24">D259+1</f>
        <v>259</v>
      </c>
      <c r="E260" s="303">
        <f t="shared" ref="E260:E323" si="25">IF(D260/12&gt;$B$6,0,I259)</f>
        <v>618300.66140025936</v>
      </c>
      <c r="F260" s="303">
        <f t="shared" ref="F260:F323" si="26">SUM(G260:H260)</f>
        <v>9222.2386554089917</v>
      </c>
      <c r="G260" s="304">
        <f t="shared" ref="G260:G323" si="27">IF(AND(D260&gt;$B$4,D260/12&lt;=$B$6),-PPMT($B$5/12,D260-$B$4,$B$3*12,$B$2,0,0),0)</f>
        <v>3760.5828130400346</v>
      </c>
      <c r="H260" s="303">
        <f t="shared" ref="H260:H323" si="28">E260*$B$5/12</f>
        <v>5461.6558423689576</v>
      </c>
      <c r="I260" s="305">
        <f t="shared" ref="I260:I323" si="29">E260-G260</f>
        <v>614540.07858721935</v>
      </c>
    </row>
    <row r="261" spans="4:9" x14ac:dyDescent="0.25">
      <c r="D261" s="262">
        <f t="shared" si="24"/>
        <v>260</v>
      </c>
      <c r="E261" s="303">
        <f t="shared" si="25"/>
        <v>614540.07858721935</v>
      </c>
      <c r="F261" s="303">
        <f t="shared" si="26"/>
        <v>9222.2386554089935</v>
      </c>
      <c r="G261" s="304">
        <f t="shared" si="27"/>
        <v>3793.8012945552218</v>
      </c>
      <c r="H261" s="303">
        <f t="shared" si="28"/>
        <v>5428.4373608537708</v>
      </c>
      <c r="I261" s="305">
        <f t="shared" si="29"/>
        <v>610746.27729266416</v>
      </c>
    </row>
    <row r="262" spans="4:9" x14ac:dyDescent="0.25">
      <c r="D262" s="262">
        <f t="shared" si="24"/>
        <v>261</v>
      </c>
      <c r="E262" s="303">
        <f t="shared" si="25"/>
        <v>610746.27729266416</v>
      </c>
      <c r="F262" s="303">
        <f t="shared" si="26"/>
        <v>9222.2386554089935</v>
      </c>
      <c r="G262" s="304">
        <f t="shared" si="27"/>
        <v>3827.3132059904592</v>
      </c>
      <c r="H262" s="303">
        <f t="shared" si="28"/>
        <v>5394.9254494185334</v>
      </c>
      <c r="I262" s="305">
        <f t="shared" si="29"/>
        <v>606918.96408667369</v>
      </c>
    </row>
    <row r="263" spans="4:9" x14ac:dyDescent="0.25">
      <c r="D263" s="262">
        <f t="shared" si="24"/>
        <v>262</v>
      </c>
      <c r="E263" s="303">
        <f t="shared" si="25"/>
        <v>606918.96408667369</v>
      </c>
      <c r="F263" s="303">
        <f t="shared" si="26"/>
        <v>9222.2386554089935</v>
      </c>
      <c r="G263" s="304">
        <f t="shared" si="27"/>
        <v>3861.1211393100421</v>
      </c>
      <c r="H263" s="303">
        <f t="shared" si="28"/>
        <v>5361.1175160989505</v>
      </c>
      <c r="I263" s="305">
        <f t="shared" si="29"/>
        <v>603057.84294736362</v>
      </c>
    </row>
    <row r="264" spans="4:9" x14ac:dyDescent="0.25">
      <c r="D264" s="262">
        <f t="shared" si="24"/>
        <v>263</v>
      </c>
      <c r="E264" s="303">
        <f t="shared" si="25"/>
        <v>603057.84294736362</v>
      </c>
      <c r="F264" s="303">
        <f t="shared" si="26"/>
        <v>9222.2386554089917</v>
      </c>
      <c r="G264" s="304">
        <f t="shared" si="27"/>
        <v>3895.2277093739472</v>
      </c>
      <c r="H264" s="303">
        <f t="shared" si="28"/>
        <v>5327.010946035045</v>
      </c>
      <c r="I264" s="305">
        <f t="shared" si="29"/>
        <v>599162.6152379897</v>
      </c>
    </row>
    <row r="265" spans="4:9" x14ac:dyDescent="0.25">
      <c r="D265" s="262">
        <f t="shared" si="24"/>
        <v>264</v>
      </c>
      <c r="E265" s="303">
        <f t="shared" si="25"/>
        <v>599162.6152379897</v>
      </c>
      <c r="F265" s="303">
        <f t="shared" si="26"/>
        <v>9222.2386554089935</v>
      </c>
      <c r="G265" s="304">
        <f t="shared" si="27"/>
        <v>3929.6355541400835</v>
      </c>
      <c r="H265" s="303">
        <f t="shared" si="28"/>
        <v>5292.6031012689091</v>
      </c>
      <c r="I265" s="305">
        <f t="shared" si="29"/>
        <v>595232.97968384961</v>
      </c>
    </row>
    <row r="266" spans="4:9" x14ac:dyDescent="0.25">
      <c r="D266" s="262">
        <f t="shared" si="24"/>
        <v>265</v>
      </c>
      <c r="E266" s="303">
        <f t="shared" si="25"/>
        <v>595232.97968384961</v>
      </c>
      <c r="F266" s="303">
        <f t="shared" si="26"/>
        <v>9222.2386554089935</v>
      </c>
      <c r="G266" s="304">
        <f t="shared" si="27"/>
        <v>3964.3473348683215</v>
      </c>
      <c r="H266" s="303">
        <f t="shared" si="28"/>
        <v>5257.8913205406716</v>
      </c>
      <c r="I266" s="305">
        <f t="shared" si="29"/>
        <v>591268.63234898134</v>
      </c>
    </row>
    <row r="267" spans="4:9" x14ac:dyDescent="0.25">
      <c r="D267" s="262">
        <f t="shared" si="24"/>
        <v>266</v>
      </c>
      <c r="E267" s="303">
        <f t="shared" si="25"/>
        <v>591268.63234898134</v>
      </c>
      <c r="F267" s="303">
        <f t="shared" si="26"/>
        <v>9222.2386554089935</v>
      </c>
      <c r="G267" s="304">
        <f t="shared" si="27"/>
        <v>3999.3657363263251</v>
      </c>
      <c r="H267" s="303">
        <f t="shared" si="28"/>
        <v>5222.872919082668</v>
      </c>
      <c r="I267" s="305">
        <f t="shared" si="29"/>
        <v>587269.26661265502</v>
      </c>
    </row>
    <row r="268" spans="4:9" x14ac:dyDescent="0.25">
      <c r="D268" s="262">
        <f t="shared" si="24"/>
        <v>267</v>
      </c>
      <c r="E268" s="303">
        <f t="shared" si="25"/>
        <v>587269.26661265502</v>
      </c>
      <c r="F268" s="303">
        <f t="shared" si="26"/>
        <v>9222.2386554089935</v>
      </c>
      <c r="G268" s="304">
        <f t="shared" si="27"/>
        <v>4034.6934669972075</v>
      </c>
      <c r="H268" s="303">
        <f t="shared" si="28"/>
        <v>5187.5451884117856</v>
      </c>
      <c r="I268" s="305">
        <f t="shared" si="29"/>
        <v>583234.57314565778</v>
      </c>
    </row>
    <row r="269" spans="4:9" x14ac:dyDescent="0.25">
      <c r="D269" s="262">
        <f t="shared" si="24"/>
        <v>268</v>
      </c>
      <c r="E269" s="303">
        <f t="shared" si="25"/>
        <v>583234.57314565778</v>
      </c>
      <c r="F269" s="303">
        <f t="shared" si="26"/>
        <v>9222.2386554089935</v>
      </c>
      <c r="G269" s="304">
        <f t="shared" si="27"/>
        <v>4070.3332592890156</v>
      </c>
      <c r="H269" s="303">
        <f t="shared" si="28"/>
        <v>5151.905396119977</v>
      </c>
      <c r="I269" s="305">
        <f t="shared" si="29"/>
        <v>579164.23988636874</v>
      </c>
    </row>
    <row r="270" spans="4:9" x14ac:dyDescent="0.25">
      <c r="D270" s="262">
        <f t="shared" si="24"/>
        <v>269</v>
      </c>
      <c r="E270" s="303">
        <f t="shared" si="25"/>
        <v>579164.23988636874</v>
      </c>
      <c r="F270" s="303">
        <f t="shared" si="26"/>
        <v>9222.2386554089935</v>
      </c>
      <c r="G270" s="304">
        <f t="shared" si="27"/>
        <v>4106.2878697460692</v>
      </c>
      <c r="H270" s="303">
        <f t="shared" si="28"/>
        <v>5115.9507856629234</v>
      </c>
      <c r="I270" s="305">
        <f t="shared" si="29"/>
        <v>575057.95201662264</v>
      </c>
    </row>
    <row r="271" spans="4:9" x14ac:dyDescent="0.25">
      <c r="D271" s="262">
        <f t="shared" si="24"/>
        <v>270</v>
      </c>
      <c r="E271" s="303">
        <f t="shared" si="25"/>
        <v>575057.95201662264</v>
      </c>
      <c r="F271" s="303">
        <f t="shared" si="26"/>
        <v>9222.2386554089935</v>
      </c>
      <c r="G271" s="304">
        <f t="shared" si="27"/>
        <v>4142.5600792621599</v>
      </c>
      <c r="H271" s="303">
        <f t="shared" si="28"/>
        <v>5079.6785761468336</v>
      </c>
      <c r="I271" s="305">
        <f t="shared" si="29"/>
        <v>570915.39193736052</v>
      </c>
    </row>
    <row r="272" spans="4:9" x14ac:dyDescent="0.25">
      <c r="D272" s="262">
        <f t="shared" si="24"/>
        <v>271</v>
      </c>
      <c r="E272" s="303">
        <f t="shared" si="25"/>
        <v>570915.39193736052</v>
      </c>
      <c r="F272" s="303">
        <f t="shared" si="26"/>
        <v>9222.2386554089935</v>
      </c>
      <c r="G272" s="304">
        <f t="shared" si="27"/>
        <v>4179.1526932956413</v>
      </c>
      <c r="H272" s="303">
        <f t="shared" si="28"/>
        <v>5043.0859621133513</v>
      </c>
      <c r="I272" s="305">
        <f t="shared" si="29"/>
        <v>566736.2392440649</v>
      </c>
    </row>
    <row r="273" spans="4:9" x14ac:dyDescent="0.25">
      <c r="D273" s="262">
        <f t="shared" si="24"/>
        <v>272</v>
      </c>
      <c r="E273" s="303">
        <f t="shared" si="25"/>
        <v>566736.2392440649</v>
      </c>
      <c r="F273" s="303">
        <f t="shared" si="26"/>
        <v>9222.2386554089935</v>
      </c>
      <c r="G273" s="304">
        <f t="shared" si="27"/>
        <v>4216.0685420864193</v>
      </c>
      <c r="H273" s="303">
        <f t="shared" si="28"/>
        <v>5006.1701133225733</v>
      </c>
      <c r="I273" s="305">
        <f t="shared" si="29"/>
        <v>562520.1707019785</v>
      </c>
    </row>
    <row r="274" spans="4:9" x14ac:dyDescent="0.25">
      <c r="D274" s="262">
        <f t="shared" si="24"/>
        <v>273</v>
      </c>
      <c r="E274" s="303">
        <f t="shared" si="25"/>
        <v>562520.1707019785</v>
      </c>
      <c r="F274" s="303">
        <f t="shared" si="26"/>
        <v>9222.2386554089935</v>
      </c>
      <c r="G274" s="304">
        <f t="shared" si="27"/>
        <v>4253.3104808748494</v>
      </c>
      <c r="H274" s="303">
        <f t="shared" si="28"/>
        <v>4968.9281745341432</v>
      </c>
      <c r="I274" s="305">
        <f t="shared" si="29"/>
        <v>558266.86022110365</v>
      </c>
    </row>
    <row r="275" spans="4:9" x14ac:dyDescent="0.25">
      <c r="D275" s="262">
        <f t="shared" si="24"/>
        <v>274</v>
      </c>
      <c r="E275" s="303">
        <f t="shared" si="25"/>
        <v>558266.86022110365</v>
      </c>
      <c r="F275" s="303">
        <f t="shared" si="26"/>
        <v>9222.2386554089935</v>
      </c>
      <c r="G275" s="304">
        <f t="shared" si="27"/>
        <v>4290.8813901225776</v>
      </c>
      <c r="H275" s="303">
        <f t="shared" si="28"/>
        <v>4931.3572652864159</v>
      </c>
      <c r="I275" s="305">
        <f t="shared" si="29"/>
        <v>553975.97883098107</v>
      </c>
    </row>
    <row r="276" spans="4:9" x14ac:dyDescent="0.25">
      <c r="D276" s="262">
        <f t="shared" si="24"/>
        <v>275</v>
      </c>
      <c r="E276" s="303">
        <f t="shared" si="25"/>
        <v>553975.97883098107</v>
      </c>
      <c r="F276" s="303">
        <f t="shared" si="26"/>
        <v>9222.2386554089935</v>
      </c>
      <c r="G276" s="304">
        <f t="shared" si="27"/>
        <v>4328.7841757353272</v>
      </c>
      <c r="H276" s="303">
        <f t="shared" si="28"/>
        <v>4893.4544796736654</v>
      </c>
      <c r="I276" s="305">
        <f t="shared" si="29"/>
        <v>549647.19465524575</v>
      </c>
    </row>
    <row r="277" spans="4:9" x14ac:dyDescent="0.25">
      <c r="D277" s="262">
        <f t="shared" si="24"/>
        <v>276</v>
      </c>
      <c r="E277" s="303">
        <f t="shared" si="25"/>
        <v>549647.19465524575</v>
      </c>
      <c r="F277" s="303">
        <f t="shared" si="26"/>
        <v>9222.2386554089935</v>
      </c>
      <c r="G277" s="304">
        <f t="shared" si="27"/>
        <v>4367.0217692876558</v>
      </c>
      <c r="H277" s="303">
        <f t="shared" si="28"/>
        <v>4855.2168861213368</v>
      </c>
      <c r="I277" s="305">
        <f t="shared" si="29"/>
        <v>545280.17288595811</v>
      </c>
    </row>
    <row r="278" spans="4:9" x14ac:dyDescent="0.25">
      <c r="D278" s="262">
        <f t="shared" si="24"/>
        <v>277</v>
      </c>
      <c r="E278" s="303">
        <f t="shared" si="25"/>
        <v>545280.17288595811</v>
      </c>
      <c r="F278" s="303">
        <f t="shared" si="26"/>
        <v>9222.2386554089935</v>
      </c>
      <c r="G278" s="304">
        <f t="shared" si="27"/>
        <v>4405.5971282496967</v>
      </c>
      <c r="H278" s="303">
        <f t="shared" si="28"/>
        <v>4816.6415271592969</v>
      </c>
      <c r="I278" s="305">
        <f t="shared" si="29"/>
        <v>540874.5757577084</v>
      </c>
    </row>
    <row r="279" spans="4:9" x14ac:dyDescent="0.25">
      <c r="D279" s="262">
        <f t="shared" si="24"/>
        <v>278</v>
      </c>
      <c r="E279" s="303">
        <f t="shared" si="25"/>
        <v>540874.5757577084</v>
      </c>
      <c r="F279" s="303">
        <f t="shared" si="26"/>
        <v>9222.2386554089935</v>
      </c>
      <c r="G279" s="304">
        <f t="shared" si="27"/>
        <v>4444.513236215902</v>
      </c>
      <c r="H279" s="303">
        <f t="shared" si="28"/>
        <v>4777.7254191930906</v>
      </c>
      <c r="I279" s="305">
        <f t="shared" si="29"/>
        <v>536430.06252149248</v>
      </c>
    </row>
    <row r="280" spans="4:9" x14ac:dyDescent="0.25">
      <c r="D280" s="262">
        <f t="shared" si="24"/>
        <v>279</v>
      </c>
      <c r="E280" s="303">
        <f t="shared" si="25"/>
        <v>536430.06252149248</v>
      </c>
      <c r="F280" s="303">
        <f t="shared" si="26"/>
        <v>9222.2386554089935</v>
      </c>
      <c r="G280" s="304">
        <f t="shared" si="27"/>
        <v>4483.7731031358089</v>
      </c>
      <c r="H280" s="303">
        <f t="shared" si="28"/>
        <v>4738.4655522731837</v>
      </c>
      <c r="I280" s="305">
        <f t="shared" si="29"/>
        <v>531946.28941835673</v>
      </c>
    </row>
    <row r="281" spans="4:9" x14ac:dyDescent="0.25">
      <c r="D281" s="262">
        <f t="shared" si="24"/>
        <v>280</v>
      </c>
      <c r="E281" s="303">
        <f t="shared" si="25"/>
        <v>531946.28941835673</v>
      </c>
      <c r="F281" s="303">
        <f t="shared" si="26"/>
        <v>9222.2386554089935</v>
      </c>
      <c r="G281" s="304">
        <f t="shared" si="27"/>
        <v>4523.3797655468425</v>
      </c>
      <c r="H281" s="303">
        <f t="shared" si="28"/>
        <v>4698.858889862151</v>
      </c>
      <c r="I281" s="305">
        <f t="shared" si="29"/>
        <v>527422.90965280985</v>
      </c>
    </row>
    <row r="282" spans="4:9" x14ac:dyDescent="0.25">
      <c r="D282" s="262">
        <f t="shared" si="24"/>
        <v>281</v>
      </c>
      <c r="E282" s="303">
        <f t="shared" si="25"/>
        <v>527422.90965280985</v>
      </c>
      <c r="F282" s="303">
        <f t="shared" si="26"/>
        <v>9222.2386554089935</v>
      </c>
      <c r="G282" s="304">
        <f t="shared" si="27"/>
        <v>4563.3362868091726</v>
      </c>
      <c r="H282" s="303">
        <f t="shared" si="28"/>
        <v>4658.90236859982</v>
      </c>
      <c r="I282" s="305">
        <f t="shared" si="29"/>
        <v>522859.57336600067</v>
      </c>
    </row>
    <row r="283" spans="4:9" x14ac:dyDescent="0.25">
      <c r="D283" s="262">
        <f t="shared" si="24"/>
        <v>282</v>
      </c>
      <c r="E283" s="303">
        <f t="shared" si="25"/>
        <v>522859.57336600067</v>
      </c>
      <c r="F283" s="303">
        <f t="shared" si="26"/>
        <v>9222.2386554089935</v>
      </c>
      <c r="G283" s="304">
        <f t="shared" si="27"/>
        <v>4603.6457573426533</v>
      </c>
      <c r="H283" s="303">
        <f t="shared" si="28"/>
        <v>4618.5928980663393</v>
      </c>
      <c r="I283" s="305">
        <f t="shared" si="29"/>
        <v>518255.92760865804</v>
      </c>
    </row>
    <row r="284" spans="4:9" x14ac:dyDescent="0.25">
      <c r="D284" s="262">
        <f t="shared" si="24"/>
        <v>283</v>
      </c>
      <c r="E284" s="303">
        <f t="shared" si="25"/>
        <v>518255.92760865804</v>
      </c>
      <c r="F284" s="303">
        <f t="shared" si="26"/>
        <v>9222.2386554089935</v>
      </c>
      <c r="G284" s="304">
        <f t="shared" si="27"/>
        <v>4644.3112948658472</v>
      </c>
      <c r="H284" s="303">
        <f t="shared" si="28"/>
        <v>4577.9273605431454</v>
      </c>
      <c r="I284" s="305">
        <f t="shared" si="29"/>
        <v>513611.61631379218</v>
      </c>
    </row>
    <row r="285" spans="4:9" x14ac:dyDescent="0.25">
      <c r="D285" s="262">
        <f t="shared" si="24"/>
        <v>284</v>
      </c>
      <c r="E285" s="303">
        <f t="shared" si="25"/>
        <v>513611.61631379218</v>
      </c>
      <c r="F285" s="303">
        <f t="shared" si="26"/>
        <v>9222.2386554089935</v>
      </c>
      <c r="G285" s="304">
        <f t="shared" si="27"/>
        <v>4685.3360446371616</v>
      </c>
      <c r="H285" s="303">
        <f t="shared" si="28"/>
        <v>4536.902610771831</v>
      </c>
      <c r="I285" s="305">
        <f t="shared" si="29"/>
        <v>508926.28026915505</v>
      </c>
    </row>
    <row r="286" spans="4:9" x14ac:dyDescent="0.25">
      <c r="D286" s="262">
        <f t="shared" si="24"/>
        <v>285</v>
      </c>
      <c r="E286" s="303">
        <f t="shared" si="25"/>
        <v>508926.28026915505</v>
      </c>
      <c r="F286" s="303">
        <f t="shared" si="26"/>
        <v>9222.2386554089935</v>
      </c>
      <c r="G286" s="304">
        <f t="shared" si="27"/>
        <v>4726.7231796981241</v>
      </c>
      <c r="H286" s="303">
        <f t="shared" si="28"/>
        <v>4495.5154757108694</v>
      </c>
      <c r="I286" s="305">
        <f t="shared" si="29"/>
        <v>504199.55708945694</v>
      </c>
    </row>
    <row r="287" spans="4:9" x14ac:dyDescent="0.25">
      <c r="D287" s="262">
        <f t="shared" si="24"/>
        <v>286</v>
      </c>
      <c r="E287" s="303">
        <f t="shared" si="25"/>
        <v>504199.55708945694</v>
      </c>
      <c r="F287" s="303">
        <f t="shared" si="26"/>
        <v>9222.2386554089935</v>
      </c>
      <c r="G287" s="304">
        <f t="shared" si="27"/>
        <v>4768.4759011187898</v>
      </c>
      <c r="H287" s="303">
        <f t="shared" si="28"/>
        <v>4453.7627542902028</v>
      </c>
      <c r="I287" s="305">
        <f t="shared" si="29"/>
        <v>499431.08118833817</v>
      </c>
    </row>
    <row r="288" spans="4:9" x14ac:dyDescent="0.25">
      <c r="D288" s="262">
        <f t="shared" si="24"/>
        <v>287</v>
      </c>
      <c r="E288" s="303">
        <f t="shared" si="25"/>
        <v>499431.08118833817</v>
      </c>
      <c r="F288" s="303">
        <f t="shared" si="26"/>
        <v>9222.2386554089935</v>
      </c>
      <c r="G288" s="304">
        <f t="shared" si="27"/>
        <v>4810.5974382453396</v>
      </c>
      <c r="H288" s="303">
        <f t="shared" si="28"/>
        <v>4411.6412171636539</v>
      </c>
      <c r="I288" s="305">
        <f t="shared" si="29"/>
        <v>494620.48375009286</v>
      </c>
    </row>
    <row r="289" spans="4:9" x14ac:dyDescent="0.25">
      <c r="D289" s="262">
        <f t="shared" si="24"/>
        <v>288</v>
      </c>
      <c r="E289" s="303">
        <f t="shared" si="25"/>
        <v>494620.48375009286</v>
      </c>
      <c r="F289" s="303">
        <f t="shared" si="26"/>
        <v>9222.2386554089935</v>
      </c>
      <c r="G289" s="304">
        <f t="shared" si="27"/>
        <v>4853.0910489498401</v>
      </c>
      <c r="H289" s="303">
        <f t="shared" si="28"/>
        <v>4369.1476064591534</v>
      </c>
      <c r="I289" s="305">
        <f t="shared" si="29"/>
        <v>489767.39270114299</v>
      </c>
    </row>
    <row r="290" spans="4:9" x14ac:dyDescent="0.25">
      <c r="D290" s="262">
        <f t="shared" si="24"/>
        <v>289</v>
      </c>
      <c r="E290" s="303">
        <f t="shared" si="25"/>
        <v>489767.39270114299</v>
      </c>
      <c r="F290" s="303">
        <f t="shared" si="26"/>
        <v>9222.2386554089935</v>
      </c>
      <c r="G290" s="304">
        <f t="shared" si="27"/>
        <v>4895.9600198822309</v>
      </c>
      <c r="H290" s="303">
        <f t="shared" si="28"/>
        <v>4326.2786355267626</v>
      </c>
      <c r="I290" s="305">
        <f t="shared" si="29"/>
        <v>484871.43268126075</v>
      </c>
    </row>
    <row r="291" spans="4:9" x14ac:dyDescent="0.25">
      <c r="D291" s="262">
        <f t="shared" si="24"/>
        <v>290</v>
      </c>
      <c r="E291" s="303">
        <f t="shared" si="25"/>
        <v>484871.43268126075</v>
      </c>
      <c r="F291" s="303">
        <f t="shared" si="26"/>
        <v>9222.2386554089935</v>
      </c>
      <c r="G291" s="304">
        <f t="shared" si="27"/>
        <v>4939.2076667245237</v>
      </c>
      <c r="H291" s="303">
        <f t="shared" si="28"/>
        <v>4283.0309886844698</v>
      </c>
      <c r="I291" s="305">
        <f t="shared" si="29"/>
        <v>479932.22501453623</v>
      </c>
    </row>
    <row r="292" spans="4:9" x14ac:dyDescent="0.25">
      <c r="D292" s="262">
        <f t="shared" si="24"/>
        <v>291</v>
      </c>
      <c r="E292" s="303">
        <f t="shared" si="25"/>
        <v>479932.22501453623</v>
      </c>
      <c r="F292" s="303">
        <f t="shared" si="26"/>
        <v>9222.2386554089935</v>
      </c>
      <c r="G292" s="304">
        <f t="shared" si="27"/>
        <v>4982.8373344472575</v>
      </c>
      <c r="H292" s="303">
        <f t="shared" si="28"/>
        <v>4239.401320961736</v>
      </c>
      <c r="I292" s="305">
        <f t="shared" si="29"/>
        <v>474949.38768008898</v>
      </c>
    </row>
    <row r="293" spans="4:9" x14ac:dyDescent="0.25">
      <c r="D293" s="262">
        <f t="shared" si="24"/>
        <v>292</v>
      </c>
      <c r="E293" s="303">
        <f t="shared" si="25"/>
        <v>474949.38768008898</v>
      </c>
      <c r="F293" s="303">
        <f t="shared" si="26"/>
        <v>9222.2386554089935</v>
      </c>
      <c r="G293" s="304">
        <f t="shared" si="27"/>
        <v>5026.8523975682083</v>
      </c>
      <c r="H293" s="303">
        <f t="shared" si="28"/>
        <v>4195.3862578407861</v>
      </c>
      <c r="I293" s="305">
        <f t="shared" si="29"/>
        <v>469922.53528252075</v>
      </c>
    </row>
    <row r="294" spans="4:9" x14ac:dyDescent="0.25">
      <c r="D294" s="262">
        <f t="shared" si="24"/>
        <v>293</v>
      </c>
      <c r="E294" s="303">
        <f t="shared" si="25"/>
        <v>469922.53528252075</v>
      </c>
      <c r="F294" s="303">
        <f t="shared" si="26"/>
        <v>9222.2386554089935</v>
      </c>
      <c r="G294" s="304">
        <f t="shared" si="27"/>
        <v>5071.2562604133936</v>
      </c>
      <c r="H294" s="303">
        <f t="shared" si="28"/>
        <v>4150.9823949955999</v>
      </c>
      <c r="I294" s="305">
        <f t="shared" si="29"/>
        <v>464851.27902210737</v>
      </c>
    </row>
    <row r="295" spans="4:9" x14ac:dyDescent="0.25">
      <c r="D295" s="262">
        <f t="shared" si="24"/>
        <v>294</v>
      </c>
      <c r="E295" s="303">
        <f t="shared" si="25"/>
        <v>464851.27902210737</v>
      </c>
      <c r="F295" s="303">
        <f t="shared" si="26"/>
        <v>9222.2386554089935</v>
      </c>
      <c r="G295" s="304">
        <f t="shared" si="27"/>
        <v>5116.0523573803775</v>
      </c>
      <c r="H295" s="303">
        <f t="shared" si="28"/>
        <v>4106.1862980286151</v>
      </c>
      <c r="I295" s="305">
        <f t="shared" si="29"/>
        <v>459735.22666472697</v>
      </c>
    </row>
    <row r="296" spans="4:9" x14ac:dyDescent="0.25">
      <c r="D296" s="262">
        <f t="shared" si="24"/>
        <v>295</v>
      </c>
      <c r="E296" s="303">
        <f t="shared" si="25"/>
        <v>459735.22666472697</v>
      </c>
      <c r="F296" s="303">
        <f t="shared" si="26"/>
        <v>9222.2386554089935</v>
      </c>
      <c r="G296" s="304">
        <f t="shared" si="27"/>
        <v>5161.2441532039047</v>
      </c>
      <c r="H296" s="303">
        <f t="shared" si="28"/>
        <v>4060.9945022050883</v>
      </c>
      <c r="I296" s="305">
        <f t="shared" si="29"/>
        <v>454573.98251152306</v>
      </c>
    </row>
    <row r="297" spans="4:9" x14ac:dyDescent="0.25">
      <c r="D297" s="262">
        <f t="shared" si="24"/>
        <v>296</v>
      </c>
      <c r="E297" s="303">
        <f t="shared" si="25"/>
        <v>454573.98251152306</v>
      </c>
      <c r="F297" s="303">
        <f t="shared" si="26"/>
        <v>9222.2386554089935</v>
      </c>
      <c r="G297" s="304">
        <f t="shared" si="27"/>
        <v>5206.8351432238724</v>
      </c>
      <c r="H297" s="303">
        <f t="shared" si="28"/>
        <v>4015.4035121851207</v>
      </c>
      <c r="I297" s="305">
        <f t="shared" si="29"/>
        <v>449367.14736829919</v>
      </c>
    </row>
    <row r="298" spans="4:9" x14ac:dyDescent="0.25">
      <c r="D298" s="262">
        <f t="shared" si="24"/>
        <v>297</v>
      </c>
      <c r="E298" s="303">
        <f t="shared" si="25"/>
        <v>449367.14736829919</v>
      </c>
      <c r="F298" s="303">
        <f t="shared" si="26"/>
        <v>9222.2386554089917</v>
      </c>
      <c r="G298" s="304">
        <f t="shared" si="27"/>
        <v>5252.8288536556829</v>
      </c>
      <c r="H298" s="303">
        <f t="shared" si="28"/>
        <v>3969.4098017533092</v>
      </c>
      <c r="I298" s="305">
        <f t="shared" si="29"/>
        <v>444114.31851464353</v>
      </c>
    </row>
    <row r="299" spans="4:9" x14ac:dyDescent="0.25">
      <c r="D299" s="262">
        <f t="shared" si="24"/>
        <v>298</v>
      </c>
      <c r="E299" s="303">
        <f t="shared" si="25"/>
        <v>444114.31851464353</v>
      </c>
      <c r="F299" s="303">
        <f t="shared" si="26"/>
        <v>9222.2386554089935</v>
      </c>
      <c r="G299" s="304">
        <f t="shared" si="27"/>
        <v>5299.228841862976</v>
      </c>
      <c r="H299" s="303">
        <f t="shared" si="28"/>
        <v>3923.0098135460175</v>
      </c>
      <c r="I299" s="305">
        <f t="shared" si="29"/>
        <v>438815.08967278054</v>
      </c>
    </row>
    <row r="300" spans="4:9" x14ac:dyDescent="0.25">
      <c r="D300" s="262">
        <f t="shared" si="24"/>
        <v>299</v>
      </c>
      <c r="E300" s="303">
        <f t="shared" si="25"/>
        <v>438815.08967278054</v>
      </c>
      <c r="F300" s="303">
        <f t="shared" si="26"/>
        <v>9222.2386554089935</v>
      </c>
      <c r="G300" s="304">
        <f t="shared" si="27"/>
        <v>5346.0386966327651</v>
      </c>
      <c r="H300" s="303">
        <f t="shared" si="28"/>
        <v>3876.199958776228</v>
      </c>
      <c r="I300" s="305">
        <f t="shared" si="29"/>
        <v>433469.05097614776</v>
      </c>
    </row>
    <row r="301" spans="4:9" x14ac:dyDescent="0.25">
      <c r="D301" s="262">
        <f t="shared" si="24"/>
        <v>300</v>
      </c>
      <c r="E301" s="303">
        <f t="shared" si="25"/>
        <v>433469.05097614776</v>
      </c>
      <c r="F301" s="303">
        <f t="shared" si="26"/>
        <v>9222.2386554089935</v>
      </c>
      <c r="G301" s="304">
        <f t="shared" si="27"/>
        <v>5393.2620384530219</v>
      </c>
      <c r="H301" s="303">
        <f t="shared" si="28"/>
        <v>3828.9766169559716</v>
      </c>
      <c r="I301" s="305">
        <f t="shared" si="29"/>
        <v>428075.78893769474</v>
      </c>
    </row>
    <row r="302" spans="4:9" x14ac:dyDescent="0.25">
      <c r="D302" s="262">
        <f t="shared" si="24"/>
        <v>301</v>
      </c>
      <c r="E302" s="303">
        <f t="shared" si="25"/>
        <v>428075.78893769474</v>
      </c>
      <c r="F302" s="303">
        <f t="shared" si="26"/>
        <v>9222.2386554089935</v>
      </c>
      <c r="G302" s="304">
        <f t="shared" si="27"/>
        <v>5440.9025197926903</v>
      </c>
      <c r="H302" s="303">
        <f t="shared" si="28"/>
        <v>3781.3361356163036</v>
      </c>
      <c r="I302" s="305">
        <f t="shared" si="29"/>
        <v>422634.88641790207</v>
      </c>
    </row>
    <row r="303" spans="4:9" x14ac:dyDescent="0.25">
      <c r="D303" s="262">
        <f t="shared" si="24"/>
        <v>302</v>
      </c>
      <c r="E303" s="303">
        <f t="shared" si="25"/>
        <v>422634.88641790207</v>
      </c>
      <c r="F303" s="303">
        <f t="shared" si="26"/>
        <v>9222.2386554089935</v>
      </c>
      <c r="G303" s="304">
        <f t="shared" si="27"/>
        <v>5488.9638253841922</v>
      </c>
      <c r="H303" s="303">
        <f t="shared" si="28"/>
        <v>3733.2748300248018</v>
      </c>
      <c r="I303" s="305">
        <f t="shared" si="29"/>
        <v>417145.92259251786</v>
      </c>
    </row>
    <row r="304" spans="4:9" x14ac:dyDescent="0.25">
      <c r="D304" s="262">
        <f t="shared" si="24"/>
        <v>303</v>
      </c>
      <c r="E304" s="303">
        <f t="shared" si="25"/>
        <v>417145.92259251786</v>
      </c>
      <c r="F304" s="303">
        <f t="shared" si="26"/>
        <v>9222.2386554089935</v>
      </c>
      <c r="G304" s="304">
        <f t="shared" si="27"/>
        <v>5537.4496725084182</v>
      </c>
      <c r="H304" s="303">
        <f t="shared" si="28"/>
        <v>3684.7889829005744</v>
      </c>
      <c r="I304" s="305">
        <f t="shared" si="29"/>
        <v>411608.47292000946</v>
      </c>
    </row>
    <row r="305" spans="4:9" x14ac:dyDescent="0.25">
      <c r="D305" s="262">
        <f t="shared" si="24"/>
        <v>304</v>
      </c>
      <c r="E305" s="303">
        <f t="shared" si="25"/>
        <v>411608.47292000946</v>
      </c>
      <c r="F305" s="303">
        <f t="shared" si="26"/>
        <v>9222.2386554089953</v>
      </c>
      <c r="G305" s="304">
        <f t="shared" si="27"/>
        <v>5586.3638112822446</v>
      </c>
      <c r="H305" s="303">
        <f t="shared" si="28"/>
        <v>3635.8748441267503</v>
      </c>
      <c r="I305" s="305">
        <f t="shared" si="29"/>
        <v>406022.10910872719</v>
      </c>
    </row>
    <row r="306" spans="4:9" x14ac:dyDescent="0.25">
      <c r="D306" s="262">
        <f t="shared" si="24"/>
        <v>305</v>
      </c>
      <c r="E306" s="303">
        <f t="shared" si="25"/>
        <v>406022.10910872719</v>
      </c>
      <c r="F306" s="303">
        <f t="shared" si="26"/>
        <v>9222.2386554089935</v>
      </c>
      <c r="G306" s="304">
        <f t="shared" si="27"/>
        <v>5635.7100249485702</v>
      </c>
      <c r="H306" s="303">
        <f t="shared" si="28"/>
        <v>3586.5286304604233</v>
      </c>
      <c r="I306" s="305">
        <f t="shared" si="29"/>
        <v>400386.39908377861</v>
      </c>
    </row>
    <row r="307" spans="4:9" x14ac:dyDescent="0.25">
      <c r="D307" s="262">
        <f t="shared" si="24"/>
        <v>306</v>
      </c>
      <c r="E307" s="303">
        <f t="shared" si="25"/>
        <v>400386.39908377861</v>
      </c>
      <c r="F307" s="303">
        <f t="shared" si="26"/>
        <v>9222.2386554089917</v>
      </c>
      <c r="G307" s="304">
        <f t="shared" si="27"/>
        <v>5685.4921301689483</v>
      </c>
      <c r="H307" s="303">
        <f t="shared" si="28"/>
        <v>3536.7465252400439</v>
      </c>
      <c r="I307" s="305">
        <f t="shared" si="29"/>
        <v>394700.90695360966</v>
      </c>
    </row>
    <row r="308" spans="4:9" x14ac:dyDescent="0.25">
      <c r="D308" s="262">
        <f t="shared" si="24"/>
        <v>307</v>
      </c>
      <c r="E308" s="303">
        <f t="shared" si="25"/>
        <v>394700.90695360966</v>
      </c>
      <c r="F308" s="303">
        <f t="shared" si="26"/>
        <v>9222.2386554089935</v>
      </c>
      <c r="G308" s="304">
        <f t="shared" si="27"/>
        <v>5735.7139773187746</v>
      </c>
      <c r="H308" s="303">
        <f t="shared" si="28"/>
        <v>3486.5246780902185</v>
      </c>
      <c r="I308" s="305">
        <f t="shared" si="29"/>
        <v>388965.19297629088</v>
      </c>
    </row>
    <row r="309" spans="4:9" x14ac:dyDescent="0.25">
      <c r="D309" s="262">
        <f t="shared" si="24"/>
        <v>308</v>
      </c>
      <c r="E309" s="303">
        <f t="shared" si="25"/>
        <v>388965.19297629088</v>
      </c>
      <c r="F309" s="303">
        <f t="shared" si="26"/>
        <v>9222.2386554089935</v>
      </c>
      <c r="G309" s="304">
        <f t="shared" si="27"/>
        <v>5786.3794507850907</v>
      </c>
      <c r="H309" s="303">
        <f t="shared" si="28"/>
        <v>3435.8592046239028</v>
      </c>
      <c r="I309" s="305">
        <f t="shared" si="29"/>
        <v>383178.81352550577</v>
      </c>
    </row>
    <row r="310" spans="4:9" x14ac:dyDescent="0.25">
      <c r="D310" s="262">
        <f t="shared" si="24"/>
        <v>309</v>
      </c>
      <c r="E310" s="303">
        <f t="shared" si="25"/>
        <v>383178.81352550577</v>
      </c>
      <c r="F310" s="303">
        <f t="shared" si="26"/>
        <v>9222.2386554089935</v>
      </c>
      <c r="G310" s="304">
        <f t="shared" si="27"/>
        <v>5837.4924692670256</v>
      </c>
      <c r="H310" s="303">
        <f t="shared" si="28"/>
        <v>3384.7461861419674</v>
      </c>
      <c r="I310" s="305">
        <f t="shared" si="29"/>
        <v>377341.32105623872</v>
      </c>
    </row>
    <row r="311" spans="4:9" x14ac:dyDescent="0.25">
      <c r="D311" s="262">
        <f t="shared" si="24"/>
        <v>310</v>
      </c>
      <c r="E311" s="303">
        <f t="shared" si="25"/>
        <v>377341.32105623872</v>
      </c>
      <c r="F311" s="303">
        <f t="shared" si="26"/>
        <v>9222.2386554089917</v>
      </c>
      <c r="G311" s="304">
        <f t="shared" si="27"/>
        <v>5889.0569860788837</v>
      </c>
      <c r="H311" s="303">
        <f t="shared" si="28"/>
        <v>3333.1816693301084</v>
      </c>
      <c r="I311" s="305">
        <f t="shared" si="29"/>
        <v>371452.26407015981</v>
      </c>
    </row>
    <row r="312" spans="4:9" x14ac:dyDescent="0.25">
      <c r="D312" s="262">
        <f t="shared" si="24"/>
        <v>311</v>
      </c>
      <c r="E312" s="303">
        <f t="shared" si="25"/>
        <v>371452.26407015981</v>
      </c>
      <c r="F312" s="303">
        <f t="shared" si="26"/>
        <v>9222.2386554089935</v>
      </c>
      <c r="G312" s="304">
        <f t="shared" si="27"/>
        <v>5941.0769894559144</v>
      </c>
      <c r="H312" s="303">
        <f t="shared" si="28"/>
        <v>3281.1616659530787</v>
      </c>
      <c r="I312" s="305">
        <f t="shared" si="29"/>
        <v>365511.18708070391</v>
      </c>
    </row>
    <row r="313" spans="4:9" x14ac:dyDescent="0.25">
      <c r="D313" s="262">
        <f t="shared" si="24"/>
        <v>312</v>
      </c>
      <c r="E313" s="303">
        <f t="shared" si="25"/>
        <v>365511.18708070391</v>
      </c>
      <c r="F313" s="303">
        <f t="shared" si="26"/>
        <v>9222.2386554089935</v>
      </c>
      <c r="G313" s="304">
        <f t="shared" si="27"/>
        <v>5993.5565028627752</v>
      </c>
      <c r="H313" s="303">
        <f t="shared" si="28"/>
        <v>3228.6821525462178</v>
      </c>
      <c r="I313" s="305">
        <f t="shared" si="29"/>
        <v>359517.63057784113</v>
      </c>
    </row>
    <row r="314" spans="4:9" x14ac:dyDescent="0.25">
      <c r="D314" s="262">
        <f t="shared" si="24"/>
        <v>313</v>
      </c>
      <c r="E314" s="303">
        <f t="shared" si="25"/>
        <v>359517.63057784113</v>
      </c>
      <c r="F314" s="303">
        <f t="shared" si="26"/>
        <v>9222.2386554089935</v>
      </c>
      <c r="G314" s="304">
        <f t="shared" si="27"/>
        <v>6046.4995853047294</v>
      </c>
      <c r="H314" s="303">
        <f t="shared" si="28"/>
        <v>3175.7390701042636</v>
      </c>
      <c r="I314" s="305">
        <f t="shared" si="29"/>
        <v>353471.13099253643</v>
      </c>
    </row>
    <row r="315" spans="4:9" x14ac:dyDescent="0.25">
      <c r="D315" s="262">
        <f t="shared" si="24"/>
        <v>314</v>
      </c>
      <c r="E315" s="303">
        <f t="shared" si="25"/>
        <v>353471.13099253643</v>
      </c>
      <c r="F315" s="303">
        <f t="shared" si="26"/>
        <v>9222.2386554089935</v>
      </c>
      <c r="G315" s="304">
        <f t="shared" si="27"/>
        <v>6099.9103316415876</v>
      </c>
      <c r="H315" s="303">
        <f t="shared" si="28"/>
        <v>3122.3283237674054</v>
      </c>
      <c r="I315" s="305">
        <f t="shared" si="29"/>
        <v>347371.22066089482</v>
      </c>
    </row>
    <row r="316" spans="4:9" x14ac:dyDescent="0.25">
      <c r="D316" s="262">
        <f t="shared" si="24"/>
        <v>315</v>
      </c>
      <c r="E316" s="303">
        <f t="shared" si="25"/>
        <v>347371.22066089482</v>
      </c>
      <c r="F316" s="303">
        <f t="shared" si="26"/>
        <v>9222.2386554089917</v>
      </c>
      <c r="G316" s="304">
        <f t="shared" si="27"/>
        <v>6153.7928729044215</v>
      </c>
      <c r="H316" s="303">
        <f t="shared" si="28"/>
        <v>3068.4457825045706</v>
      </c>
      <c r="I316" s="305">
        <f t="shared" si="29"/>
        <v>341217.42778799043</v>
      </c>
    </row>
    <row r="317" spans="4:9" x14ac:dyDescent="0.25">
      <c r="D317" s="262">
        <f t="shared" si="24"/>
        <v>316</v>
      </c>
      <c r="E317" s="303">
        <f t="shared" si="25"/>
        <v>341217.42778799043</v>
      </c>
      <c r="F317" s="303">
        <f t="shared" si="26"/>
        <v>9222.2386554089935</v>
      </c>
      <c r="G317" s="304">
        <f t="shared" si="27"/>
        <v>6208.1513766150774</v>
      </c>
      <c r="H317" s="303">
        <f t="shared" si="28"/>
        <v>3014.0872787939152</v>
      </c>
      <c r="I317" s="305">
        <f t="shared" si="29"/>
        <v>335009.27641137532</v>
      </c>
    </row>
    <row r="318" spans="4:9" x14ac:dyDescent="0.25">
      <c r="D318" s="262">
        <f t="shared" si="24"/>
        <v>317</v>
      </c>
      <c r="E318" s="303">
        <f t="shared" si="25"/>
        <v>335009.27641137532</v>
      </c>
      <c r="F318" s="303">
        <f t="shared" si="26"/>
        <v>9222.2386554089917</v>
      </c>
      <c r="G318" s="304">
        <f t="shared" si="27"/>
        <v>6262.9900471085102</v>
      </c>
      <c r="H318" s="303">
        <f t="shared" si="28"/>
        <v>2959.2486083004819</v>
      </c>
      <c r="I318" s="305">
        <f t="shared" si="29"/>
        <v>328746.28636426682</v>
      </c>
    </row>
    <row r="319" spans="4:9" x14ac:dyDescent="0.25">
      <c r="D319" s="262">
        <f t="shared" si="24"/>
        <v>318</v>
      </c>
      <c r="E319" s="303">
        <f t="shared" si="25"/>
        <v>328746.28636426682</v>
      </c>
      <c r="F319" s="303">
        <f t="shared" si="26"/>
        <v>9222.2386554089917</v>
      </c>
      <c r="G319" s="304">
        <f t="shared" si="27"/>
        <v>6318.3131258579688</v>
      </c>
      <c r="H319" s="303">
        <f t="shared" si="28"/>
        <v>2903.9255295510234</v>
      </c>
      <c r="I319" s="305">
        <f t="shared" si="29"/>
        <v>322427.97323840886</v>
      </c>
    </row>
    <row r="320" spans="4:9" x14ac:dyDescent="0.25">
      <c r="D320" s="262">
        <f t="shared" si="24"/>
        <v>319</v>
      </c>
      <c r="E320" s="303">
        <f t="shared" si="25"/>
        <v>322427.97323840886</v>
      </c>
      <c r="F320" s="303">
        <f t="shared" si="26"/>
        <v>9222.2386554089935</v>
      </c>
      <c r="G320" s="304">
        <f t="shared" si="27"/>
        <v>6374.1248918030478</v>
      </c>
      <c r="H320" s="303">
        <f t="shared" si="28"/>
        <v>2848.1137636059448</v>
      </c>
      <c r="I320" s="305">
        <f t="shared" si="29"/>
        <v>316053.84834660578</v>
      </c>
    </row>
    <row r="321" spans="4:9" x14ac:dyDescent="0.25">
      <c r="D321" s="262">
        <f t="shared" si="24"/>
        <v>320</v>
      </c>
      <c r="E321" s="303">
        <f t="shared" si="25"/>
        <v>316053.84834660578</v>
      </c>
      <c r="F321" s="303">
        <f t="shared" si="26"/>
        <v>9222.2386554089917</v>
      </c>
      <c r="G321" s="304">
        <f t="shared" si="27"/>
        <v>6430.4296616806405</v>
      </c>
      <c r="H321" s="303">
        <f t="shared" si="28"/>
        <v>2791.8089937283512</v>
      </c>
      <c r="I321" s="305">
        <f t="shared" si="29"/>
        <v>309623.41868492513</v>
      </c>
    </row>
    <row r="322" spans="4:9" x14ac:dyDescent="0.25">
      <c r="D322" s="262">
        <f t="shared" si="24"/>
        <v>321</v>
      </c>
      <c r="E322" s="303">
        <f t="shared" si="25"/>
        <v>309623.41868492513</v>
      </c>
      <c r="F322" s="303">
        <f t="shared" si="26"/>
        <v>9222.2386554089917</v>
      </c>
      <c r="G322" s="304">
        <f t="shared" si="27"/>
        <v>6487.23179035882</v>
      </c>
      <c r="H322" s="303">
        <f t="shared" si="28"/>
        <v>2735.0068650501721</v>
      </c>
      <c r="I322" s="305">
        <f t="shared" si="29"/>
        <v>303136.18689456629</v>
      </c>
    </row>
    <row r="323" spans="4:9" x14ac:dyDescent="0.25">
      <c r="D323" s="262">
        <f t="shared" si="24"/>
        <v>322</v>
      </c>
      <c r="E323" s="303">
        <f t="shared" si="25"/>
        <v>303136.18689456629</v>
      </c>
      <c r="F323" s="303">
        <f t="shared" si="26"/>
        <v>9222.2386554089917</v>
      </c>
      <c r="G323" s="304">
        <f t="shared" si="27"/>
        <v>6544.5356711736567</v>
      </c>
      <c r="H323" s="303">
        <f t="shared" si="28"/>
        <v>2677.7029842353354</v>
      </c>
      <c r="I323" s="305">
        <f t="shared" si="29"/>
        <v>296591.65122339263</v>
      </c>
    </row>
    <row r="324" spans="4:9" x14ac:dyDescent="0.25">
      <c r="D324" s="262">
        <f t="shared" ref="D324:D361" si="30">D323+1</f>
        <v>323</v>
      </c>
      <c r="E324" s="303">
        <f t="shared" ref="E324:E361" si="31">IF(D324/12&gt;$B$6,0,I323)</f>
        <v>296591.65122339263</v>
      </c>
      <c r="F324" s="303">
        <f t="shared" ref="F324:F361" si="32">SUM(G324:H324)</f>
        <v>9222.2386554089917</v>
      </c>
      <c r="G324" s="304">
        <f t="shared" ref="G324:G361" si="33">IF(AND(D324&gt;$B$4,D324/12&lt;=$B$6),-PPMT($B$5/12,D324-$B$4,$B$3*12,$B$2,0,0),0)</f>
        <v>6602.3457362690242</v>
      </c>
      <c r="H324" s="303">
        <f t="shared" ref="H324:H361" si="34">E324*$B$5/12</f>
        <v>2619.8929191399679</v>
      </c>
      <c r="I324" s="305">
        <f t="shared" ref="I324:I361" si="35">E324-G324</f>
        <v>289989.30548712361</v>
      </c>
    </row>
    <row r="325" spans="4:9" x14ac:dyDescent="0.25">
      <c r="D325" s="262">
        <f t="shared" si="30"/>
        <v>324</v>
      </c>
      <c r="E325" s="303">
        <f t="shared" si="31"/>
        <v>289989.30548712361</v>
      </c>
      <c r="F325" s="303">
        <f t="shared" si="32"/>
        <v>9222.2386554089917</v>
      </c>
      <c r="G325" s="304">
        <f t="shared" si="33"/>
        <v>6660.6664569394006</v>
      </c>
      <c r="H325" s="303">
        <f t="shared" si="34"/>
        <v>2561.5721984695915</v>
      </c>
      <c r="I325" s="305">
        <f t="shared" si="35"/>
        <v>283328.63903018419</v>
      </c>
    </row>
    <row r="326" spans="4:9" x14ac:dyDescent="0.25">
      <c r="D326" s="262">
        <f t="shared" si="30"/>
        <v>325</v>
      </c>
      <c r="E326" s="303">
        <f t="shared" si="31"/>
        <v>283328.63903018419</v>
      </c>
      <c r="F326" s="303">
        <f t="shared" si="32"/>
        <v>9222.2386554089917</v>
      </c>
      <c r="G326" s="304">
        <f t="shared" si="33"/>
        <v>6719.5023439756988</v>
      </c>
      <c r="H326" s="303">
        <f t="shared" si="34"/>
        <v>2502.7363114332934</v>
      </c>
      <c r="I326" s="305">
        <f t="shared" si="35"/>
        <v>276609.13668620848</v>
      </c>
    </row>
    <row r="327" spans="4:9" x14ac:dyDescent="0.25">
      <c r="D327" s="262">
        <f t="shared" si="30"/>
        <v>326</v>
      </c>
      <c r="E327" s="303">
        <f t="shared" si="31"/>
        <v>276609.13668620848</v>
      </c>
      <c r="F327" s="303">
        <f t="shared" si="32"/>
        <v>9222.2386554089917</v>
      </c>
      <c r="G327" s="304">
        <f t="shared" si="33"/>
        <v>6778.8579480141498</v>
      </c>
      <c r="H327" s="303">
        <f t="shared" si="34"/>
        <v>2443.3807073948415</v>
      </c>
      <c r="I327" s="305">
        <f t="shared" si="35"/>
        <v>269830.27873819432</v>
      </c>
    </row>
    <row r="328" spans="4:9" x14ac:dyDescent="0.25">
      <c r="D328" s="262">
        <f t="shared" si="30"/>
        <v>327</v>
      </c>
      <c r="E328" s="303">
        <f t="shared" si="31"/>
        <v>269830.27873819432</v>
      </c>
      <c r="F328" s="303">
        <f t="shared" si="32"/>
        <v>9222.2386554089917</v>
      </c>
      <c r="G328" s="304">
        <f t="shared" si="33"/>
        <v>6838.7378598882751</v>
      </c>
      <c r="H328" s="303">
        <f t="shared" si="34"/>
        <v>2383.5007955207166</v>
      </c>
      <c r="I328" s="305">
        <f t="shared" si="35"/>
        <v>262991.54087830603</v>
      </c>
    </row>
    <row r="329" spans="4:9" x14ac:dyDescent="0.25">
      <c r="D329" s="262">
        <f t="shared" si="30"/>
        <v>328</v>
      </c>
      <c r="E329" s="303">
        <f t="shared" si="31"/>
        <v>262991.54087830603</v>
      </c>
      <c r="F329" s="303">
        <f t="shared" si="32"/>
        <v>9222.2386554089917</v>
      </c>
      <c r="G329" s="304">
        <f t="shared" si="33"/>
        <v>6899.146710983955</v>
      </c>
      <c r="H329" s="303">
        <f t="shared" si="34"/>
        <v>2323.0919444250362</v>
      </c>
      <c r="I329" s="305">
        <f t="shared" si="35"/>
        <v>256092.39416732208</v>
      </c>
    </row>
    <row r="330" spans="4:9" x14ac:dyDescent="0.25">
      <c r="D330" s="262">
        <f t="shared" si="30"/>
        <v>329</v>
      </c>
      <c r="E330" s="303">
        <f t="shared" si="31"/>
        <v>256092.39416732208</v>
      </c>
      <c r="F330" s="303">
        <f t="shared" si="32"/>
        <v>9222.2386554089917</v>
      </c>
      <c r="G330" s="304">
        <f t="shared" si="33"/>
        <v>6960.0891735976465</v>
      </c>
      <c r="H330" s="303">
        <f t="shared" si="34"/>
        <v>2262.1494818113451</v>
      </c>
      <c r="I330" s="305">
        <f t="shared" si="35"/>
        <v>249132.30499372445</v>
      </c>
    </row>
    <row r="331" spans="4:9" x14ac:dyDescent="0.25">
      <c r="D331" s="262">
        <f t="shared" si="30"/>
        <v>330</v>
      </c>
      <c r="E331" s="303">
        <f t="shared" si="31"/>
        <v>249132.30499372445</v>
      </c>
      <c r="F331" s="303">
        <f t="shared" si="32"/>
        <v>9222.2386554089917</v>
      </c>
      <c r="G331" s="304">
        <f t="shared" si="33"/>
        <v>7021.5699612977596</v>
      </c>
      <c r="H331" s="303">
        <f t="shared" si="34"/>
        <v>2200.6686941112325</v>
      </c>
      <c r="I331" s="305">
        <f t="shared" si="35"/>
        <v>242110.73503242669</v>
      </c>
    </row>
    <row r="332" spans="4:9" x14ac:dyDescent="0.25">
      <c r="D332" s="262">
        <f t="shared" si="30"/>
        <v>331</v>
      </c>
      <c r="E332" s="303">
        <f t="shared" si="31"/>
        <v>242110.73503242669</v>
      </c>
      <c r="F332" s="303">
        <f t="shared" si="32"/>
        <v>9222.2386554089917</v>
      </c>
      <c r="G332" s="304">
        <f t="shared" si="33"/>
        <v>7083.5938292892224</v>
      </c>
      <c r="H332" s="303">
        <f t="shared" si="34"/>
        <v>2138.6448261197688</v>
      </c>
      <c r="I332" s="305">
        <f t="shared" si="35"/>
        <v>235027.14120313746</v>
      </c>
    </row>
    <row r="333" spans="4:9" x14ac:dyDescent="0.25">
      <c r="D333" s="262">
        <f t="shared" si="30"/>
        <v>332</v>
      </c>
      <c r="E333" s="303">
        <f t="shared" si="31"/>
        <v>235027.14120313746</v>
      </c>
      <c r="F333" s="303">
        <f t="shared" si="32"/>
        <v>9222.2386554089899</v>
      </c>
      <c r="G333" s="304">
        <f t="shared" si="33"/>
        <v>7146.1655747812765</v>
      </c>
      <c r="H333" s="303">
        <f t="shared" si="34"/>
        <v>2076.0730806277143</v>
      </c>
      <c r="I333" s="305">
        <f t="shared" si="35"/>
        <v>227880.97562835619</v>
      </c>
    </row>
    <row r="334" spans="4:9" x14ac:dyDescent="0.25">
      <c r="D334" s="262">
        <f t="shared" si="30"/>
        <v>333</v>
      </c>
      <c r="E334" s="303">
        <f t="shared" si="31"/>
        <v>227880.97562835619</v>
      </c>
      <c r="F334" s="303">
        <f t="shared" si="32"/>
        <v>9222.2386554089917</v>
      </c>
      <c r="G334" s="304">
        <f t="shared" si="33"/>
        <v>7209.2900373585117</v>
      </c>
      <c r="H334" s="303">
        <f t="shared" si="34"/>
        <v>2012.9486180504798</v>
      </c>
      <c r="I334" s="305">
        <f t="shared" si="35"/>
        <v>220671.68559099769</v>
      </c>
    </row>
    <row r="335" spans="4:9" x14ac:dyDescent="0.25">
      <c r="D335" s="262">
        <f t="shared" si="30"/>
        <v>334</v>
      </c>
      <c r="E335" s="303">
        <f t="shared" si="31"/>
        <v>220671.68559099769</v>
      </c>
      <c r="F335" s="303">
        <f t="shared" si="32"/>
        <v>9222.2386554089917</v>
      </c>
      <c r="G335" s="304">
        <f t="shared" si="33"/>
        <v>7272.9720993551791</v>
      </c>
      <c r="H335" s="303">
        <f t="shared" si="34"/>
        <v>1949.2665560538128</v>
      </c>
      <c r="I335" s="305">
        <f t="shared" si="35"/>
        <v>213398.7134916425</v>
      </c>
    </row>
    <row r="336" spans="4:9" x14ac:dyDescent="0.25">
      <c r="D336" s="262">
        <f t="shared" si="30"/>
        <v>335</v>
      </c>
      <c r="E336" s="303">
        <f t="shared" si="31"/>
        <v>213398.7134916425</v>
      </c>
      <c r="F336" s="303">
        <f t="shared" si="32"/>
        <v>9222.2386554089917</v>
      </c>
      <c r="G336" s="304">
        <f t="shared" si="33"/>
        <v>7337.2166862328168</v>
      </c>
      <c r="H336" s="303">
        <f t="shared" si="34"/>
        <v>1885.0219691761752</v>
      </c>
      <c r="I336" s="305">
        <f t="shared" si="35"/>
        <v>206061.49680540967</v>
      </c>
    </row>
    <row r="337" spans="4:9" x14ac:dyDescent="0.25">
      <c r="D337" s="262">
        <f t="shared" si="30"/>
        <v>336</v>
      </c>
      <c r="E337" s="303">
        <f t="shared" si="31"/>
        <v>206061.49680540967</v>
      </c>
      <c r="F337" s="303">
        <f t="shared" si="32"/>
        <v>9222.2386554089899</v>
      </c>
      <c r="G337" s="304">
        <f t="shared" si="33"/>
        <v>7402.0287669612053</v>
      </c>
      <c r="H337" s="303">
        <f t="shared" si="34"/>
        <v>1820.2098884477855</v>
      </c>
      <c r="I337" s="305">
        <f t="shared" si="35"/>
        <v>198659.46803844845</v>
      </c>
    </row>
    <row r="338" spans="4:9" x14ac:dyDescent="0.25">
      <c r="D338" s="262">
        <f t="shared" si="30"/>
        <v>337</v>
      </c>
      <c r="E338" s="303">
        <f t="shared" si="31"/>
        <v>198659.46803844845</v>
      </c>
      <c r="F338" s="303">
        <f t="shared" si="32"/>
        <v>9222.2386554089917</v>
      </c>
      <c r="G338" s="304">
        <f t="shared" si="33"/>
        <v>7467.4133544026972</v>
      </c>
      <c r="H338" s="303">
        <f t="shared" si="34"/>
        <v>1754.8253010062945</v>
      </c>
      <c r="I338" s="305">
        <f t="shared" si="35"/>
        <v>191192.05468404575</v>
      </c>
    </row>
    <row r="339" spans="4:9" x14ac:dyDescent="0.25">
      <c r="D339" s="262">
        <f t="shared" si="30"/>
        <v>338</v>
      </c>
      <c r="E339" s="303">
        <f t="shared" si="31"/>
        <v>191192.05468404575</v>
      </c>
      <c r="F339" s="303">
        <f t="shared" si="32"/>
        <v>9222.2386554089917</v>
      </c>
      <c r="G339" s="304">
        <f t="shared" si="33"/>
        <v>7533.3755056999216</v>
      </c>
      <c r="H339" s="303">
        <f t="shared" si="34"/>
        <v>1688.8631497090707</v>
      </c>
      <c r="I339" s="305">
        <f t="shared" si="35"/>
        <v>183658.67917834583</v>
      </c>
    </row>
    <row r="340" spans="4:9" x14ac:dyDescent="0.25">
      <c r="D340" s="262">
        <f t="shared" si="30"/>
        <v>339</v>
      </c>
      <c r="E340" s="303">
        <f t="shared" si="31"/>
        <v>183658.67917834583</v>
      </c>
      <c r="F340" s="303">
        <f t="shared" si="32"/>
        <v>9222.2386554089899</v>
      </c>
      <c r="G340" s="304">
        <f t="shared" si="33"/>
        <v>7599.920322666936</v>
      </c>
      <c r="H340" s="303">
        <f t="shared" si="34"/>
        <v>1622.3183327420547</v>
      </c>
      <c r="I340" s="305">
        <f t="shared" si="35"/>
        <v>176058.7588556789</v>
      </c>
    </row>
    <row r="341" spans="4:9" x14ac:dyDescent="0.25">
      <c r="D341" s="262">
        <f t="shared" si="30"/>
        <v>340</v>
      </c>
      <c r="E341" s="303">
        <f t="shared" si="31"/>
        <v>176058.7588556789</v>
      </c>
      <c r="F341" s="303">
        <f t="shared" si="32"/>
        <v>9222.2386554089917</v>
      </c>
      <c r="G341" s="304">
        <f t="shared" si="33"/>
        <v>7667.052952183828</v>
      </c>
      <c r="H341" s="303">
        <f t="shared" si="34"/>
        <v>1555.1857032251635</v>
      </c>
      <c r="I341" s="305">
        <f t="shared" si="35"/>
        <v>168391.70590349508</v>
      </c>
    </row>
    <row r="342" spans="4:9" x14ac:dyDescent="0.25">
      <c r="D342" s="262">
        <f t="shared" si="30"/>
        <v>341</v>
      </c>
      <c r="E342" s="303">
        <f t="shared" si="31"/>
        <v>168391.70590349508</v>
      </c>
      <c r="F342" s="303">
        <f t="shared" si="32"/>
        <v>9222.2386554089917</v>
      </c>
      <c r="G342" s="304">
        <f t="shared" si="33"/>
        <v>7734.7785865947853</v>
      </c>
      <c r="H342" s="303">
        <f t="shared" si="34"/>
        <v>1487.4600688142064</v>
      </c>
      <c r="I342" s="305">
        <f t="shared" si="35"/>
        <v>160656.92731690028</v>
      </c>
    </row>
    <row r="343" spans="4:9" x14ac:dyDescent="0.25">
      <c r="D343" s="262">
        <f t="shared" si="30"/>
        <v>342</v>
      </c>
      <c r="E343" s="303">
        <f t="shared" si="31"/>
        <v>160656.92731690028</v>
      </c>
      <c r="F343" s="303">
        <f t="shared" si="32"/>
        <v>9222.2386554089917</v>
      </c>
      <c r="G343" s="304">
        <f t="shared" si="33"/>
        <v>7803.1024641097056</v>
      </c>
      <c r="H343" s="303">
        <f t="shared" si="34"/>
        <v>1419.1361912992859</v>
      </c>
      <c r="I343" s="305">
        <f t="shared" si="35"/>
        <v>152853.82485279057</v>
      </c>
    </row>
    <row r="344" spans="4:9" x14ac:dyDescent="0.25">
      <c r="D344" s="262">
        <f t="shared" si="30"/>
        <v>343</v>
      </c>
      <c r="E344" s="303">
        <f t="shared" si="31"/>
        <v>152853.82485279057</v>
      </c>
      <c r="F344" s="303">
        <f t="shared" si="32"/>
        <v>9222.2386554089917</v>
      </c>
      <c r="G344" s="304">
        <f t="shared" si="33"/>
        <v>7872.0298692093411</v>
      </c>
      <c r="H344" s="303">
        <f t="shared" si="34"/>
        <v>1350.2087861996499</v>
      </c>
      <c r="I344" s="305">
        <f t="shared" si="35"/>
        <v>144981.79498358123</v>
      </c>
    </row>
    <row r="345" spans="4:9" x14ac:dyDescent="0.25">
      <c r="D345" s="262">
        <f t="shared" si="30"/>
        <v>344</v>
      </c>
      <c r="E345" s="303">
        <f t="shared" si="31"/>
        <v>144981.79498358123</v>
      </c>
      <c r="F345" s="303">
        <f t="shared" si="32"/>
        <v>9222.2386554089917</v>
      </c>
      <c r="G345" s="304">
        <f t="shared" si="33"/>
        <v>7941.5661330540242</v>
      </c>
      <c r="H345" s="303">
        <f t="shared" si="34"/>
        <v>1280.6725223549674</v>
      </c>
      <c r="I345" s="305">
        <f t="shared" si="35"/>
        <v>137040.2288505272</v>
      </c>
    </row>
    <row r="346" spans="4:9" x14ac:dyDescent="0.25">
      <c r="D346" s="262">
        <f t="shared" si="30"/>
        <v>345</v>
      </c>
      <c r="E346" s="303">
        <f t="shared" si="31"/>
        <v>137040.2288505272</v>
      </c>
      <c r="F346" s="303">
        <f t="shared" si="32"/>
        <v>9222.2386554089899</v>
      </c>
      <c r="G346" s="304">
        <f t="shared" si="33"/>
        <v>8011.7166338960005</v>
      </c>
      <c r="H346" s="303">
        <f t="shared" si="34"/>
        <v>1210.5220215129902</v>
      </c>
      <c r="I346" s="305">
        <f t="shared" si="35"/>
        <v>129028.51221663121</v>
      </c>
    </row>
    <row r="347" spans="4:9" x14ac:dyDescent="0.25">
      <c r="D347" s="262">
        <f t="shared" si="30"/>
        <v>346</v>
      </c>
      <c r="E347" s="303">
        <f t="shared" si="31"/>
        <v>129028.51221663121</v>
      </c>
      <c r="F347" s="303">
        <f t="shared" si="32"/>
        <v>9222.2386554089917</v>
      </c>
      <c r="G347" s="304">
        <f t="shared" si="33"/>
        <v>8082.4867974954159</v>
      </c>
      <c r="H347" s="303">
        <f t="shared" si="34"/>
        <v>1139.7518579135756</v>
      </c>
      <c r="I347" s="305">
        <f t="shared" si="35"/>
        <v>120946.0254191358</v>
      </c>
    </row>
    <row r="348" spans="4:9" x14ac:dyDescent="0.25">
      <c r="D348" s="262">
        <f t="shared" si="30"/>
        <v>347</v>
      </c>
      <c r="E348" s="303">
        <f t="shared" si="31"/>
        <v>120946.0254191358</v>
      </c>
      <c r="F348" s="303">
        <f t="shared" si="32"/>
        <v>9222.2386554089917</v>
      </c>
      <c r="G348" s="304">
        <f t="shared" si="33"/>
        <v>8153.8820975399585</v>
      </c>
      <c r="H348" s="303">
        <f t="shared" si="34"/>
        <v>1068.3565578690329</v>
      </c>
      <c r="I348" s="305">
        <f t="shared" si="35"/>
        <v>112792.14332159584</v>
      </c>
    </row>
    <row r="349" spans="4:9" x14ac:dyDescent="0.25">
      <c r="D349" s="262">
        <f t="shared" si="30"/>
        <v>348</v>
      </c>
      <c r="E349" s="303">
        <f t="shared" si="31"/>
        <v>112792.14332159584</v>
      </c>
      <c r="F349" s="303">
        <f t="shared" si="32"/>
        <v>9222.2386554089917</v>
      </c>
      <c r="G349" s="304">
        <f t="shared" si="33"/>
        <v>8225.9080560682287</v>
      </c>
      <c r="H349" s="303">
        <f t="shared" si="34"/>
        <v>996.33059934076311</v>
      </c>
      <c r="I349" s="305">
        <f t="shared" si="35"/>
        <v>104566.2352655276</v>
      </c>
    </row>
    <row r="350" spans="4:9" x14ac:dyDescent="0.25">
      <c r="D350" s="262">
        <f t="shared" si="30"/>
        <v>349</v>
      </c>
      <c r="E350" s="303">
        <f t="shared" si="31"/>
        <v>104566.2352655276</v>
      </c>
      <c r="F350" s="303">
        <f t="shared" si="32"/>
        <v>9222.2386554089917</v>
      </c>
      <c r="G350" s="304">
        <f t="shared" si="33"/>
        <v>8298.570243896831</v>
      </c>
      <c r="H350" s="303">
        <f t="shared" si="34"/>
        <v>923.66841151216056</v>
      </c>
      <c r="I350" s="305">
        <f t="shared" si="35"/>
        <v>96267.665021630775</v>
      </c>
    </row>
    <row r="351" spans="4:9" x14ac:dyDescent="0.25">
      <c r="D351" s="262">
        <f t="shared" si="30"/>
        <v>350</v>
      </c>
      <c r="E351" s="303">
        <f t="shared" si="31"/>
        <v>96267.665021630775</v>
      </c>
      <c r="F351" s="303">
        <f t="shared" si="32"/>
        <v>9222.2386554089899</v>
      </c>
      <c r="G351" s="304">
        <f t="shared" si="33"/>
        <v>8371.8742810512522</v>
      </c>
      <c r="H351" s="303">
        <f t="shared" si="34"/>
        <v>850.36437435773848</v>
      </c>
      <c r="I351" s="305">
        <f t="shared" si="35"/>
        <v>87895.790740579527</v>
      </c>
    </row>
    <row r="352" spans="4:9" x14ac:dyDescent="0.25">
      <c r="D352" s="262">
        <f t="shared" si="30"/>
        <v>351</v>
      </c>
      <c r="E352" s="303">
        <f t="shared" si="31"/>
        <v>87895.790740579527</v>
      </c>
      <c r="F352" s="303">
        <f t="shared" si="32"/>
        <v>9222.2386554089935</v>
      </c>
      <c r="G352" s="304">
        <f t="shared" si="33"/>
        <v>8445.8258372005403</v>
      </c>
      <c r="H352" s="303">
        <f t="shared" si="34"/>
        <v>776.41281820845245</v>
      </c>
      <c r="I352" s="305">
        <f t="shared" si="35"/>
        <v>79449.96490337899</v>
      </c>
    </row>
    <row r="353" spans="4:9" x14ac:dyDescent="0.25">
      <c r="D353" s="262">
        <f t="shared" si="30"/>
        <v>352</v>
      </c>
      <c r="E353" s="303">
        <f t="shared" si="31"/>
        <v>79449.96490337899</v>
      </c>
      <c r="F353" s="303">
        <f t="shared" si="32"/>
        <v>9222.2386554089899</v>
      </c>
      <c r="G353" s="304">
        <f t="shared" si="33"/>
        <v>8520.4306320958094</v>
      </c>
      <c r="H353" s="303">
        <f t="shared" si="34"/>
        <v>701.80802331318102</v>
      </c>
      <c r="I353" s="305">
        <f t="shared" si="35"/>
        <v>70929.534271283177</v>
      </c>
    </row>
    <row r="354" spans="4:9" x14ac:dyDescent="0.25">
      <c r="D354" s="262">
        <f t="shared" si="30"/>
        <v>353</v>
      </c>
      <c r="E354" s="303">
        <f t="shared" si="31"/>
        <v>70929.534271283177</v>
      </c>
      <c r="F354" s="303">
        <f t="shared" si="32"/>
        <v>9222.2386554089917</v>
      </c>
      <c r="G354" s="304">
        <f t="shared" si="33"/>
        <v>8595.6944360126563</v>
      </c>
      <c r="H354" s="303">
        <f t="shared" si="34"/>
        <v>626.54421939633471</v>
      </c>
      <c r="I354" s="305">
        <f t="shared" si="35"/>
        <v>62333.839835270519</v>
      </c>
    </row>
    <row r="355" spans="4:9" x14ac:dyDescent="0.25">
      <c r="D355" s="262">
        <f t="shared" si="30"/>
        <v>354</v>
      </c>
      <c r="E355" s="303">
        <f t="shared" si="31"/>
        <v>62333.839835270519</v>
      </c>
      <c r="F355" s="303">
        <f t="shared" si="32"/>
        <v>9222.2386554089899</v>
      </c>
      <c r="G355" s="304">
        <f t="shared" si="33"/>
        <v>8671.6230701974346</v>
      </c>
      <c r="H355" s="303">
        <f t="shared" si="34"/>
        <v>550.61558521155621</v>
      </c>
      <c r="I355" s="305">
        <f t="shared" si="35"/>
        <v>53662.216765073084</v>
      </c>
    </row>
    <row r="356" spans="4:9" x14ac:dyDescent="0.25">
      <c r="D356" s="262">
        <f t="shared" si="30"/>
        <v>355</v>
      </c>
      <c r="E356" s="303">
        <f t="shared" si="31"/>
        <v>53662.216765073084</v>
      </c>
      <c r="F356" s="303">
        <f t="shared" si="32"/>
        <v>9222.2386554089917</v>
      </c>
      <c r="G356" s="304">
        <f t="shared" si="33"/>
        <v>8748.222407317513</v>
      </c>
      <c r="H356" s="303">
        <f t="shared" si="34"/>
        <v>474.01624809147893</v>
      </c>
      <c r="I356" s="305">
        <f t="shared" si="35"/>
        <v>44913.994357755568</v>
      </c>
    </row>
    <row r="357" spans="4:9" x14ac:dyDescent="0.25">
      <c r="D357" s="262">
        <f t="shared" si="30"/>
        <v>356</v>
      </c>
      <c r="E357" s="303">
        <f t="shared" si="31"/>
        <v>44913.994357755568</v>
      </c>
      <c r="F357" s="303">
        <f t="shared" si="32"/>
        <v>9222.2386554089917</v>
      </c>
      <c r="G357" s="304">
        <f t="shared" si="33"/>
        <v>8825.4983719154843</v>
      </c>
      <c r="H357" s="303">
        <f t="shared" si="34"/>
        <v>396.74028349350755</v>
      </c>
      <c r="I357" s="305">
        <f t="shared" si="35"/>
        <v>36088.495985840083</v>
      </c>
    </row>
    <row r="358" spans="4:9" x14ac:dyDescent="0.25">
      <c r="D358" s="262">
        <f t="shared" si="30"/>
        <v>357</v>
      </c>
      <c r="E358" s="303">
        <f t="shared" si="31"/>
        <v>36088.495985840083</v>
      </c>
      <c r="F358" s="303">
        <f t="shared" si="32"/>
        <v>9222.2386554089917</v>
      </c>
      <c r="G358" s="304">
        <f t="shared" si="33"/>
        <v>8903.4569408674051</v>
      </c>
      <c r="H358" s="303">
        <f t="shared" si="34"/>
        <v>318.78171454158741</v>
      </c>
      <c r="I358" s="305">
        <f t="shared" si="35"/>
        <v>27185.039044972676</v>
      </c>
    </row>
    <row r="359" spans="4:9" x14ac:dyDescent="0.25">
      <c r="D359" s="262">
        <f t="shared" si="30"/>
        <v>358</v>
      </c>
      <c r="E359" s="303">
        <f t="shared" si="31"/>
        <v>27185.039044972676</v>
      </c>
      <c r="F359" s="303">
        <f t="shared" si="32"/>
        <v>9222.2386554089917</v>
      </c>
      <c r="G359" s="304">
        <f t="shared" si="33"/>
        <v>8982.1041438450666</v>
      </c>
      <c r="H359" s="303">
        <f t="shared" si="34"/>
        <v>240.13451156392532</v>
      </c>
      <c r="I359" s="305">
        <f t="shared" si="35"/>
        <v>18202.93490112761</v>
      </c>
    </row>
    <row r="360" spans="4:9" x14ac:dyDescent="0.25">
      <c r="D360" s="262">
        <f t="shared" si="30"/>
        <v>359</v>
      </c>
      <c r="E360" s="303">
        <f t="shared" si="31"/>
        <v>18202.93490112761</v>
      </c>
      <c r="F360" s="303">
        <f t="shared" si="32"/>
        <v>9222.2386554089899</v>
      </c>
      <c r="G360" s="304">
        <f t="shared" si="33"/>
        <v>9061.4460637823631</v>
      </c>
      <c r="H360" s="303">
        <f t="shared" si="34"/>
        <v>160.79259162662723</v>
      </c>
      <c r="I360" s="305">
        <f t="shared" si="35"/>
        <v>9141.4888373452468</v>
      </c>
    </row>
    <row r="361" spans="4:9" x14ac:dyDescent="0.25">
      <c r="D361" s="266">
        <f t="shared" si="30"/>
        <v>360</v>
      </c>
      <c r="E361" s="306">
        <f t="shared" si="31"/>
        <v>9141.4888373452468</v>
      </c>
      <c r="F361" s="306">
        <f t="shared" si="32"/>
        <v>9222.2386554089917</v>
      </c>
      <c r="G361" s="307">
        <f t="shared" si="33"/>
        <v>9141.4888373457761</v>
      </c>
      <c r="H361" s="306">
        <f t="shared" si="34"/>
        <v>80.749818063216352</v>
      </c>
      <c r="I361" s="308">
        <f t="shared" si="35"/>
        <v>-5.2932591643184423E-10</v>
      </c>
    </row>
    <row r="363" spans="4:9" x14ac:dyDescent="0.25">
      <c r="D363" s="267"/>
    </row>
    <row r="364" spans="4:9" x14ac:dyDescent="0.25">
      <c r="D364" s="267"/>
    </row>
    <row r="365" spans="4:9" x14ac:dyDescent="0.25">
      <c r="D365" s="267"/>
    </row>
    <row r="366" spans="4:9" x14ac:dyDescent="0.25">
      <c r="D366" s="267"/>
    </row>
    <row r="367" spans="4:9" x14ac:dyDescent="0.25">
      <c r="D367" s="267"/>
    </row>
    <row r="368" spans="4:9" x14ac:dyDescent="0.25">
      <c r="D368" s="267"/>
    </row>
    <row r="369" spans="4:4" x14ac:dyDescent="0.25">
      <c r="D369" s="267"/>
    </row>
    <row r="370" spans="4:4" x14ac:dyDescent="0.25">
      <c r="D370" s="267"/>
    </row>
    <row r="371" spans="4:4" x14ac:dyDescent="0.25">
      <c r="D371" s="267"/>
    </row>
    <row r="372" spans="4:4" x14ac:dyDescent="0.25">
      <c r="D372" s="267"/>
    </row>
    <row r="373" spans="4:4" x14ac:dyDescent="0.25">
      <c r="D373" s="267"/>
    </row>
    <row r="374" spans="4:4" x14ac:dyDescent="0.25">
      <c r="D374" s="267"/>
    </row>
    <row r="375" spans="4:4" x14ac:dyDescent="0.25">
      <c r="D375" s="267"/>
    </row>
    <row r="376" spans="4:4" x14ac:dyDescent="0.25">
      <c r="D376" s="267"/>
    </row>
    <row r="377" spans="4:4" x14ac:dyDescent="0.25">
      <c r="D377" s="267"/>
    </row>
    <row r="378" spans="4:4" x14ac:dyDescent="0.25">
      <c r="D378" s="267"/>
    </row>
    <row r="379" spans="4:4" x14ac:dyDescent="0.25">
      <c r="D379" s="267"/>
    </row>
    <row r="380" spans="4:4" x14ac:dyDescent="0.25">
      <c r="D380" s="267"/>
    </row>
    <row r="381" spans="4:4" x14ac:dyDescent="0.25">
      <c r="D381" s="267"/>
    </row>
    <row r="382" spans="4:4" x14ac:dyDescent="0.25">
      <c r="D382" s="267"/>
    </row>
    <row r="383" spans="4:4" x14ac:dyDescent="0.25">
      <c r="D383" s="267"/>
    </row>
    <row r="384" spans="4:4" x14ac:dyDescent="0.25">
      <c r="D384" s="267"/>
    </row>
    <row r="385" spans="4:4" x14ac:dyDescent="0.25">
      <c r="D385" s="267"/>
    </row>
    <row r="386" spans="4:4" x14ac:dyDescent="0.25">
      <c r="D386" s="267"/>
    </row>
    <row r="387" spans="4:4" x14ac:dyDescent="0.25">
      <c r="D387" s="267"/>
    </row>
    <row r="388" spans="4:4" x14ac:dyDescent="0.25">
      <c r="D388" s="267"/>
    </row>
    <row r="389" spans="4:4" x14ac:dyDescent="0.25">
      <c r="D389" s="267"/>
    </row>
    <row r="390" spans="4:4" x14ac:dyDescent="0.25">
      <c r="D390" s="267"/>
    </row>
    <row r="391" spans="4:4" x14ac:dyDescent="0.25">
      <c r="D391" s="267"/>
    </row>
    <row r="392" spans="4:4" x14ac:dyDescent="0.25">
      <c r="D392" s="267"/>
    </row>
    <row r="393" spans="4:4" x14ac:dyDescent="0.25">
      <c r="D393" s="267"/>
    </row>
    <row r="394" spans="4:4" x14ac:dyDescent="0.25">
      <c r="D394" s="267"/>
    </row>
    <row r="395" spans="4:4" x14ac:dyDescent="0.25">
      <c r="D395" s="267"/>
    </row>
    <row r="396" spans="4:4" x14ac:dyDescent="0.25">
      <c r="D396" s="267"/>
    </row>
    <row r="397" spans="4:4" x14ac:dyDescent="0.25">
      <c r="D397" s="267"/>
    </row>
    <row r="398" spans="4:4" x14ac:dyDescent="0.25">
      <c r="D398" s="267"/>
    </row>
    <row r="399" spans="4:4" x14ac:dyDescent="0.25">
      <c r="D399" s="267"/>
    </row>
    <row r="400" spans="4:4" x14ac:dyDescent="0.25">
      <c r="D400" s="267"/>
    </row>
    <row r="401" spans="4:4" x14ac:dyDescent="0.25">
      <c r="D401" s="267"/>
    </row>
    <row r="402" spans="4:4" x14ac:dyDescent="0.25">
      <c r="D402" s="267"/>
    </row>
    <row r="403" spans="4:4" x14ac:dyDescent="0.25">
      <c r="D403" s="267"/>
    </row>
    <row r="404" spans="4:4" x14ac:dyDescent="0.25">
      <c r="D404" s="267"/>
    </row>
    <row r="405" spans="4:4" x14ac:dyDescent="0.25">
      <c r="D405" s="267"/>
    </row>
    <row r="406" spans="4:4" x14ac:dyDescent="0.25">
      <c r="D406" s="267"/>
    </row>
    <row r="407" spans="4:4" x14ac:dyDescent="0.25">
      <c r="D407" s="267"/>
    </row>
    <row r="408" spans="4:4" x14ac:dyDescent="0.25">
      <c r="D408" s="267"/>
    </row>
    <row r="409" spans="4:4" x14ac:dyDescent="0.25">
      <c r="D409" s="267"/>
    </row>
    <row r="410" spans="4:4" x14ac:dyDescent="0.25">
      <c r="D410" s="267"/>
    </row>
    <row r="411" spans="4:4" x14ac:dyDescent="0.25">
      <c r="D411" s="267"/>
    </row>
    <row r="412" spans="4:4" x14ac:dyDescent="0.25">
      <c r="D412" s="267"/>
    </row>
    <row r="413" spans="4:4" x14ac:dyDescent="0.25">
      <c r="D413" s="267"/>
    </row>
    <row r="414" spans="4:4" x14ac:dyDescent="0.25">
      <c r="D414" s="267"/>
    </row>
    <row r="415" spans="4:4" x14ac:dyDescent="0.25">
      <c r="D415" s="267"/>
    </row>
    <row r="416" spans="4:4" x14ac:dyDescent="0.25">
      <c r="D416" s="267"/>
    </row>
    <row r="417" spans="4:4" x14ac:dyDescent="0.25">
      <c r="D417" s="267"/>
    </row>
    <row r="418" spans="4:4" x14ac:dyDescent="0.25">
      <c r="D418" s="267"/>
    </row>
    <row r="419" spans="4:4" x14ac:dyDescent="0.25">
      <c r="D419" s="267"/>
    </row>
    <row r="420" spans="4:4" x14ac:dyDescent="0.25">
      <c r="D420" s="267"/>
    </row>
    <row r="421" spans="4:4" x14ac:dyDescent="0.25">
      <c r="D421" s="267"/>
    </row>
    <row r="422" spans="4:4" x14ac:dyDescent="0.25">
      <c r="D422" s="267"/>
    </row>
    <row r="423" spans="4:4" x14ac:dyDescent="0.25">
      <c r="D423" s="267"/>
    </row>
    <row r="424" spans="4:4" x14ac:dyDescent="0.25">
      <c r="D424" s="267"/>
    </row>
    <row r="425" spans="4:4" x14ac:dyDescent="0.25">
      <c r="D425" s="267"/>
    </row>
    <row r="426" spans="4:4" x14ac:dyDescent="0.25">
      <c r="D426" s="267"/>
    </row>
    <row r="427" spans="4:4" x14ac:dyDescent="0.25">
      <c r="D427" s="267"/>
    </row>
    <row r="428" spans="4:4" x14ac:dyDescent="0.25">
      <c r="D428" s="267"/>
    </row>
    <row r="429" spans="4:4" x14ac:dyDescent="0.25">
      <c r="D429" s="267"/>
    </row>
    <row r="430" spans="4:4" x14ac:dyDescent="0.25">
      <c r="D430" s="267"/>
    </row>
    <row r="431" spans="4:4" x14ac:dyDescent="0.25">
      <c r="D431" s="267"/>
    </row>
    <row r="432" spans="4:4" x14ac:dyDescent="0.25">
      <c r="D432" s="267"/>
    </row>
    <row r="433" spans="4:4" x14ac:dyDescent="0.25">
      <c r="D433" s="267"/>
    </row>
    <row r="434" spans="4:4" x14ac:dyDescent="0.25">
      <c r="D434" s="267"/>
    </row>
    <row r="435" spans="4:4" x14ac:dyDescent="0.25">
      <c r="D435" s="267"/>
    </row>
    <row r="436" spans="4:4" x14ac:dyDescent="0.25">
      <c r="D436" s="267"/>
    </row>
    <row r="437" spans="4:4" x14ac:dyDescent="0.25">
      <c r="D437" s="267"/>
    </row>
    <row r="438" spans="4:4" x14ac:dyDescent="0.25">
      <c r="D438" s="267"/>
    </row>
    <row r="439" spans="4:4" x14ac:dyDescent="0.25">
      <c r="D439" s="267"/>
    </row>
    <row r="440" spans="4:4" x14ac:dyDescent="0.25">
      <c r="D440" s="267"/>
    </row>
    <row r="441" spans="4:4" x14ac:dyDescent="0.25">
      <c r="D441" s="267"/>
    </row>
    <row r="442" spans="4:4" x14ac:dyDescent="0.25">
      <c r="D442" s="267"/>
    </row>
    <row r="443" spans="4:4" x14ac:dyDescent="0.25">
      <c r="D443" s="267"/>
    </row>
    <row r="444" spans="4:4" x14ac:dyDescent="0.25">
      <c r="D444" s="267"/>
    </row>
    <row r="445" spans="4:4" x14ac:dyDescent="0.25">
      <c r="D445" s="267"/>
    </row>
    <row r="446" spans="4:4" x14ac:dyDescent="0.25">
      <c r="D446" s="267"/>
    </row>
    <row r="447" spans="4:4" x14ac:dyDescent="0.25">
      <c r="D447" s="267"/>
    </row>
    <row r="448" spans="4:4" x14ac:dyDescent="0.25">
      <c r="D448" s="267"/>
    </row>
    <row r="449" spans="4:4" x14ac:dyDescent="0.25">
      <c r="D449" s="267"/>
    </row>
    <row r="450" spans="4:4" x14ac:dyDescent="0.25">
      <c r="D450" s="267"/>
    </row>
    <row r="451" spans="4:4" x14ac:dyDescent="0.25">
      <c r="D451" s="267"/>
    </row>
    <row r="452" spans="4:4" x14ac:dyDescent="0.25">
      <c r="D452" s="267"/>
    </row>
    <row r="453" spans="4:4" x14ac:dyDescent="0.25">
      <c r="D453" s="267"/>
    </row>
    <row r="454" spans="4:4" x14ac:dyDescent="0.25">
      <c r="D454" s="267"/>
    </row>
    <row r="455" spans="4:4" x14ac:dyDescent="0.25">
      <c r="D455" s="267"/>
    </row>
    <row r="456" spans="4:4" x14ac:dyDescent="0.25">
      <c r="D456" s="267"/>
    </row>
    <row r="457" spans="4:4" x14ac:dyDescent="0.25">
      <c r="D457" s="267"/>
    </row>
  </sheetData>
  <pageMargins left="0.75" right="0.75" top="1" bottom="1" header="0.5" footer="0.5"/>
  <pageSetup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7"/>
  <sheetViews>
    <sheetView showGridLines="0" zoomScale="120" zoomScaleNormal="120" zoomScalePageLayoutView="150" workbookViewId="0"/>
  </sheetViews>
  <sheetFormatPr defaultColWidth="10.875" defaultRowHeight="13.5" x14ac:dyDescent="0.25"/>
  <cols>
    <col min="1" max="1" width="17.375" style="23" bestFit="1" customWidth="1"/>
    <col min="2" max="2" width="11.25" style="23" bestFit="1" customWidth="1"/>
    <col min="3" max="3" width="8.875" style="23" bestFit="1" customWidth="1"/>
    <col min="4" max="4" width="7.125" style="23" bestFit="1" customWidth="1"/>
    <col min="5" max="5" width="17.5" style="23" bestFit="1" customWidth="1"/>
    <col min="6" max="6" width="13.5" style="23" bestFit="1" customWidth="1"/>
    <col min="7" max="7" width="16.875" style="23" bestFit="1" customWidth="1"/>
    <col min="8" max="8" width="16" style="23" bestFit="1" customWidth="1"/>
    <col min="9" max="9" width="14.75" style="23" bestFit="1" customWidth="1"/>
    <col min="10" max="16384" width="10.875" style="23"/>
  </cols>
  <sheetData>
    <row r="1" spans="1:9" x14ac:dyDescent="0.25">
      <c r="A1" s="115" t="s">
        <v>91</v>
      </c>
      <c r="B1" s="41"/>
      <c r="D1" s="97" t="s">
        <v>94</v>
      </c>
      <c r="E1" s="174" t="s">
        <v>95</v>
      </c>
      <c r="F1" s="174" t="s">
        <v>170</v>
      </c>
      <c r="G1" s="174" t="s">
        <v>96</v>
      </c>
      <c r="H1" s="174" t="s">
        <v>97</v>
      </c>
      <c r="I1" s="165" t="s">
        <v>98</v>
      </c>
    </row>
    <row r="2" spans="1:9" x14ac:dyDescent="0.25">
      <c r="A2" s="117" t="s">
        <v>18</v>
      </c>
      <c r="B2" s="261">
        <v>5000000</v>
      </c>
      <c r="D2" s="262">
        <v>1</v>
      </c>
      <c r="E2" s="303">
        <f>B2</f>
        <v>5000000</v>
      </c>
      <c r="F2" s="303">
        <f>SUM(G2:H2)</f>
        <v>24596.994553974182</v>
      </c>
      <c r="G2" s="304">
        <f>IF(AND(D2&gt;$B$4,D2/12&lt;=$B$6),-PPMT($B$5/12,D2-$B$4,$B$3*12,$B$2,0,0),0)</f>
        <v>6888.6612206408472</v>
      </c>
      <c r="H2" s="303">
        <f>E2*$B$5/12</f>
        <v>17708.333333333336</v>
      </c>
      <c r="I2" s="305">
        <f>E2-G2</f>
        <v>4993111.3387793591</v>
      </c>
    </row>
    <row r="3" spans="1:9" x14ac:dyDescent="0.25">
      <c r="A3" s="123" t="s">
        <v>12</v>
      </c>
      <c r="B3" s="263">
        <v>30</v>
      </c>
      <c r="D3" s="262">
        <f>D2+1</f>
        <v>2</v>
      </c>
      <c r="E3" s="303">
        <f>IF(D3/12&gt;$B$6,0,I2)</f>
        <v>4993111.3387793591</v>
      </c>
      <c r="F3" s="303">
        <f>SUM(G3:H3)</f>
        <v>24596.994553974182</v>
      </c>
      <c r="G3" s="304">
        <f>IF(AND(D3&gt;$B$4,D3/12&lt;=$B$6),-PPMT($B$5/12,D3-$B$4,$B$3*12,$B$2,0,0),0)</f>
        <v>6913.0585624639498</v>
      </c>
      <c r="H3" s="303">
        <f>E3*$B$5/12</f>
        <v>17683.935991510232</v>
      </c>
      <c r="I3" s="305">
        <f>E3-G3</f>
        <v>4986198.280216895</v>
      </c>
    </row>
    <row r="4" spans="1:9" x14ac:dyDescent="0.25">
      <c r="A4" s="123" t="s">
        <v>92</v>
      </c>
      <c r="B4" s="264">
        <v>0</v>
      </c>
      <c r="D4" s="262">
        <f t="shared" ref="D4:D67" si="0">D3+1</f>
        <v>3</v>
      </c>
      <c r="E4" s="303">
        <f t="shared" ref="E4:E67" si="1">IF(D4/12&gt;$B$6,0,I3)</f>
        <v>4986198.280216895</v>
      </c>
      <c r="F4" s="303">
        <f t="shared" ref="F4:F67" si="2">SUM(G4:H4)</f>
        <v>24596.994553974178</v>
      </c>
      <c r="G4" s="304">
        <f t="shared" ref="G4:G67" si="3">IF(AND(D4&gt;$B$4,D4/12&lt;=$B$6),-PPMT($B$5/12,D4-$B$4,$B$3*12,$B$2,0,0),0)</f>
        <v>6937.5423115393432</v>
      </c>
      <c r="H4" s="303">
        <f t="shared" ref="H4:H67" si="4">E4*$B$5/12</f>
        <v>17659.452242434836</v>
      </c>
      <c r="I4" s="305">
        <f t="shared" ref="I4:I67" si="5">E4-G4</f>
        <v>4979260.7379053561</v>
      </c>
    </row>
    <row r="5" spans="1:9" x14ac:dyDescent="0.25">
      <c r="A5" s="123" t="s">
        <v>93</v>
      </c>
      <c r="B5" s="265">
        <v>4.2500000000000003E-2</v>
      </c>
      <c r="D5" s="262">
        <f>D4+1</f>
        <v>4</v>
      </c>
      <c r="E5" s="303">
        <f t="shared" si="1"/>
        <v>4979260.7379053561</v>
      </c>
      <c r="F5" s="303">
        <f t="shared" si="2"/>
        <v>24596.994553974178</v>
      </c>
      <c r="G5" s="304">
        <f t="shared" si="3"/>
        <v>6962.1127738927107</v>
      </c>
      <c r="H5" s="303">
        <f t="shared" si="4"/>
        <v>17634.881780081469</v>
      </c>
      <c r="I5" s="305">
        <f t="shared" si="5"/>
        <v>4972298.6251314636</v>
      </c>
    </row>
    <row r="6" spans="1:9" x14ac:dyDescent="0.25">
      <c r="A6" s="123" t="s">
        <v>45</v>
      </c>
      <c r="B6" s="263">
        <v>10</v>
      </c>
      <c r="D6" s="262">
        <f>D5+1</f>
        <v>5</v>
      </c>
      <c r="E6" s="303">
        <f t="shared" si="1"/>
        <v>4972298.6251314636</v>
      </c>
      <c r="F6" s="303">
        <f t="shared" si="2"/>
        <v>24596.994553974186</v>
      </c>
      <c r="G6" s="304">
        <f t="shared" si="3"/>
        <v>6986.770256633582</v>
      </c>
      <c r="H6" s="303">
        <f t="shared" si="4"/>
        <v>17610.224297340603</v>
      </c>
      <c r="I6" s="305">
        <f t="shared" si="5"/>
        <v>4965311.8548748298</v>
      </c>
    </row>
    <row r="7" spans="1:9" x14ac:dyDescent="0.25">
      <c r="A7" s="128" t="s">
        <v>99</v>
      </c>
      <c r="B7" s="309">
        <f>VLOOKUP(B6*12,D2:I361,6,0)</f>
        <v>3972161.7219984075</v>
      </c>
      <c r="D7" s="262">
        <f t="shared" si="0"/>
        <v>6</v>
      </c>
      <c r="E7" s="303">
        <f t="shared" si="1"/>
        <v>4965311.8548748298</v>
      </c>
      <c r="F7" s="303">
        <f t="shared" si="2"/>
        <v>24596.994553974182</v>
      </c>
      <c r="G7" s="304">
        <f t="shared" si="3"/>
        <v>7011.5150679591579</v>
      </c>
      <c r="H7" s="303">
        <f t="shared" si="4"/>
        <v>17585.479486015025</v>
      </c>
      <c r="I7" s="305">
        <f t="shared" si="5"/>
        <v>4958300.3398068706</v>
      </c>
    </row>
    <row r="8" spans="1:9" x14ac:dyDescent="0.25">
      <c r="D8" s="262">
        <f t="shared" si="0"/>
        <v>7</v>
      </c>
      <c r="E8" s="303">
        <f t="shared" si="1"/>
        <v>4958300.3398068706</v>
      </c>
      <c r="F8" s="303">
        <f t="shared" si="2"/>
        <v>24596.994553974182</v>
      </c>
      <c r="G8" s="304">
        <f t="shared" si="3"/>
        <v>7036.3475171581804</v>
      </c>
      <c r="H8" s="303">
        <f t="shared" si="4"/>
        <v>17560.647036816001</v>
      </c>
      <c r="I8" s="305">
        <f t="shared" si="5"/>
        <v>4951263.9922897127</v>
      </c>
    </row>
    <row r="9" spans="1:9" x14ac:dyDescent="0.25">
      <c r="D9" s="262">
        <f t="shared" si="0"/>
        <v>8</v>
      </c>
      <c r="E9" s="303">
        <f t="shared" si="1"/>
        <v>4951263.9922897127</v>
      </c>
      <c r="F9" s="303">
        <f t="shared" si="2"/>
        <v>24596.994553974182</v>
      </c>
      <c r="G9" s="304">
        <f t="shared" si="3"/>
        <v>7061.2679146147811</v>
      </c>
      <c r="H9" s="303">
        <f t="shared" si="4"/>
        <v>17535.7266393594</v>
      </c>
      <c r="I9" s="305">
        <f t="shared" si="5"/>
        <v>4944202.724375098</v>
      </c>
    </row>
    <row r="10" spans="1:9" x14ac:dyDescent="0.25">
      <c r="D10" s="262">
        <f t="shared" si="0"/>
        <v>9</v>
      </c>
      <c r="E10" s="303">
        <f t="shared" si="1"/>
        <v>4944202.724375098</v>
      </c>
      <c r="F10" s="303">
        <f t="shared" si="2"/>
        <v>24596.994553974186</v>
      </c>
      <c r="G10" s="304">
        <f t="shared" si="3"/>
        <v>7086.2765718123765</v>
      </c>
      <c r="H10" s="303">
        <f t="shared" si="4"/>
        <v>17510.717982161808</v>
      </c>
      <c r="I10" s="305">
        <f t="shared" si="5"/>
        <v>4937116.4478032859</v>
      </c>
    </row>
    <row r="11" spans="1:9" x14ac:dyDescent="0.25">
      <c r="D11" s="262">
        <f t="shared" si="0"/>
        <v>10</v>
      </c>
      <c r="E11" s="303">
        <f t="shared" si="1"/>
        <v>4937116.4478032859</v>
      </c>
      <c r="F11" s="303">
        <f t="shared" si="2"/>
        <v>24596.994553974182</v>
      </c>
      <c r="G11" s="304">
        <f t="shared" si="3"/>
        <v>7111.373801337545</v>
      </c>
      <c r="H11" s="303">
        <f t="shared" si="4"/>
        <v>17485.620752636638</v>
      </c>
      <c r="I11" s="305">
        <f t="shared" si="5"/>
        <v>4930005.0740019483</v>
      </c>
    </row>
    <row r="12" spans="1:9" x14ac:dyDescent="0.25">
      <c r="D12" s="262">
        <f t="shared" si="0"/>
        <v>11</v>
      </c>
      <c r="E12" s="303">
        <f t="shared" si="1"/>
        <v>4930005.0740019483</v>
      </c>
      <c r="F12" s="303">
        <f t="shared" si="2"/>
        <v>24596.994553974186</v>
      </c>
      <c r="G12" s="304">
        <f t="shared" si="3"/>
        <v>7136.5599168839499</v>
      </c>
      <c r="H12" s="303">
        <f t="shared" si="4"/>
        <v>17460.434637090235</v>
      </c>
      <c r="I12" s="305">
        <f t="shared" si="5"/>
        <v>4922868.5140850646</v>
      </c>
    </row>
    <row r="13" spans="1:9" x14ac:dyDescent="0.25">
      <c r="D13" s="262">
        <f t="shared" si="0"/>
        <v>12</v>
      </c>
      <c r="E13" s="303">
        <f t="shared" si="1"/>
        <v>4922868.5140850646</v>
      </c>
      <c r="F13" s="303">
        <f t="shared" si="2"/>
        <v>24596.994553974186</v>
      </c>
      <c r="G13" s="304">
        <f t="shared" si="3"/>
        <v>7161.8352332562463</v>
      </c>
      <c r="H13" s="303">
        <f t="shared" si="4"/>
        <v>17435.159320717939</v>
      </c>
      <c r="I13" s="305">
        <f t="shared" si="5"/>
        <v>4915706.6788518084</v>
      </c>
    </row>
    <row r="14" spans="1:9" x14ac:dyDescent="0.25">
      <c r="D14" s="262">
        <f t="shared" si="0"/>
        <v>13</v>
      </c>
      <c r="E14" s="303">
        <f t="shared" si="1"/>
        <v>4915706.6788518084</v>
      </c>
      <c r="F14" s="303">
        <f t="shared" si="2"/>
        <v>24596.994553974186</v>
      </c>
      <c r="G14" s="304">
        <f t="shared" si="3"/>
        <v>7187.20006637403</v>
      </c>
      <c r="H14" s="303">
        <f t="shared" si="4"/>
        <v>17409.794487600157</v>
      </c>
      <c r="I14" s="305">
        <f t="shared" si="5"/>
        <v>4908519.4787854347</v>
      </c>
    </row>
    <row r="15" spans="1:9" x14ac:dyDescent="0.25">
      <c r="D15" s="262">
        <f t="shared" si="0"/>
        <v>14</v>
      </c>
      <c r="E15" s="303">
        <f t="shared" si="1"/>
        <v>4908519.4787854347</v>
      </c>
      <c r="F15" s="303">
        <f t="shared" si="2"/>
        <v>24596.994553974186</v>
      </c>
      <c r="G15" s="304">
        <f t="shared" si="3"/>
        <v>7212.6547332757691</v>
      </c>
      <c r="H15" s="303">
        <f t="shared" si="4"/>
        <v>17384.339820698417</v>
      </c>
      <c r="I15" s="305">
        <f t="shared" si="5"/>
        <v>4901306.8240521587</v>
      </c>
    </row>
    <row r="16" spans="1:9" x14ac:dyDescent="0.25">
      <c r="D16" s="262">
        <f t="shared" si="0"/>
        <v>15</v>
      </c>
      <c r="E16" s="303">
        <f t="shared" si="1"/>
        <v>4901306.8240521587</v>
      </c>
      <c r="F16" s="303">
        <f t="shared" si="2"/>
        <v>24596.994553974189</v>
      </c>
      <c r="G16" s="304">
        <f t="shared" si="3"/>
        <v>7238.1995521227891</v>
      </c>
      <c r="H16" s="303">
        <f t="shared" si="4"/>
        <v>17358.795001851398</v>
      </c>
      <c r="I16" s="305">
        <f t="shared" si="5"/>
        <v>4894068.6245000362</v>
      </c>
    </row>
    <row r="17" spans="4:9" x14ac:dyDescent="0.25">
      <c r="D17" s="262">
        <f t="shared" si="0"/>
        <v>16</v>
      </c>
      <c r="E17" s="303">
        <f t="shared" si="1"/>
        <v>4894068.6245000362</v>
      </c>
      <c r="F17" s="303">
        <f t="shared" si="2"/>
        <v>24596.994553974189</v>
      </c>
      <c r="G17" s="304">
        <f t="shared" si="3"/>
        <v>7263.8348422032241</v>
      </c>
      <c r="H17" s="303">
        <f t="shared" si="4"/>
        <v>17333.159711770964</v>
      </c>
      <c r="I17" s="305">
        <f t="shared" si="5"/>
        <v>4886804.7896578331</v>
      </c>
    </row>
    <row r="18" spans="4:9" x14ac:dyDescent="0.25">
      <c r="D18" s="262">
        <f t="shared" si="0"/>
        <v>17</v>
      </c>
      <c r="E18" s="303">
        <f t="shared" si="1"/>
        <v>4886804.7896578331</v>
      </c>
      <c r="F18" s="303">
        <f t="shared" si="2"/>
        <v>24596.994553974186</v>
      </c>
      <c r="G18" s="304">
        <f t="shared" si="3"/>
        <v>7289.5609239360274</v>
      </c>
      <c r="H18" s="303">
        <f t="shared" si="4"/>
        <v>17307.433630038158</v>
      </c>
      <c r="I18" s="305">
        <f t="shared" si="5"/>
        <v>4879515.2287338972</v>
      </c>
    </row>
    <row r="19" spans="4:9" x14ac:dyDescent="0.25">
      <c r="D19" s="262">
        <f t="shared" si="0"/>
        <v>18</v>
      </c>
      <c r="E19" s="303">
        <f t="shared" si="1"/>
        <v>4879515.2287338972</v>
      </c>
      <c r="F19" s="303">
        <f t="shared" si="2"/>
        <v>24596.994553974189</v>
      </c>
      <c r="G19" s="304">
        <f t="shared" si="3"/>
        <v>7315.3781188749663</v>
      </c>
      <c r="H19" s="303">
        <f t="shared" si="4"/>
        <v>17281.616435099222</v>
      </c>
      <c r="I19" s="305">
        <f t="shared" si="5"/>
        <v>4872199.8506150227</v>
      </c>
    </row>
    <row r="20" spans="4:9" x14ac:dyDescent="0.25">
      <c r="D20" s="262">
        <f t="shared" si="0"/>
        <v>19</v>
      </c>
      <c r="E20" s="303">
        <f t="shared" si="1"/>
        <v>4872199.8506150227</v>
      </c>
      <c r="F20" s="303">
        <f t="shared" si="2"/>
        <v>24596.994553974189</v>
      </c>
      <c r="G20" s="304">
        <f t="shared" si="3"/>
        <v>7341.2867497126499</v>
      </c>
      <c r="H20" s="303">
        <f t="shared" si="4"/>
        <v>17255.707804261539</v>
      </c>
      <c r="I20" s="305">
        <f t="shared" si="5"/>
        <v>4864858.5638653105</v>
      </c>
    </row>
    <row r="21" spans="4:9" x14ac:dyDescent="0.25">
      <c r="D21" s="262">
        <f t="shared" si="0"/>
        <v>20</v>
      </c>
      <c r="E21" s="303">
        <f t="shared" si="1"/>
        <v>4864858.5638653105</v>
      </c>
      <c r="F21" s="303">
        <f t="shared" si="2"/>
        <v>24596.994553974193</v>
      </c>
      <c r="G21" s="304">
        <f t="shared" si="3"/>
        <v>7367.2871402845494</v>
      </c>
      <c r="H21" s="303">
        <f t="shared" si="4"/>
        <v>17229.707413689644</v>
      </c>
      <c r="I21" s="305">
        <f t="shared" si="5"/>
        <v>4857491.2767250258</v>
      </c>
    </row>
    <row r="22" spans="4:9" x14ac:dyDescent="0.25">
      <c r="D22" s="262">
        <f t="shared" si="0"/>
        <v>21</v>
      </c>
      <c r="E22" s="303">
        <f t="shared" si="1"/>
        <v>4857491.2767250258</v>
      </c>
      <c r="F22" s="303">
        <f t="shared" si="2"/>
        <v>24596.994553974189</v>
      </c>
      <c r="G22" s="304">
        <f t="shared" si="3"/>
        <v>7393.3796155730561</v>
      </c>
      <c r="H22" s="303">
        <f t="shared" si="4"/>
        <v>17203.614938401133</v>
      </c>
      <c r="I22" s="305">
        <f t="shared" si="5"/>
        <v>4850097.8971094526</v>
      </c>
    </row>
    <row r="23" spans="4:9" x14ac:dyDescent="0.25">
      <c r="D23" s="262">
        <f t="shared" si="0"/>
        <v>22</v>
      </c>
      <c r="E23" s="303">
        <f t="shared" si="1"/>
        <v>4850097.8971094526</v>
      </c>
      <c r="F23" s="303">
        <f t="shared" si="2"/>
        <v>24596.994553974193</v>
      </c>
      <c r="G23" s="304">
        <f t="shared" si="3"/>
        <v>7419.5645017115448</v>
      </c>
      <c r="H23" s="303">
        <f t="shared" si="4"/>
        <v>17177.430052262647</v>
      </c>
      <c r="I23" s="305">
        <f t="shared" si="5"/>
        <v>4842678.3326077415</v>
      </c>
    </row>
    <row r="24" spans="4:9" x14ac:dyDescent="0.25">
      <c r="D24" s="262">
        <f t="shared" si="0"/>
        <v>23</v>
      </c>
      <c r="E24" s="303">
        <f t="shared" si="1"/>
        <v>4842678.3326077415</v>
      </c>
      <c r="F24" s="303">
        <f t="shared" si="2"/>
        <v>24596.994553974189</v>
      </c>
      <c r="G24" s="304">
        <f t="shared" si="3"/>
        <v>7445.842125988439</v>
      </c>
      <c r="H24" s="303">
        <f t="shared" si="4"/>
        <v>17151.152427985751</v>
      </c>
      <c r="I24" s="305">
        <f t="shared" si="5"/>
        <v>4835232.4904817529</v>
      </c>
    </row>
    <row r="25" spans="4:9" x14ac:dyDescent="0.25">
      <c r="D25" s="262">
        <f t="shared" si="0"/>
        <v>24</v>
      </c>
      <c r="E25" s="303">
        <f t="shared" si="1"/>
        <v>4835232.4904817529</v>
      </c>
      <c r="F25" s="303">
        <f t="shared" si="2"/>
        <v>24596.994553974193</v>
      </c>
      <c r="G25" s="304">
        <f t="shared" si="3"/>
        <v>7472.2128168513163</v>
      </c>
      <c r="H25" s="303">
        <f t="shared" si="4"/>
        <v>17124.781737122878</v>
      </c>
      <c r="I25" s="305">
        <f t="shared" si="5"/>
        <v>4827760.2776649017</v>
      </c>
    </row>
    <row r="26" spans="4:9" x14ac:dyDescent="0.25">
      <c r="D26" s="262">
        <f t="shared" si="0"/>
        <v>25</v>
      </c>
      <c r="E26" s="303">
        <f t="shared" si="1"/>
        <v>4827760.2776649017</v>
      </c>
      <c r="F26" s="303">
        <f t="shared" si="2"/>
        <v>24596.994553974189</v>
      </c>
      <c r="G26" s="304">
        <f t="shared" si="3"/>
        <v>7498.6769039109959</v>
      </c>
      <c r="H26" s="303">
        <f t="shared" si="4"/>
        <v>17098.317650063193</v>
      </c>
      <c r="I26" s="305">
        <f t="shared" si="5"/>
        <v>4820261.6007609908</v>
      </c>
    </row>
    <row r="27" spans="4:9" x14ac:dyDescent="0.25">
      <c r="D27" s="262">
        <f t="shared" si="0"/>
        <v>26</v>
      </c>
      <c r="E27" s="303">
        <f t="shared" si="1"/>
        <v>4820261.6007609908</v>
      </c>
      <c r="F27" s="303">
        <f t="shared" si="2"/>
        <v>24596.994553974189</v>
      </c>
      <c r="G27" s="304">
        <f t="shared" si="3"/>
        <v>7525.2347179456829</v>
      </c>
      <c r="H27" s="303">
        <f t="shared" si="4"/>
        <v>17071.759836028508</v>
      </c>
      <c r="I27" s="305">
        <f t="shared" si="5"/>
        <v>4812736.3660430452</v>
      </c>
    </row>
    <row r="28" spans="4:9" x14ac:dyDescent="0.25">
      <c r="D28" s="262">
        <f t="shared" si="0"/>
        <v>27</v>
      </c>
      <c r="E28" s="303">
        <f t="shared" si="1"/>
        <v>4812736.3660430452</v>
      </c>
      <c r="F28" s="303">
        <f t="shared" si="2"/>
        <v>24596.994553974193</v>
      </c>
      <c r="G28" s="304">
        <f t="shared" si="3"/>
        <v>7551.8865909050728</v>
      </c>
      <c r="H28" s="303">
        <f t="shared" si="4"/>
        <v>17045.10796306912</v>
      </c>
      <c r="I28" s="305">
        <f t="shared" si="5"/>
        <v>4805184.4794521397</v>
      </c>
    </row>
    <row r="29" spans="4:9" x14ac:dyDescent="0.25">
      <c r="D29" s="262">
        <f t="shared" si="0"/>
        <v>28</v>
      </c>
      <c r="E29" s="303">
        <f t="shared" si="1"/>
        <v>4805184.4794521397</v>
      </c>
      <c r="F29" s="303">
        <f t="shared" si="2"/>
        <v>24596.994553974193</v>
      </c>
      <c r="G29" s="304">
        <f t="shared" si="3"/>
        <v>7578.6328559145295</v>
      </c>
      <c r="H29" s="303">
        <f t="shared" si="4"/>
        <v>17018.361698059663</v>
      </c>
      <c r="I29" s="305">
        <f t="shared" si="5"/>
        <v>4797605.8465962252</v>
      </c>
    </row>
    <row r="30" spans="4:9" x14ac:dyDescent="0.25">
      <c r="D30" s="262">
        <f t="shared" si="0"/>
        <v>29</v>
      </c>
      <c r="E30" s="303">
        <f t="shared" si="1"/>
        <v>4797605.8465962252</v>
      </c>
      <c r="F30" s="303">
        <f t="shared" si="2"/>
        <v>24596.994553974189</v>
      </c>
      <c r="G30" s="304">
        <f t="shared" si="3"/>
        <v>7605.4738472792242</v>
      </c>
      <c r="H30" s="303">
        <f t="shared" si="4"/>
        <v>16991.520706694966</v>
      </c>
      <c r="I30" s="305">
        <f t="shared" si="5"/>
        <v>4790000.3727489458</v>
      </c>
    </row>
    <row r="31" spans="4:9" x14ac:dyDescent="0.25">
      <c r="D31" s="262">
        <f t="shared" si="0"/>
        <v>30</v>
      </c>
      <c r="E31" s="303">
        <f t="shared" si="1"/>
        <v>4790000.3727489458</v>
      </c>
      <c r="F31" s="303">
        <f t="shared" si="2"/>
        <v>24596.994553974189</v>
      </c>
      <c r="G31" s="304">
        <f t="shared" si="3"/>
        <v>7632.4099004883401</v>
      </c>
      <c r="H31" s="303">
        <f t="shared" si="4"/>
        <v>16964.58465348585</v>
      </c>
      <c r="I31" s="305">
        <f t="shared" si="5"/>
        <v>4782367.9628484575</v>
      </c>
    </row>
    <row r="32" spans="4:9" x14ac:dyDescent="0.25">
      <c r="D32" s="262">
        <f t="shared" si="0"/>
        <v>31</v>
      </c>
      <c r="E32" s="303">
        <f t="shared" si="1"/>
        <v>4782367.9628484575</v>
      </c>
      <c r="F32" s="303">
        <f t="shared" si="2"/>
        <v>24596.994553974189</v>
      </c>
      <c r="G32" s="304">
        <f t="shared" si="3"/>
        <v>7659.4413522192344</v>
      </c>
      <c r="H32" s="303">
        <f t="shared" si="4"/>
        <v>16937.553201754956</v>
      </c>
      <c r="I32" s="305">
        <f t="shared" si="5"/>
        <v>4774708.5214962382</v>
      </c>
    </row>
    <row r="33" spans="4:9" x14ac:dyDescent="0.25">
      <c r="D33" s="262">
        <f t="shared" si="0"/>
        <v>32</v>
      </c>
      <c r="E33" s="303">
        <f t="shared" si="1"/>
        <v>4774708.5214962382</v>
      </c>
      <c r="F33" s="303">
        <f t="shared" si="2"/>
        <v>24596.994553974193</v>
      </c>
      <c r="G33" s="304">
        <f t="shared" si="3"/>
        <v>7686.5685403416792</v>
      </c>
      <c r="H33" s="303">
        <f t="shared" si="4"/>
        <v>16910.426013632514</v>
      </c>
      <c r="I33" s="305">
        <f t="shared" si="5"/>
        <v>4767021.952955897</v>
      </c>
    </row>
    <row r="34" spans="4:9" x14ac:dyDescent="0.25">
      <c r="D34" s="262">
        <f t="shared" si="0"/>
        <v>33</v>
      </c>
      <c r="E34" s="303">
        <f t="shared" si="1"/>
        <v>4767021.952955897</v>
      </c>
      <c r="F34" s="303">
        <f t="shared" si="2"/>
        <v>24596.994553974189</v>
      </c>
      <c r="G34" s="304">
        <f t="shared" si="3"/>
        <v>7713.7918039220549</v>
      </c>
      <c r="H34" s="303">
        <f t="shared" si="4"/>
        <v>16883.202750052136</v>
      </c>
      <c r="I34" s="305">
        <f t="shared" si="5"/>
        <v>4759308.1611519745</v>
      </c>
    </row>
    <row r="35" spans="4:9" x14ac:dyDescent="0.25">
      <c r="D35" s="262">
        <f t="shared" si="0"/>
        <v>34</v>
      </c>
      <c r="E35" s="303">
        <f t="shared" si="1"/>
        <v>4759308.1611519745</v>
      </c>
      <c r="F35" s="303">
        <f t="shared" si="2"/>
        <v>24596.994553974193</v>
      </c>
      <c r="G35" s="304">
        <f t="shared" si="3"/>
        <v>7741.1114832276135</v>
      </c>
      <c r="H35" s="303">
        <f t="shared" si="4"/>
        <v>16855.883070746579</v>
      </c>
      <c r="I35" s="305">
        <f t="shared" si="5"/>
        <v>4751567.049668747</v>
      </c>
    </row>
    <row r="36" spans="4:9" x14ac:dyDescent="0.25">
      <c r="D36" s="262">
        <f t="shared" si="0"/>
        <v>35</v>
      </c>
      <c r="E36" s="303">
        <f t="shared" si="1"/>
        <v>4751567.049668747</v>
      </c>
      <c r="F36" s="303">
        <f t="shared" si="2"/>
        <v>24596.994553974189</v>
      </c>
      <c r="G36" s="304">
        <f t="shared" si="3"/>
        <v>7768.5279197307109</v>
      </c>
      <c r="H36" s="303">
        <f t="shared" si="4"/>
        <v>16828.466634243479</v>
      </c>
      <c r="I36" s="305">
        <f t="shared" si="5"/>
        <v>4743798.5217490159</v>
      </c>
    </row>
    <row r="37" spans="4:9" x14ac:dyDescent="0.25">
      <c r="D37" s="262">
        <f t="shared" si="0"/>
        <v>36</v>
      </c>
      <c r="E37" s="303">
        <f t="shared" si="1"/>
        <v>4743798.5217490159</v>
      </c>
      <c r="F37" s="303">
        <f t="shared" si="2"/>
        <v>24596.994553974189</v>
      </c>
      <c r="G37" s="304">
        <f t="shared" si="3"/>
        <v>7796.0414561130901</v>
      </c>
      <c r="H37" s="303">
        <f t="shared" si="4"/>
        <v>16800.9530978611</v>
      </c>
      <c r="I37" s="305">
        <f t="shared" si="5"/>
        <v>4736002.4802929033</v>
      </c>
    </row>
    <row r="38" spans="4:9" x14ac:dyDescent="0.25">
      <c r="D38" s="262">
        <f t="shared" si="0"/>
        <v>37</v>
      </c>
      <c r="E38" s="303">
        <f t="shared" si="1"/>
        <v>4736002.4802929033</v>
      </c>
      <c r="F38" s="303">
        <f t="shared" si="2"/>
        <v>24596.994553974189</v>
      </c>
      <c r="G38" s="304">
        <f t="shared" si="3"/>
        <v>7823.6524362701575</v>
      </c>
      <c r="H38" s="303">
        <f t="shared" si="4"/>
        <v>16773.342117704033</v>
      </c>
      <c r="I38" s="305">
        <f t="shared" si="5"/>
        <v>4728178.8278566329</v>
      </c>
    </row>
    <row r="39" spans="4:9" x14ac:dyDescent="0.25">
      <c r="D39" s="262">
        <f t="shared" si="0"/>
        <v>38</v>
      </c>
      <c r="E39" s="303">
        <f t="shared" si="1"/>
        <v>4728178.8278566329</v>
      </c>
      <c r="F39" s="303">
        <f t="shared" si="2"/>
        <v>24596.994553974193</v>
      </c>
      <c r="G39" s="304">
        <f t="shared" si="3"/>
        <v>7851.3612053152819</v>
      </c>
      <c r="H39" s="303">
        <f t="shared" si="4"/>
        <v>16745.63334865891</v>
      </c>
      <c r="I39" s="305">
        <f t="shared" si="5"/>
        <v>4720327.4666513177</v>
      </c>
    </row>
    <row r="40" spans="4:9" x14ac:dyDescent="0.25">
      <c r="D40" s="262">
        <f t="shared" si="0"/>
        <v>39</v>
      </c>
      <c r="E40" s="303">
        <f t="shared" si="1"/>
        <v>4720327.4666513177</v>
      </c>
      <c r="F40" s="303">
        <f t="shared" si="2"/>
        <v>24596.994553974189</v>
      </c>
      <c r="G40" s="304">
        <f t="shared" si="3"/>
        <v>7879.168109584105</v>
      </c>
      <c r="H40" s="303">
        <f t="shared" si="4"/>
        <v>16717.826444390084</v>
      </c>
      <c r="I40" s="305">
        <f t="shared" si="5"/>
        <v>4712448.298541734</v>
      </c>
    </row>
    <row r="41" spans="4:9" x14ac:dyDescent="0.25">
      <c r="D41" s="262">
        <f t="shared" si="0"/>
        <v>40</v>
      </c>
      <c r="E41" s="303">
        <f t="shared" si="1"/>
        <v>4712448.298541734</v>
      </c>
      <c r="F41" s="303">
        <f t="shared" si="2"/>
        <v>24596.994553974193</v>
      </c>
      <c r="G41" s="304">
        <f t="shared" si="3"/>
        <v>7907.0734966388836</v>
      </c>
      <c r="H41" s="303">
        <f t="shared" si="4"/>
        <v>16689.921057335308</v>
      </c>
      <c r="I41" s="305">
        <f t="shared" si="5"/>
        <v>4704541.2250450952</v>
      </c>
    </row>
    <row r="42" spans="4:9" x14ac:dyDescent="0.25">
      <c r="D42" s="262">
        <f t="shared" si="0"/>
        <v>41</v>
      </c>
      <c r="E42" s="303">
        <f t="shared" si="1"/>
        <v>4704541.2250450952</v>
      </c>
      <c r="F42" s="303">
        <f t="shared" si="2"/>
        <v>24596.994553974193</v>
      </c>
      <c r="G42" s="304">
        <f t="shared" si="3"/>
        <v>7935.0777152728124</v>
      </c>
      <c r="H42" s="303">
        <f t="shared" si="4"/>
        <v>16661.916838701381</v>
      </c>
      <c r="I42" s="305">
        <f t="shared" si="5"/>
        <v>4696606.1473298222</v>
      </c>
    </row>
    <row r="43" spans="4:9" x14ac:dyDescent="0.25">
      <c r="D43" s="262">
        <f t="shared" si="0"/>
        <v>42</v>
      </c>
      <c r="E43" s="303">
        <f t="shared" si="1"/>
        <v>4696606.1473298222</v>
      </c>
      <c r="F43" s="303">
        <f t="shared" si="2"/>
        <v>24596.994553974189</v>
      </c>
      <c r="G43" s="304">
        <f t="shared" si="3"/>
        <v>7963.1811155144042</v>
      </c>
      <c r="H43" s="303">
        <f t="shared" si="4"/>
        <v>16633.813438459787</v>
      </c>
      <c r="I43" s="305">
        <f t="shared" si="5"/>
        <v>4688642.9662143076</v>
      </c>
    </row>
    <row r="44" spans="4:9" x14ac:dyDescent="0.25">
      <c r="D44" s="262">
        <f t="shared" si="0"/>
        <v>43</v>
      </c>
      <c r="E44" s="303">
        <f t="shared" si="1"/>
        <v>4688642.9662143076</v>
      </c>
      <c r="F44" s="303">
        <f t="shared" si="2"/>
        <v>24596.994553974189</v>
      </c>
      <c r="G44" s="304">
        <f t="shared" si="3"/>
        <v>7991.3840486318486</v>
      </c>
      <c r="H44" s="303">
        <f t="shared" si="4"/>
        <v>16605.610505342342</v>
      </c>
      <c r="I44" s="305">
        <f t="shared" si="5"/>
        <v>4680651.5821656762</v>
      </c>
    </row>
    <row r="45" spans="4:9" x14ac:dyDescent="0.25">
      <c r="D45" s="262">
        <f t="shared" si="0"/>
        <v>44</v>
      </c>
      <c r="E45" s="303">
        <f t="shared" si="1"/>
        <v>4680651.5821656762</v>
      </c>
      <c r="F45" s="303">
        <f t="shared" si="2"/>
        <v>24596.994553974197</v>
      </c>
      <c r="G45" s="304">
        <f t="shared" si="3"/>
        <v>8019.6868671374232</v>
      </c>
      <c r="H45" s="303">
        <f t="shared" si="4"/>
        <v>16577.307686836772</v>
      </c>
      <c r="I45" s="305">
        <f t="shared" si="5"/>
        <v>4672631.8952985387</v>
      </c>
    </row>
    <row r="46" spans="4:9" x14ac:dyDescent="0.25">
      <c r="D46" s="262">
        <f t="shared" si="0"/>
        <v>45</v>
      </c>
      <c r="E46" s="303">
        <f t="shared" si="1"/>
        <v>4672631.8952985387</v>
      </c>
      <c r="F46" s="303">
        <f t="shared" si="2"/>
        <v>24596.994553974189</v>
      </c>
      <c r="G46" s="304">
        <f t="shared" si="3"/>
        <v>8048.0899247918651</v>
      </c>
      <c r="H46" s="303">
        <f t="shared" si="4"/>
        <v>16548.904629182325</v>
      </c>
      <c r="I46" s="305">
        <f t="shared" si="5"/>
        <v>4664583.8053737469</v>
      </c>
    </row>
    <row r="47" spans="4:9" x14ac:dyDescent="0.25">
      <c r="D47" s="262">
        <f t="shared" si="0"/>
        <v>46</v>
      </c>
      <c r="E47" s="303">
        <f t="shared" si="1"/>
        <v>4664583.8053737469</v>
      </c>
      <c r="F47" s="303">
        <f t="shared" si="2"/>
        <v>24596.994553974193</v>
      </c>
      <c r="G47" s="304">
        <f t="shared" si="3"/>
        <v>8076.5935766088378</v>
      </c>
      <c r="H47" s="303">
        <f t="shared" si="4"/>
        <v>16520.400977365356</v>
      </c>
      <c r="I47" s="305">
        <f t="shared" si="5"/>
        <v>4656507.2117971377</v>
      </c>
    </row>
    <row r="48" spans="4:9" x14ac:dyDescent="0.25">
      <c r="D48" s="262">
        <f t="shared" si="0"/>
        <v>47</v>
      </c>
      <c r="E48" s="303">
        <f t="shared" si="1"/>
        <v>4656507.2117971377</v>
      </c>
      <c r="F48" s="303">
        <f t="shared" si="2"/>
        <v>24596.994553974189</v>
      </c>
      <c r="G48" s="304">
        <f t="shared" si="3"/>
        <v>8105.1981788593266</v>
      </c>
      <c r="H48" s="303">
        <f t="shared" si="4"/>
        <v>16491.796375114864</v>
      </c>
      <c r="I48" s="305">
        <f t="shared" si="5"/>
        <v>4648402.0136182783</v>
      </c>
    </row>
    <row r="49" spans="4:9" x14ac:dyDescent="0.25">
      <c r="D49" s="262">
        <f t="shared" si="0"/>
        <v>48</v>
      </c>
      <c r="E49" s="303">
        <f t="shared" si="1"/>
        <v>4648402.0136182783</v>
      </c>
      <c r="F49" s="303">
        <f t="shared" si="2"/>
        <v>24596.994553974189</v>
      </c>
      <c r="G49" s="304">
        <f t="shared" si="3"/>
        <v>8133.9040890761207</v>
      </c>
      <c r="H49" s="303">
        <f t="shared" si="4"/>
        <v>16463.090464898069</v>
      </c>
      <c r="I49" s="305">
        <f t="shared" si="5"/>
        <v>4640268.1095292019</v>
      </c>
    </row>
    <row r="50" spans="4:9" x14ac:dyDescent="0.25">
      <c r="D50" s="262">
        <f t="shared" si="0"/>
        <v>49</v>
      </c>
      <c r="E50" s="303">
        <f t="shared" si="1"/>
        <v>4640268.1095292019</v>
      </c>
      <c r="F50" s="303">
        <f t="shared" si="2"/>
        <v>24596.994553974189</v>
      </c>
      <c r="G50" s="304">
        <f t="shared" si="3"/>
        <v>8162.7116660582651</v>
      </c>
      <c r="H50" s="303">
        <f t="shared" si="4"/>
        <v>16434.282887915924</v>
      </c>
      <c r="I50" s="305">
        <f t="shared" si="5"/>
        <v>4632105.3978631441</v>
      </c>
    </row>
    <row r="51" spans="4:9" x14ac:dyDescent="0.25">
      <c r="D51" s="262">
        <f t="shared" si="0"/>
        <v>50</v>
      </c>
      <c r="E51" s="303">
        <f t="shared" si="1"/>
        <v>4632105.3978631441</v>
      </c>
      <c r="F51" s="303">
        <f t="shared" si="2"/>
        <v>24596.994553974193</v>
      </c>
      <c r="G51" s="304">
        <f t="shared" si="3"/>
        <v>8191.6212698755562</v>
      </c>
      <c r="H51" s="303">
        <f t="shared" si="4"/>
        <v>16405.373284098638</v>
      </c>
      <c r="I51" s="305">
        <f t="shared" si="5"/>
        <v>4623913.7765932688</v>
      </c>
    </row>
    <row r="52" spans="4:9" x14ac:dyDescent="0.25">
      <c r="D52" s="262">
        <f t="shared" si="0"/>
        <v>51</v>
      </c>
      <c r="E52" s="303">
        <f t="shared" si="1"/>
        <v>4623913.7765932688</v>
      </c>
      <c r="F52" s="303">
        <f t="shared" si="2"/>
        <v>24596.994553974189</v>
      </c>
      <c r="G52" s="304">
        <f t="shared" si="3"/>
        <v>8220.6332618730303</v>
      </c>
      <c r="H52" s="303">
        <f t="shared" si="4"/>
        <v>16376.361292101161</v>
      </c>
      <c r="I52" s="305">
        <f t="shared" si="5"/>
        <v>4615693.1433313955</v>
      </c>
    </row>
    <row r="53" spans="4:9" x14ac:dyDescent="0.25">
      <c r="D53" s="262">
        <f t="shared" si="0"/>
        <v>52</v>
      </c>
      <c r="E53" s="303">
        <f t="shared" si="1"/>
        <v>4615693.1433313955</v>
      </c>
      <c r="F53" s="303">
        <f t="shared" si="2"/>
        <v>24596.994553974193</v>
      </c>
      <c r="G53" s="304">
        <f t="shared" si="3"/>
        <v>8249.748004675499</v>
      </c>
      <c r="H53" s="303">
        <f t="shared" si="4"/>
        <v>16347.246549298694</v>
      </c>
      <c r="I53" s="305">
        <f t="shared" si="5"/>
        <v>4607443.3953267196</v>
      </c>
    </row>
    <row r="54" spans="4:9" x14ac:dyDescent="0.25">
      <c r="D54" s="262">
        <f t="shared" si="0"/>
        <v>53</v>
      </c>
      <c r="E54" s="303">
        <f t="shared" si="1"/>
        <v>4607443.3953267196</v>
      </c>
      <c r="F54" s="303">
        <f t="shared" si="2"/>
        <v>24596.994553974189</v>
      </c>
      <c r="G54" s="304">
        <f t="shared" si="3"/>
        <v>8278.9658621920571</v>
      </c>
      <c r="H54" s="303">
        <f t="shared" si="4"/>
        <v>16318.028691782134</v>
      </c>
      <c r="I54" s="305">
        <f t="shared" si="5"/>
        <v>4599164.4294645274</v>
      </c>
    </row>
    <row r="55" spans="4:9" x14ac:dyDescent="0.25">
      <c r="D55" s="262">
        <f t="shared" si="0"/>
        <v>54</v>
      </c>
      <c r="E55" s="303">
        <f t="shared" si="1"/>
        <v>4599164.4294645274</v>
      </c>
      <c r="F55" s="303">
        <f t="shared" si="2"/>
        <v>24596.994553974189</v>
      </c>
      <c r="G55" s="304">
        <f t="shared" si="3"/>
        <v>8308.2871996206541</v>
      </c>
      <c r="H55" s="303">
        <f t="shared" si="4"/>
        <v>16288.707354353535</v>
      </c>
      <c r="I55" s="305">
        <f t="shared" si="5"/>
        <v>4590856.1422649063</v>
      </c>
    </row>
    <row r="56" spans="4:9" x14ac:dyDescent="0.25">
      <c r="D56" s="262">
        <f t="shared" si="0"/>
        <v>55</v>
      </c>
      <c r="E56" s="303">
        <f t="shared" si="1"/>
        <v>4590856.1422649063</v>
      </c>
      <c r="F56" s="303">
        <f t="shared" si="2"/>
        <v>24596.994553974189</v>
      </c>
      <c r="G56" s="304">
        <f t="shared" si="3"/>
        <v>8337.7123834526428</v>
      </c>
      <c r="H56" s="303">
        <f t="shared" si="4"/>
        <v>16259.282170521545</v>
      </c>
      <c r="I56" s="305">
        <f t="shared" si="5"/>
        <v>4582518.4298814535</v>
      </c>
    </row>
    <row r="57" spans="4:9" x14ac:dyDescent="0.25">
      <c r="D57" s="262">
        <f t="shared" si="0"/>
        <v>56</v>
      </c>
      <c r="E57" s="303">
        <f t="shared" si="1"/>
        <v>4582518.4298814535</v>
      </c>
      <c r="F57" s="303">
        <f t="shared" si="2"/>
        <v>24596.994553974189</v>
      </c>
      <c r="G57" s="304">
        <f t="shared" si="3"/>
        <v>8367.2417814773726</v>
      </c>
      <c r="H57" s="303">
        <f t="shared" si="4"/>
        <v>16229.752772496817</v>
      </c>
      <c r="I57" s="305">
        <f t="shared" si="5"/>
        <v>4574151.1880999757</v>
      </c>
    </row>
    <row r="58" spans="4:9" x14ac:dyDescent="0.25">
      <c r="D58" s="262">
        <f t="shared" si="0"/>
        <v>57</v>
      </c>
      <c r="E58" s="303">
        <f t="shared" si="1"/>
        <v>4574151.1880999757</v>
      </c>
      <c r="F58" s="303">
        <f t="shared" si="2"/>
        <v>24596.994553974186</v>
      </c>
      <c r="G58" s="304">
        <f t="shared" si="3"/>
        <v>8396.8757627867708</v>
      </c>
      <c r="H58" s="303">
        <f t="shared" si="4"/>
        <v>16200.118791187415</v>
      </c>
      <c r="I58" s="305">
        <f t="shared" si="5"/>
        <v>4565754.312337189</v>
      </c>
    </row>
    <row r="59" spans="4:9" x14ac:dyDescent="0.25">
      <c r="D59" s="262">
        <f t="shared" si="0"/>
        <v>58</v>
      </c>
      <c r="E59" s="303">
        <f t="shared" si="1"/>
        <v>4565754.312337189</v>
      </c>
      <c r="F59" s="303">
        <f t="shared" si="2"/>
        <v>24596.994553974186</v>
      </c>
      <c r="G59" s="304">
        <f t="shared" si="3"/>
        <v>8426.6146977799744</v>
      </c>
      <c r="H59" s="303">
        <f t="shared" si="4"/>
        <v>16170.379856194211</v>
      </c>
      <c r="I59" s="305">
        <f t="shared" si="5"/>
        <v>4557327.6976394095</v>
      </c>
    </row>
    <row r="60" spans="4:9" x14ac:dyDescent="0.25">
      <c r="D60" s="262">
        <f t="shared" si="0"/>
        <v>59</v>
      </c>
      <c r="E60" s="303">
        <f t="shared" si="1"/>
        <v>4557327.6976394095</v>
      </c>
      <c r="F60" s="303">
        <f t="shared" si="2"/>
        <v>24596.994553974189</v>
      </c>
      <c r="G60" s="304">
        <f t="shared" si="3"/>
        <v>8456.4589581679447</v>
      </c>
      <c r="H60" s="303">
        <f t="shared" si="4"/>
        <v>16140.535595806243</v>
      </c>
      <c r="I60" s="305">
        <f t="shared" si="5"/>
        <v>4548871.2386812419</v>
      </c>
    </row>
    <row r="61" spans="4:9" x14ac:dyDescent="0.25">
      <c r="D61" s="262">
        <f t="shared" si="0"/>
        <v>60</v>
      </c>
      <c r="E61" s="303">
        <f t="shared" si="1"/>
        <v>4548871.2386812419</v>
      </c>
      <c r="F61" s="303">
        <f t="shared" si="2"/>
        <v>24596.994553974189</v>
      </c>
      <c r="G61" s="304">
        <f t="shared" si="3"/>
        <v>8486.4089169781237</v>
      </c>
      <c r="H61" s="303">
        <f t="shared" si="4"/>
        <v>16110.585636996066</v>
      </c>
      <c r="I61" s="305">
        <f t="shared" si="5"/>
        <v>4540384.8297642637</v>
      </c>
    </row>
    <row r="62" spans="4:9" x14ac:dyDescent="0.25">
      <c r="D62" s="262">
        <f t="shared" si="0"/>
        <v>61</v>
      </c>
      <c r="E62" s="303">
        <f t="shared" si="1"/>
        <v>4540384.8297642637</v>
      </c>
      <c r="F62" s="303">
        <f t="shared" si="2"/>
        <v>24596.994553974189</v>
      </c>
      <c r="G62" s="304">
        <f t="shared" si="3"/>
        <v>8516.4649485590853</v>
      </c>
      <c r="H62" s="303">
        <f t="shared" si="4"/>
        <v>16080.529605415102</v>
      </c>
      <c r="I62" s="305">
        <f t="shared" si="5"/>
        <v>4531868.3648157045</v>
      </c>
    </row>
    <row r="63" spans="4:9" x14ac:dyDescent="0.25">
      <c r="D63" s="262">
        <f t="shared" si="0"/>
        <v>62</v>
      </c>
      <c r="E63" s="303">
        <f t="shared" si="1"/>
        <v>4531868.3648157045</v>
      </c>
      <c r="F63" s="303">
        <f t="shared" si="2"/>
        <v>24596.994553974189</v>
      </c>
      <c r="G63" s="304">
        <f t="shared" si="3"/>
        <v>8546.6274285852342</v>
      </c>
      <c r="H63" s="303">
        <f t="shared" si="4"/>
        <v>16050.367125388955</v>
      </c>
      <c r="I63" s="305">
        <f t="shared" si="5"/>
        <v>4523321.7373871189</v>
      </c>
    </row>
    <row r="64" spans="4:9" x14ac:dyDescent="0.25">
      <c r="D64" s="262">
        <f t="shared" si="0"/>
        <v>63</v>
      </c>
      <c r="E64" s="303">
        <f t="shared" si="1"/>
        <v>4523321.7373871189</v>
      </c>
      <c r="F64" s="303">
        <f t="shared" si="2"/>
        <v>24596.994553974186</v>
      </c>
      <c r="G64" s="304">
        <f t="shared" si="3"/>
        <v>8576.8967340614727</v>
      </c>
      <c r="H64" s="303">
        <f t="shared" si="4"/>
        <v>16020.097819912713</v>
      </c>
      <c r="I64" s="305">
        <f t="shared" si="5"/>
        <v>4514744.8406530572</v>
      </c>
    </row>
    <row r="65" spans="4:9" x14ac:dyDescent="0.25">
      <c r="D65" s="262">
        <f t="shared" si="0"/>
        <v>64</v>
      </c>
      <c r="E65" s="303">
        <f t="shared" si="1"/>
        <v>4514744.8406530572</v>
      </c>
      <c r="F65" s="303">
        <f t="shared" si="2"/>
        <v>24596.994553974186</v>
      </c>
      <c r="G65" s="304">
        <f t="shared" si="3"/>
        <v>8607.2732433279398</v>
      </c>
      <c r="H65" s="303">
        <f t="shared" si="4"/>
        <v>15989.721310646246</v>
      </c>
      <c r="I65" s="305">
        <f t="shared" si="5"/>
        <v>4506137.5674097296</v>
      </c>
    </row>
    <row r="66" spans="4:9" x14ac:dyDescent="0.25">
      <c r="D66" s="262">
        <f t="shared" si="0"/>
        <v>65</v>
      </c>
      <c r="E66" s="303">
        <f t="shared" si="1"/>
        <v>4506137.5674097296</v>
      </c>
      <c r="F66" s="303">
        <f t="shared" si="2"/>
        <v>24596.994553974186</v>
      </c>
      <c r="G66" s="304">
        <f t="shared" si="3"/>
        <v>8637.7573360647257</v>
      </c>
      <c r="H66" s="303">
        <f t="shared" si="4"/>
        <v>15959.23721790946</v>
      </c>
      <c r="I66" s="305">
        <f t="shared" si="5"/>
        <v>4497499.8100736644</v>
      </c>
    </row>
    <row r="67" spans="4:9" x14ac:dyDescent="0.25">
      <c r="D67" s="262">
        <f t="shared" si="0"/>
        <v>66</v>
      </c>
      <c r="E67" s="303">
        <f t="shared" si="1"/>
        <v>4497499.8100736644</v>
      </c>
      <c r="F67" s="303">
        <f t="shared" si="2"/>
        <v>24596.994553974182</v>
      </c>
      <c r="G67" s="304">
        <f t="shared" si="3"/>
        <v>8668.349393296623</v>
      </c>
      <c r="H67" s="303">
        <f t="shared" si="4"/>
        <v>15928.645160677561</v>
      </c>
      <c r="I67" s="305">
        <f t="shared" si="5"/>
        <v>4488831.4606803674</v>
      </c>
    </row>
    <row r="68" spans="4:9" x14ac:dyDescent="0.25">
      <c r="D68" s="262">
        <f t="shared" ref="D68:D131" si="6">D67+1</f>
        <v>67</v>
      </c>
      <c r="E68" s="303">
        <f t="shared" ref="E68:E131" si="7">IF(D68/12&gt;$B$6,0,I67)</f>
        <v>4488831.4606803674</v>
      </c>
      <c r="F68" s="303">
        <f t="shared" ref="F68:F131" si="8">SUM(G68:H68)</f>
        <v>24596.994553974182</v>
      </c>
      <c r="G68" s="304">
        <f t="shared" ref="G68:G131" si="9">IF(AND(D68&gt;$B$4,D68/12&lt;=$B$6),-PPMT($B$5/12,D68-$B$4,$B$3*12,$B$2,0,0),0)</f>
        <v>8699.0497973978818</v>
      </c>
      <c r="H68" s="303">
        <f t="shared" ref="H68:H131" si="10">E68*$B$5/12</f>
        <v>15897.944756576302</v>
      </c>
      <c r="I68" s="305">
        <f t="shared" ref="I68:I131" si="11">E68-G68</f>
        <v>4480132.4108829694</v>
      </c>
    </row>
    <row r="69" spans="4:9" x14ac:dyDescent="0.25">
      <c r="D69" s="262">
        <f t="shared" si="6"/>
        <v>68</v>
      </c>
      <c r="E69" s="303">
        <f t="shared" si="7"/>
        <v>4480132.4108829694</v>
      </c>
      <c r="F69" s="303">
        <f t="shared" si="8"/>
        <v>24596.994553974182</v>
      </c>
      <c r="G69" s="304">
        <f t="shared" si="9"/>
        <v>8729.8589320970004</v>
      </c>
      <c r="H69" s="303">
        <f t="shared" si="10"/>
        <v>15867.135621877183</v>
      </c>
      <c r="I69" s="305">
        <f t="shared" si="11"/>
        <v>4471402.5519508719</v>
      </c>
    </row>
    <row r="70" spans="4:9" x14ac:dyDescent="0.25">
      <c r="D70" s="262">
        <f t="shared" si="6"/>
        <v>69</v>
      </c>
      <c r="E70" s="303">
        <f t="shared" si="7"/>
        <v>4471402.5519508719</v>
      </c>
      <c r="F70" s="303">
        <f t="shared" si="8"/>
        <v>24596.994553974182</v>
      </c>
      <c r="G70" s="304">
        <f t="shared" si="9"/>
        <v>8760.77718248151</v>
      </c>
      <c r="H70" s="303">
        <f t="shared" si="10"/>
        <v>15836.217371492674</v>
      </c>
      <c r="I70" s="305">
        <f t="shared" si="11"/>
        <v>4462641.7747683907</v>
      </c>
    </row>
    <row r="71" spans="4:9" x14ac:dyDescent="0.25">
      <c r="D71" s="262">
        <f t="shared" si="6"/>
        <v>70</v>
      </c>
      <c r="E71" s="303">
        <f t="shared" si="7"/>
        <v>4462641.7747683907</v>
      </c>
      <c r="F71" s="303">
        <f t="shared" si="8"/>
        <v>24596.994553974182</v>
      </c>
      <c r="G71" s="304">
        <f t="shared" si="9"/>
        <v>8791.8049350027977</v>
      </c>
      <c r="H71" s="303">
        <f t="shared" si="10"/>
        <v>15805.189618971386</v>
      </c>
      <c r="I71" s="305">
        <f t="shared" si="11"/>
        <v>4453849.969833388</v>
      </c>
    </row>
    <row r="72" spans="4:9" x14ac:dyDescent="0.25">
      <c r="D72" s="262">
        <f t="shared" si="6"/>
        <v>71</v>
      </c>
      <c r="E72" s="303">
        <f t="shared" si="7"/>
        <v>4453849.969833388</v>
      </c>
      <c r="F72" s="303">
        <f t="shared" si="8"/>
        <v>24596.994553974182</v>
      </c>
      <c r="G72" s="304">
        <f t="shared" si="9"/>
        <v>8822.9425774809315</v>
      </c>
      <c r="H72" s="303">
        <f t="shared" si="10"/>
        <v>15774.051976493249</v>
      </c>
      <c r="I72" s="305">
        <f t="shared" si="11"/>
        <v>4445027.0272559067</v>
      </c>
    </row>
    <row r="73" spans="4:9" x14ac:dyDescent="0.25">
      <c r="D73" s="262">
        <f t="shared" si="6"/>
        <v>72</v>
      </c>
      <c r="E73" s="303">
        <f t="shared" si="7"/>
        <v>4445027.0272559067</v>
      </c>
      <c r="F73" s="303">
        <f t="shared" si="8"/>
        <v>24596.994553974182</v>
      </c>
      <c r="G73" s="304">
        <f t="shared" si="9"/>
        <v>8854.1904991095125</v>
      </c>
      <c r="H73" s="303">
        <f t="shared" si="10"/>
        <v>15742.80405486467</v>
      </c>
      <c r="I73" s="305">
        <f t="shared" si="11"/>
        <v>4436172.8367567975</v>
      </c>
    </row>
    <row r="74" spans="4:9" x14ac:dyDescent="0.25">
      <c r="D74" s="262">
        <f t="shared" si="6"/>
        <v>73</v>
      </c>
      <c r="E74" s="303">
        <f t="shared" si="7"/>
        <v>4436172.8367567975</v>
      </c>
      <c r="F74" s="303">
        <f t="shared" si="8"/>
        <v>24596.994553974182</v>
      </c>
      <c r="G74" s="304">
        <f t="shared" si="9"/>
        <v>8885.5490904605231</v>
      </c>
      <c r="H74" s="303">
        <f t="shared" si="10"/>
        <v>15711.445463513659</v>
      </c>
      <c r="I74" s="305">
        <f t="shared" si="11"/>
        <v>4427287.2876663366</v>
      </c>
    </row>
    <row r="75" spans="4:9" x14ac:dyDescent="0.25">
      <c r="D75" s="262">
        <f t="shared" si="6"/>
        <v>74</v>
      </c>
      <c r="E75" s="303">
        <f t="shared" si="7"/>
        <v>4427287.2876663366</v>
      </c>
      <c r="F75" s="303">
        <f t="shared" si="8"/>
        <v>24596.994553974182</v>
      </c>
      <c r="G75" s="304">
        <f t="shared" si="9"/>
        <v>8917.0187434892396</v>
      </c>
      <c r="H75" s="303">
        <f t="shared" si="10"/>
        <v>15679.975810484944</v>
      </c>
      <c r="I75" s="305">
        <f t="shared" si="11"/>
        <v>4418370.2689228477</v>
      </c>
    </row>
    <row r="76" spans="4:9" x14ac:dyDescent="0.25">
      <c r="D76" s="262">
        <f t="shared" si="6"/>
        <v>75</v>
      </c>
      <c r="E76" s="303">
        <f t="shared" si="7"/>
        <v>4418370.2689228477</v>
      </c>
      <c r="F76" s="303">
        <f t="shared" si="8"/>
        <v>24596.994553974182</v>
      </c>
      <c r="G76" s="304">
        <f t="shared" si="9"/>
        <v>8948.5998515390966</v>
      </c>
      <c r="H76" s="303">
        <f t="shared" si="10"/>
        <v>15648.394702435087</v>
      </c>
      <c r="I76" s="305">
        <f t="shared" si="11"/>
        <v>4409421.6690713083</v>
      </c>
    </row>
    <row r="77" spans="4:9" x14ac:dyDescent="0.25">
      <c r="D77" s="262">
        <f t="shared" si="6"/>
        <v>76</v>
      </c>
      <c r="E77" s="303">
        <f t="shared" si="7"/>
        <v>4409421.6690713083</v>
      </c>
      <c r="F77" s="303">
        <f t="shared" si="8"/>
        <v>24596.994553974182</v>
      </c>
      <c r="G77" s="304">
        <f t="shared" si="9"/>
        <v>8980.2928093466307</v>
      </c>
      <c r="H77" s="303">
        <f t="shared" si="10"/>
        <v>15616.701744627551</v>
      </c>
      <c r="I77" s="305">
        <f t="shared" si="11"/>
        <v>4400441.3762619616</v>
      </c>
    </row>
    <row r="78" spans="4:9" x14ac:dyDescent="0.25">
      <c r="D78" s="262">
        <f t="shared" si="6"/>
        <v>77</v>
      </c>
      <c r="E78" s="303">
        <f t="shared" si="7"/>
        <v>4400441.3762619616</v>
      </c>
      <c r="F78" s="303">
        <f t="shared" si="8"/>
        <v>24596.994553974182</v>
      </c>
      <c r="G78" s="304">
        <f t="shared" si="9"/>
        <v>9012.0980130464013</v>
      </c>
      <c r="H78" s="303">
        <f t="shared" si="10"/>
        <v>15584.896540927783</v>
      </c>
      <c r="I78" s="305">
        <f t="shared" si="11"/>
        <v>4391429.2782489154</v>
      </c>
    </row>
    <row r="79" spans="4:9" x14ac:dyDescent="0.25">
      <c r="D79" s="262">
        <f t="shared" si="6"/>
        <v>78</v>
      </c>
      <c r="E79" s="303">
        <f t="shared" si="7"/>
        <v>4391429.2782489154</v>
      </c>
      <c r="F79" s="303">
        <f t="shared" si="8"/>
        <v>24596.994553974182</v>
      </c>
      <c r="G79" s="304">
        <f t="shared" si="9"/>
        <v>9044.0158601759395</v>
      </c>
      <c r="H79" s="303">
        <f t="shared" si="10"/>
        <v>15552.978693798243</v>
      </c>
      <c r="I79" s="305">
        <f t="shared" si="11"/>
        <v>4382385.2623887397</v>
      </c>
    </row>
    <row r="80" spans="4:9" x14ac:dyDescent="0.25">
      <c r="D80" s="262">
        <f t="shared" si="6"/>
        <v>79</v>
      </c>
      <c r="E80" s="303">
        <f t="shared" si="7"/>
        <v>4382385.2623887397</v>
      </c>
      <c r="F80" s="303">
        <f t="shared" si="8"/>
        <v>24596.994553974186</v>
      </c>
      <c r="G80" s="304">
        <f t="shared" si="9"/>
        <v>9076.0467496807305</v>
      </c>
      <c r="H80" s="303">
        <f t="shared" si="10"/>
        <v>15520.947804293455</v>
      </c>
      <c r="I80" s="305">
        <f t="shared" si="11"/>
        <v>4373309.2156390594</v>
      </c>
    </row>
    <row r="81" spans="4:9" x14ac:dyDescent="0.25">
      <c r="D81" s="262">
        <f t="shared" si="6"/>
        <v>80</v>
      </c>
      <c r="E81" s="303">
        <f t="shared" si="7"/>
        <v>4373309.2156390594</v>
      </c>
      <c r="F81" s="303">
        <f t="shared" si="8"/>
        <v>24596.994553974189</v>
      </c>
      <c r="G81" s="304">
        <f t="shared" si="9"/>
        <v>9108.1910819191835</v>
      </c>
      <c r="H81" s="303">
        <f t="shared" si="10"/>
        <v>15488.803472055004</v>
      </c>
      <c r="I81" s="305">
        <f t="shared" si="11"/>
        <v>4364201.0245571407</v>
      </c>
    </row>
    <row r="82" spans="4:9" x14ac:dyDescent="0.25">
      <c r="D82" s="262">
        <f t="shared" si="6"/>
        <v>81</v>
      </c>
      <c r="E82" s="303">
        <f t="shared" si="7"/>
        <v>4364201.0245571407</v>
      </c>
      <c r="F82" s="303">
        <f t="shared" si="8"/>
        <v>24596.994553974186</v>
      </c>
      <c r="G82" s="304">
        <f t="shared" si="9"/>
        <v>9140.4492586676442</v>
      </c>
      <c r="H82" s="303">
        <f t="shared" si="10"/>
        <v>15456.545295306541</v>
      </c>
      <c r="I82" s="305">
        <f t="shared" si="11"/>
        <v>4355060.5752984732</v>
      </c>
    </row>
    <row r="83" spans="4:9" x14ac:dyDescent="0.25">
      <c r="D83" s="262">
        <f t="shared" si="6"/>
        <v>82</v>
      </c>
      <c r="E83" s="303">
        <f t="shared" si="7"/>
        <v>4355060.5752984732</v>
      </c>
      <c r="F83" s="303">
        <f t="shared" si="8"/>
        <v>24596.994553974186</v>
      </c>
      <c r="G83" s="304">
        <f t="shared" si="9"/>
        <v>9172.8216831254267</v>
      </c>
      <c r="H83" s="303">
        <f t="shared" si="10"/>
        <v>15424.172870848759</v>
      </c>
      <c r="I83" s="305">
        <f t="shared" si="11"/>
        <v>4345887.7536153477</v>
      </c>
    </row>
    <row r="84" spans="4:9" x14ac:dyDescent="0.25">
      <c r="D84" s="262">
        <f t="shared" si="6"/>
        <v>83</v>
      </c>
      <c r="E84" s="303">
        <f t="shared" si="7"/>
        <v>4345887.7536153477</v>
      </c>
      <c r="F84" s="303">
        <f t="shared" si="8"/>
        <v>24596.994553974189</v>
      </c>
      <c r="G84" s="304">
        <f t="shared" si="9"/>
        <v>9205.3087599198298</v>
      </c>
      <c r="H84" s="303">
        <f t="shared" si="10"/>
        <v>15391.685794054358</v>
      </c>
      <c r="I84" s="305">
        <f t="shared" si="11"/>
        <v>4336682.4448554283</v>
      </c>
    </row>
    <row r="85" spans="4:9" x14ac:dyDescent="0.25">
      <c r="D85" s="262">
        <f t="shared" si="6"/>
        <v>84</v>
      </c>
      <c r="E85" s="303">
        <f t="shared" si="7"/>
        <v>4336682.4448554283</v>
      </c>
      <c r="F85" s="303">
        <f t="shared" si="8"/>
        <v>24596.994553974189</v>
      </c>
      <c r="G85" s="304">
        <f t="shared" si="9"/>
        <v>9237.9108951112121</v>
      </c>
      <c r="H85" s="303">
        <f t="shared" si="10"/>
        <v>15359.083658862975</v>
      </c>
      <c r="I85" s="305">
        <f t="shared" si="11"/>
        <v>4327444.5339603173</v>
      </c>
    </row>
    <row r="86" spans="4:9" x14ac:dyDescent="0.25">
      <c r="D86" s="262">
        <f t="shared" si="6"/>
        <v>85</v>
      </c>
      <c r="E86" s="303">
        <f t="shared" si="7"/>
        <v>4327444.5339603173</v>
      </c>
      <c r="F86" s="303">
        <f t="shared" si="8"/>
        <v>24596.994553974189</v>
      </c>
      <c r="G86" s="304">
        <f t="shared" si="9"/>
        <v>9270.6284961980637</v>
      </c>
      <c r="H86" s="303">
        <f t="shared" si="10"/>
        <v>15326.366057776126</v>
      </c>
      <c r="I86" s="305">
        <f t="shared" si="11"/>
        <v>4318173.9054641193</v>
      </c>
    </row>
    <row r="87" spans="4:9" x14ac:dyDescent="0.25">
      <c r="D87" s="262">
        <f t="shared" si="6"/>
        <v>86</v>
      </c>
      <c r="E87" s="303">
        <f t="shared" si="7"/>
        <v>4318173.9054641193</v>
      </c>
      <c r="F87" s="303">
        <f t="shared" si="8"/>
        <v>24596.994553974189</v>
      </c>
      <c r="G87" s="304">
        <f t="shared" si="9"/>
        <v>9303.4619721221006</v>
      </c>
      <c r="H87" s="303">
        <f t="shared" si="10"/>
        <v>15293.532581852089</v>
      </c>
      <c r="I87" s="305">
        <f t="shared" si="11"/>
        <v>4308870.4434919972</v>
      </c>
    </row>
    <row r="88" spans="4:9" x14ac:dyDescent="0.25">
      <c r="D88" s="262">
        <f t="shared" si="6"/>
        <v>87</v>
      </c>
      <c r="E88" s="303">
        <f t="shared" si="7"/>
        <v>4308870.4434919972</v>
      </c>
      <c r="F88" s="303">
        <f t="shared" si="8"/>
        <v>24596.994553974189</v>
      </c>
      <c r="G88" s="304">
        <f t="shared" si="9"/>
        <v>9336.4117332733658</v>
      </c>
      <c r="H88" s="303">
        <f t="shared" si="10"/>
        <v>15260.582820700824</v>
      </c>
      <c r="I88" s="305">
        <f t="shared" si="11"/>
        <v>4299534.0317587238</v>
      </c>
    </row>
    <row r="89" spans="4:9" x14ac:dyDescent="0.25">
      <c r="D89" s="262">
        <f t="shared" si="6"/>
        <v>88</v>
      </c>
      <c r="E89" s="303">
        <f t="shared" si="7"/>
        <v>4299534.0317587238</v>
      </c>
      <c r="F89" s="303">
        <f t="shared" si="8"/>
        <v>24596.994553974189</v>
      </c>
      <c r="G89" s="304">
        <f t="shared" si="9"/>
        <v>9369.4781914953746</v>
      </c>
      <c r="H89" s="303">
        <f t="shared" si="10"/>
        <v>15227.516362478813</v>
      </c>
      <c r="I89" s="305">
        <f t="shared" si="11"/>
        <v>4290164.5535672288</v>
      </c>
    </row>
    <row r="90" spans="4:9" x14ac:dyDescent="0.25">
      <c r="D90" s="262">
        <f t="shared" si="6"/>
        <v>89</v>
      </c>
      <c r="E90" s="303">
        <f t="shared" si="7"/>
        <v>4290164.5535672288</v>
      </c>
      <c r="F90" s="303">
        <f t="shared" si="8"/>
        <v>24596.994553974189</v>
      </c>
      <c r="G90" s="304">
        <f t="shared" si="9"/>
        <v>9402.6617600902537</v>
      </c>
      <c r="H90" s="303">
        <f t="shared" si="10"/>
        <v>15194.332793883936</v>
      </c>
      <c r="I90" s="305">
        <f t="shared" si="11"/>
        <v>4280761.8918071389</v>
      </c>
    </row>
    <row r="91" spans="4:9" x14ac:dyDescent="0.25">
      <c r="D91" s="262">
        <f t="shared" si="6"/>
        <v>90</v>
      </c>
      <c r="E91" s="303">
        <f t="shared" si="7"/>
        <v>4280761.8918071389</v>
      </c>
      <c r="F91" s="303">
        <f t="shared" si="8"/>
        <v>24596.994553974189</v>
      </c>
      <c r="G91" s="304">
        <f t="shared" si="9"/>
        <v>9435.9628538239067</v>
      </c>
      <c r="H91" s="303">
        <f t="shared" si="10"/>
        <v>15161.031700150284</v>
      </c>
      <c r="I91" s="305">
        <f t="shared" si="11"/>
        <v>4271325.9289533151</v>
      </c>
    </row>
    <row r="92" spans="4:9" x14ac:dyDescent="0.25">
      <c r="D92" s="262">
        <f t="shared" si="6"/>
        <v>91</v>
      </c>
      <c r="E92" s="303">
        <f t="shared" si="7"/>
        <v>4271325.9289533151</v>
      </c>
      <c r="F92" s="303">
        <f t="shared" si="8"/>
        <v>24596.994553974193</v>
      </c>
      <c r="G92" s="304">
        <f t="shared" si="9"/>
        <v>9469.3818889312006</v>
      </c>
      <c r="H92" s="303">
        <f t="shared" si="10"/>
        <v>15127.612665042992</v>
      </c>
      <c r="I92" s="305">
        <f t="shared" si="11"/>
        <v>4261856.5470643835</v>
      </c>
    </row>
    <row r="93" spans="4:9" x14ac:dyDescent="0.25">
      <c r="D93" s="262">
        <f t="shared" si="6"/>
        <v>92</v>
      </c>
      <c r="E93" s="303">
        <f t="shared" si="7"/>
        <v>4261856.5470643835</v>
      </c>
      <c r="F93" s="303">
        <f t="shared" si="8"/>
        <v>24596.994553974189</v>
      </c>
      <c r="G93" s="304">
        <f t="shared" si="9"/>
        <v>9502.919283121164</v>
      </c>
      <c r="H93" s="303">
        <f t="shared" si="10"/>
        <v>15094.075270853027</v>
      </c>
      <c r="I93" s="305">
        <f t="shared" si="11"/>
        <v>4252353.6277812626</v>
      </c>
    </row>
    <row r="94" spans="4:9" x14ac:dyDescent="0.25">
      <c r="D94" s="262">
        <f t="shared" si="6"/>
        <v>93</v>
      </c>
      <c r="E94" s="303">
        <f t="shared" si="7"/>
        <v>4252353.6277812626</v>
      </c>
      <c r="F94" s="303">
        <f t="shared" si="8"/>
        <v>24596.994553974197</v>
      </c>
      <c r="G94" s="304">
        <f t="shared" si="9"/>
        <v>9536.5754555822205</v>
      </c>
      <c r="H94" s="303">
        <f t="shared" si="10"/>
        <v>15060.419098391974</v>
      </c>
      <c r="I94" s="305">
        <f t="shared" si="11"/>
        <v>4242817.0523256809</v>
      </c>
    </row>
    <row r="95" spans="4:9" x14ac:dyDescent="0.25">
      <c r="D95" s="262">
        <f t="shared" si="6"/>
        <v>94</v>
      </c>
      <c r="E95" s="303">
        <f t="shared" si="7"/>
        <v>4242817.0523256809</v>
      </c>
      <c r="F95" s="303">
        <f t="shared" si="8"/>
        <v>24596.994553974197</v>
      </c>
      <c r="G95" s="304">
        <f t="shared" si="9"/>
        <v>9570.3508269874073</v>
      </c>
      <c r="H95" s="303">
        <f t="shared" si="10"/>
        <v>15026.643726986787</v>
      </c>
      <c r="I95" s="305">
        <f t="shared" si="11"/>
        <v>4233246.7014986938</v>
      </c>
    </row>
    <row r="96" spans="4:9" x14ac:dyDescent="0.25">
      <c r="D96" s="262">
        <f t="shared" si="6"/>
        <v>95</v>
      </c>
      <c r="E96" s="303">
        <f t="shared" si="7"/>
        <v>4233246.7014986938</v>
      </c>
      <c r="F96" s="303">
        <f t="shared" si="8"/>
        <v>24596.994553974193</v>
      </c>
      <c r="G96" s="304">
        <f t="shared" si="9"/>
        <v>9604.2458194996525</v>
      </c>
      <c r="H96" s="303">
        <f t="shared" si="10"/>
        <v>14992.74873447454</v>
      </c>
      <c r="I96" s="305">
        <f t="shared" si="11"/>
        <v>4223642.4556791941</v>
      </c>
    </row>
    <row r="97" spans="4:9" x14ac:dyDescent="0.25">
      <c r="D97" s="262">
        <f t="shared" si="6"/>
        <v>96</v>
      </c>
      <c r="E97" s="303">
        <f t="shared" si="7"/>
        <v>4223642.4556791941</v>
      </c>
      <c r="F97" s="303">
        <f t="shared" si="8"/>
        <v>24596.994553974197</v>
      </c>
      <c r="G97" s="304">
        <f t="shared" si="9"/>
        <v>9638.2608567770476</v>
      </c>
      <c r="H97" s="303">
        <f t="shared" si="10"/>
        <v>14958.733697197147</v>
      </c>
      <c r="I97" s="305">
        <f t="shared" si="11"/>
        <v>4214004.1948224166</v>
      </c>
    </row>
    <row r="98" spans="4:9" x14ac:dyDescent="0.25">
      <c r="D98" s="262">
        <f t="shared" si="6"/>
        <v>97</v>
      </c>
      <c r="E98" s="303">
        <f t="shared" si="7"/>
        <v>4214004.1948224166</v>
      </c>
      <c r="F98" s="303">
        <f t="shared" si="8"/>
        <v>24596.994553974197</v>
      </c>
      <c r="G98" s="304">
        <f t="shared" si="9"/>
        <v>9672.3963639781341</v>
      </c>
      <c r="H98" s="303">
        <f t="shared" si="10"/>
        <v>14924.598189996061</v>
      </c>
      <c r="I98" s="305">
        <f t="shared" si="11"/>
        <v>4204331.7984584384</v>
      </c>
    </row>
    <row r="99" spans="4:9" x14ac:dyDescent="0.25">
      <c r="D99" s="262">
        <f t="shared" si="6"/>
        <v>98</v>
      </c>
      <c r="E99" s="303">
        <f t="shared" si="7"/>
        <v>4204331.7984584384</v>
      </c>
      <c r="F99" s="303">
        <f t="shared" si="8"/>
        <v>24596.994553974189</v>
      </c>
      <c r="G99" s="304">
        <f t="shared" si="9"/>
        <v>9706.652767767222</v>
      </c>
      <c r="H99" s="303">
        <f t="shared" si="10"/>
        <v>14890.341786206969</v>
      </c>
      <c r="I99" s="305">
        <f t="shared" si="11"/>
        <v>4194625.1456906712</v>
      </c>
    </row>
    <row r="100" spans="4:9" x14ac:dyDescent="0.25">
      <c r="D100" s="262">
        <f t="shared" si="6"/>
        <v>99</v>
      </c>
      <c r="E100" s="303">
        <f t="shared" si="7"/>
        <v>4194625.1456906712</v>
      </c>
      <c r="F100" s="303">
        <f t="shared" si="8"/>
        <v>24596.994553974193</v>
      </c>
      <c r="G100" s="304">
        <f t="shared" si="9"/>
        <v>9741.0304963197304</v>
      </c>
      <c r="H100" s="303">
        <f t="shared" si="10"/>
        <v>14855.964057654463</v>
      </c>
      <c r="I100" s="305">
        <f t="shared" si="11"/>
        <v>4184884.1151943514</v>
      </c>
    </row>
    <row r="101" spans="4:9" x14ac:dyDescent="0.25">
      <c r="D101" s="262">
        <f t="shared" si="6"/>
        <v>100</v>
      </c>
      <c r="E101" s="303">
        <f t="shared" si="7"/>
        <v>4184884.1151943514</v>
      </c>
      <c r="F101" s="303">
        <f t="shared" si="8"/>
        <v>24596.994553974193</v>
      </c>
      <c r="G101" s="304">
        <f t="shared" si="9"/>
        <v>9775.5299793275299</v>
      </c>
      <c r="H101" s="303">
        <f t="shared" si="10"/>
        <v>14821.464574646663</v>
      </c>
      <c r="I101" s="305">
        <f t="shared" si="11"/>
        <v>4175108.5852150237</v>
      </c>
    </row>
    <row r="102" spans="4:9" x14ac:dyDescent="0.25">
      <c r="D102" s="262">
        <f t="shared" si="6"/>
        <v>101</v>
      </c>
      <c r="E102" s="303">
        <f t="shared" si="7"/>
        <v>4175108.5852150237</v>
      </c>
      <c r="F102" s="303">
        <f t="shared" si="8"/>
        <v>24596.994553974189</v>
      </c>
      <c r="G102" s="304">
        <f t="shared" si="9"/>
        <v>9810.1516480043156</v>
      </c>
      <c r="H102" s="303">
        <f t="shared" si="10"/>
        <v>14786.842905969876</v>
      </c>
      <c r="I102" s="305">
        <f t="shared" si="11"/>
        <v>4165298.4335670192</v>
      </c>
    </row>
    <row r="103" spans="4:9" x14ac:dyDescent="0.25">
      <c r="D103" s="262">
        <f t="shared" si="6"/>
        <v>102</v>
      </c>
      <c r="E103" s="303">
        <f t="shared" si="7"/>
        <v>4165298.4335670192</v>
      </c>
      <c r="F103" s="303">
        <f t="shared" si="8"/>
        <v>24596.994553974189</v>
      </c>
      <c r="G103" s="304">
        <f t="shared" si="9"/>
        <v>9844.8959350909972</v>
      </c>
      <c r="H103" s="303">
        <f t="shared" si="10"/>
        <v>14752.098618883194</v>
      </c>
      <c r="I103" s="305">
        <f t="shared" si="11"/>
        <v>4155453.537631928</v>
      </c>
    </row>
    <row r="104" spans="4:9" x14ac:dyDescent="0.25">
      <c r="D104" s="262">
        <f t="shared" si="6"/>
        <v>103</v>
      </c>
      <c r="E104" s="303">
        <f t="shared" si="7"/>
        <v>4155453.537631928</v>
      </c>
      <c r="F104" s="303">
        <f t="shared" si="8"/>
        <v>24596.994553974193</v>
      </c>
      <c r="G104" s="304">
        <f t="shared" si="9"/>
        <v>9879.7632748611122</v>
      </c>
      <c r="H104" s="303">
        <f t="shared" si="10"/>
        <v>14717.231279113081</v>
      </c>
      <c r="I104" s="305">
        <f t="shared" si="11"/>
        <v>4145573.774357067</v>
      </c>
    </row>
    <row r="105" spans="4:9" x14ac:dyDescent="0.25">
      <c r="D105" s="262">
        <f t="shared" si="6"/>
        <v>104</v>
      </c>
      <c r="E105" s="303">
        <f t="shared" si="7"/>
        <v>4145573.774357067</v>
      </c>
      <c r="F105" s="303">
        <f t="shared" si="8"/>
        <v>24596.994553974189</v>
      </c>
      <c r="G105" s="304">
        <f t="shared" si="9"/>
        <v>9914.7541031262444</v>
      </c>
      <c r="H105" s="303">
        <f t="shared" si="10"/>
        <v>14682.240450847947</v>
      </c>
      <c r="I105" s="305">
        <f t="shared" si="11"/>
        <v>4135659.0202539405</v>
      </c>
    </row>
    <row r="106" spans="4:9" x14ac:dyDescent="0.25">
      <c r="D106" s="262">
        <f t="shared" si="6"/>
        <v>105</v>
      </c>
      <c r="E106" s="303">
        <f t="shared" si="7"/>
        <v>4135659.0202539405</v>
      </c>
      <c r="F106" s="303">
        <f t="shared" si="8"/>
        <v>24596.994553974189</v>
      </c>
      <c r="G106" s="304">
        <f t="shared" si="9"/>
        <v>9949.8688572414831</v>
      </c>
      <c r="H106" s="303">
        <f t="shared" si="10"/>
        <v>14647.125696732706</v>
      </c>
      <c r="I106" s="305">
        <f t="shared" si="11"/>
        <v>4125709.1513966988</v>
      </c>
    </row>
    <row r="107" spans="4:9" x14ac:dyDescent="0.25">
      <c r="D107" s="262">
        <f t="shared" si="6"/>
        <v>106</v>
      </c>
      <c r="E107" s="303">
        <f t="shared" si="7"/>
        <v>4125709.1513966988</v>
      </c>
      <c r="F107" s="303">
        <f t="shared" si="8"/>
        <v>24596.994553974189</v>
      </c>
      <c r="G107" s="304">
        <f t="shared" si="9"/>
        <v>9985.1079761108795</v>
      </c>
      <c r="H107" s="303">
        <f t="shared" si="10"/>
        <v>14611.88657786331</v>
      </c>
      <c r="I107" s="305">
        <f t="shared" si="11"/>
        <v>4115724.0434205881</v>
      </c>
    </row>
    <row r="108" spans="4:9" x14ac:dyDescent="0.25">
      <c r="D108" s="262">
        <f t="shared" si="6"/>
        <v>107</v>
      </c>
      <c r="E108" s="303">
        <f t="shared" si="7"/>
        <v>4115724.0434205881</v>
      </c>
      <c r="F108" s="303">
        <f t="shared" si="8"/>
        <v>24596.994553974189</v>
      </c>
      <c r="G108" s="304">
        <f t="shared" si="9"/>
        <v>10020.471900192939</v>
      </c>
      <c r="H108" s="303">
        <f t="shared" si="10"/>
        <v>14576.52265378125</v>
      </c>
      <c r="I108" s="305">
        <f t="shared" si="11"/>
        <v>4105703.5715203951</v>
      </c>
    </row>
    <row r="109" spans="4:9" x14ac:dyDescent="0.25">
      <c r="D109" s="262">
        <f t="shared" si="6"/>
        <v>108</v>
      </c>
      <c r="E109" s="303">
        <f t="shared" si="7"/>
        <v>4105703.5715203951</v>
      </c>
      <c r="F109" s="303">
        <f t="shared" si="8"/>
        <v>24596.994553974189</v>
      </c>
      <c r="G109" s="304">
        <f t="shared" si="9"/>
        <v>10055.961071506123</v>
      </c>
      <c r="H109" s="303">
        <f t="shared" si="10"/>
        <v>14541.033482468067</v>
      </c>
      <c r="I109" s="305">
        <f t="shared" si="11"/>
        <v>4095647.610448889</v>
      </c>
    </row>
    <row r="110" spans="4:9" x14ac:dyDescent="0.25">
      <c r="D110" s="262">
        <f t="shared" si="6"/>
        <v>109</v>
      </c>
      <c r="E110" s="303">
        <f t="shared" si="7"/>
        <v>4095647.610448889</v>
      </c>
      <c r="F110" s="303">
        <f t="shared" si="8"/>
        <v>24596.994553974189</v>
      </c>
      <c r="G110" s="304">
        <f t="shared" si="9"/>
        <v>10091.575933634374</v>
      </c>
      <c r="H110" s="303">
        <f t="shared" si="10"/>
        <v>14505.418620339815</v>
      </c>
      <c r="I110" s="305">
        <f t="shared" si="11"/>
        <v>4085556.0345152547</v>
      </c>
    </row>
    <row r="111" spans="4:9" x14ac:dyDescent="0.25">
      <c r="D111" s="262">
        <f t="shared" si="6"/>
        <v>110</v>
      </c>
      <c r="E111" s="303">
        <f t="shared" si="7"/>
        <v>4085556.0345152547</v>
      </c>
      <c r="F111" s="303">
        <f t="shared" si="8"/>
        <v>24596.994553974189</v>
      </c>
      <c r="G111" s="304">
        <f t="shared" si="9"/>
        <v>10127.316931732661</v>
      </c>
      <c r="H111" s="303">
        <f t="shared" si="10"/>
        <v>14469.677622241528</v>
      </c>
      <c r="I111" s="305">
        <f t="shared" si="11"/>
        <v>4075428.7175835222</v>
      </c>
    </row>
    <row r="112" spans="4:9" x14ac:dyDescent="0.25">
      <c r="D112" s="262">
        <f t="shared" si="6"/>
        <v>111</v>
      </c>
      <c r="E112" s="303">
        <f t="shared" si="7"/>
        <v>4075428.7175835222</v>
      </c>
      <c r="F112" s="303">
        <f t="shared" si="8"/>
        <v>24596.994553974189</v>
      </c>
      <c r="G112" s="304">
        <f t="shared" si="9"/>
        <v>10163.184512532549</v>
      </c>
      <c r="H112" s="303">
        <f t="shared" si="10"/>
        <v>14433.810041441642</v>
      </c>
      <c r="I112" s="305">
        <f t="shared" si="11"/>
        <v>4065265.5330709899</v>
      </c>
    </row>
    <row r="113" spans="4:9" x14ac:dyDescent="0.25">
      <c r="D113" s="262">
        <f t="shared" si="6"/>
        <v>112</v>
      </c>
      <c r="E113" s="303">
        <f t="shared" si="7"/>
        <v>4065265.5330709899</v>
      </c>
      <c r="F113" s="303">
        <f t="shared" si="8"/>
        <v>24596.994553974189</v>
      </c>
      <c r="G113" s="304">
        <f t="shared" si="9"/>
        <v>10199.179124347767</v>
      </c>
      <c r="H113" s="303">
        <f t="shared" si="10"/>
        <v>14397.815429626424</v>
      </c>
      <c r="I113" s="305">
        <f t="shared" si="11"/>
        <v>4055066.353946642</v>
      </c>
    </row>
    <row r="114" spans="4:9" x14ac:dyDescent="0.25">
      <c r="D114" s="262">
        <f t="shared" si="6"/>
        <v>113</v>
      </c>
      <c r="E114" s="303">
        <f t="shared" si="7"/>
        <v>4055066.353946642</v>
      </c>
      <c r="F114" s="303">
        <f t="shared" si="8"/>
        <v>24596.994553974189</v>
      </c>
      <c r="G114" s="304">
        <f t="shared" si="9"/>
        <v>10235.301217079832</v>
      </c>
      <c r="H114" s="303">
        <f t="shared" si="10"/>
        <v>14361.693336894357</v>
      </c>
      <c r="I114" s="305">
        <f t="shared" si="11"/>
        <v>4044831.0527295624</v>
      </c>
    </row>
    <row r="115" spans="4:9" x14ac:dyDescent="0.25">
      <c r="D115" s="262">
        <f t="shared" si="6"/>
        <v>114</v>
      </c>
      <c r="E115" s="303">
        <f t="shared" si="7"/>
        <v>4044831.0527295624</v>
      </c>
      <c r="F115" s="303">
        <f t="shared" si="8"/>
        <v>24596.994553974193</v>
      </c>
      <c r="G115" s="304">
        <f t="shared" si="9"/>
        <v>10271.551242223659</v>
      </c>
      <c r="H115" s="303">
        <f t="shared" si="10"/>
        <v>14325.443311750534</v>
      </c>
      <c r="I115" s="305">
        <f t="shared" si="11"/>
        <v>4034559.5014873389</v>
      </c>
    </row>
    <row r="116" spans="4:9" x14ac:dyDescent="0.25">
      <c r="D116" s="262">
        <f t="shared" si="6"/>
        <v>115</v>
      </c>
      <c r="E116" s="303">
        <f t="shared" si="7"/>
        <v>4034559.5014873389</v>
      </c>
      <c r="F116" s="303">
        <f t="shared" si="8"/>
        <v>24596.994553974193</v>
      </c>
      <c r="G116" s="304">
        <f t="shared" si="9"/>
        <v>10307.929652873199</v>
      </c>
      <c r="H116" s="303">
        <f t="shared" si="10"/>
        <v>14289.064901100994</v>
      </c>
      <c r="I116" s="305">
        <f t="shared" si="11"/>
        <v>4024251.5718344655</v>
      </c>
    </row>
    <row r="117" spans="4:9" x14ac:dyDescent="0.25">
      <c r="D117" s="262">
        <f t="shared" si="6"/>
        <v>116</v>
      </c>
      <c r="E117" s="303">
        <f t="shared" si="7"/>
        <v>4024251.5718344655</v>
      </c>
      <c r="F117" s="303">
        <f t="shared" si="8"/>
        <v>24596.994553974189</v>
      </c>
      <c r="G117" s="304">
        <f t="shared" si="9"/>
        <v>10344.436903727124</v>
      </c>
      <c r="H117" s="303">
        <f t="shared" si="10"/>
        <v>14252.557650247067</v>
      </c>
      <c r="I117" s="305">
        <f t="shared" si="11"/>
        <v>4013907.1349307382</v>
      </c>
    </row>
    <row r="118" spans="4:9" x14ac:dyDescent="0.25">
      <c r="D118" s="262">
        <f t="shared" si="6"/>
        <v>117</v>
      </c>
      <c r="E118" s="303">
        <f t="shared" si="7"/>
        <v>4013907.1349307382</v>
      </c>
      <c r="F118" s="303">
        <f t="shared" si="8"/>
        <v>24596.994553974189</v>
      </c>
      <c r="G118" s="304">
        <f t="shared" si="9"/>
        <v>10381.073451094491</v>
      </c>
      <c r="H118" s="303">
        <f t="shared" si="10"/>
        <v>14215.9211028797</v>
      </c>
      <c r="I118" s="305">
        <f t="shared" si="11"/>
        <v>4003526.0614796439</v>
      </c>
    </row>
    <row r="119" spans="4:9" x14ac:dyDescent="0.25">
      <c r="D119" s="262">
        <f t="shared" si="6"/>
        <v>118</v>
      </c>
      <c r="E119" s="303">
        <f t="shared" si="7"/>
        <v>4003526.0614796439</v>
      </c>
      <c r="F119" s="303">
        <f t="shared" si="8"/>
        <v>24596.994553974189</v>
      </c>
      <c r="G119" s="304">
        <f t="shared" si="9"/>
        <v>10417.839752900452</v>
      </c>
      <c r="H119" s="303">
        <f t="shared" si="10"/>
        <v>14179.154801073739</v>
      </c>
      <c r="I119" s="305">
        <f t="shared" si="11"/>
        <v>3993108.2217267435</v>
      </c>
    </row>
    <row r="120" spans="4:9" x14ac:dyDescent="0.25">
      <c r="D120" s="262">
        <f t="shared" si="6"/>
        <v>119</v>
      </c>
      <c r="E120" s="303">
        <f t="shared" si="7"/>
        <v>3993108.2217267435</v>
      </c>
      <c r="F120" s="303">
        <f t="shared" si="8"/>
        <v>24596.994553974193</v>
      </c>
      <c r="G120" s="304">
        <f t="shared" si="9"/>
        <v>10454.736268691975</v>
      </c>
      <c r="H120" s="303">
        <f t="shared" si="10"/>
        <v>14142.258285282218</v>
      </c>
      <c r="I120" s="305">
        <f t="shared" si="11"/>
        <v>3982653.4854580513</v>
      </c>
    </row>
    <row r="121" spans="4:9" x14ac:dyDescent="0.25">
      <c r="D121" s="262">
        <f t="shared" si="6"/>
        <v>120</v>
      </c>
      <c r="E121" s="303">
        <f t="shared" si="7"/>
        <v>3982653.4854580513</v>
      </c>
      <c r="F121" s="303">
        <f t="shared" si="8"/>
        <v>24596.994553974189</v>
      </c>
      <c r="G121" s="304">
        <f t="shared" si="9"/>
        <v>10491.763459643591</v>
      </c>
      <c r="H121" s="303">
        <f t="shared" si="10"/>
        <v>14105.2310943306</v>
      </c>
      <c r="I121" s="305">
        <f t="shared" si="11"/>
        <v>3972161.7219984075</v>
      </c>
    </row>
    <row r="122" spans="4:9" x14ac:dyDescent="0.25">
      <c r="D122" s="262">
        <f t="shared" si="6"/>
        <v>121</v>
      </c>
      <c r="E122" s="303">
        <f t="shared" si="7"/>
        <v>0</v>
      </c>
      <c r="F122" s="303">
        <f t="shared" si="8"/>
        <v>0</v>
      </c>
      <c r="G122" s="304">
        <f t="shared" si="9"/>
        <v>0</v>
      </c>
      <c r="H122" s="303">
        <f t="shared" si="10"/>
        <v>0</v>
      </c>
      <c r="I122" s="305">
        <f t="shared" si="11"/>
        <v>0</v>
      </c>
    </row>
    <row r="123" spans="4:9" x14ac:dyDescent="0.25">
      <c r="D123" s="262">
        <f t="shared" si="6"/>
        <v>122</v>
      </c>
      <c r="E123" s="303">
        <f t="shared" si="7"/>
        <v>0</v>
      </c>
      <c r="F123" s="303">
        <f t="shared" si="8"/>
        <v>0</v>
      </c>
      <c r="G123" s="304">
        <f t="shared" si="9"/>
        <v>0</v>
      </c>
      <c r="H123" s="303">
        <f t="shared" si="10"/>
        <v>0</v>
      </c>
      <c r="I123" s="305">
        <f t="shared" si="11"/>
        <v>0</v>
      </c>
    </row>
    <row r="124" spans="4:9" x14ac:dyDescent="0.25">
      <c r="D124" s="262">
        <f t="shared" si="6"/>
        <v>123</v>
      </c>
      <c r="E124" s="303">
        <f t="shared" si="7"/>
        <v>0</v>
      </c>
      <c r="F124" s="303">
        <f t="shared" si="8"/>
        <v>0</v>
      </c>
      <c r="G124" s="304">
        <f t="shared" si="9"/>
        <v>0</v>
      </c>
      <c r="H124" s="303">
        <f t="shared" si="10"/>
        <v>0</v>
      </c>
      <c r="I124" s="305">
        <f t="shared" si="11"/>
        <v>0</v>
      </c>
    </row>
    <row r="125" spans="4:9" x14ac:dyDescent="0.25">
      <c r="D125" s="262">
        <f t="shared" si="6"/>
        <v>124</v>
      </c>
      <c r="E125" s="303">
        <f t="shared" si="7"/>
        <v>0</v>
      </c>
      <c r="F125" s="303">
        <f t="shared" si="8"/>
        <v>0</v>
      </c>
      <c r="G125" s="304">
        <f t="shared" si="9"/>
        <v>0</v>
      </c>
      <c r="H125" s="303">
        <f t="shared" si="10"/>
        <v>0</v>
      </c>
      <c r="I125" s="305">
        <f t="shared" si="11"/>
        <v>0</v>
      </c>
    </row>
    <row r="126" spans="4:9" x14ac:dyDescent="0.25">
      <c r="D126" s="262">
        <f t="shared" si="6"/>
        <v>125</v>
      </c>
      <c r="E126" s="303">
        <f t="shared" si="7"/>
        <v>0</v>
      </c>
      <c r="F126" s="303">
        <f t="shared" si="8"/>
        <v>0</v>
      </c>
      <c r="G126" s="304">
        <f t="shared" si="9"/>
        <v>0</v>
      </c>
      <c r="H126" s="303">
        <f t="shared" si="10"/>
        <v>0</v>
      </c>
      <c r="I126" s="305">
        <f t="shared" si="11"/>
        <v>0</v>
      </c>
    </row>
    <row r="127" spans="4:9" x14ac:dyDescent="0.25">
      <c r="D127" s="262">
        <f t="shared" si="6"/>
        <v>126</v>
      </c>
      <c r="E127" s="303">
        <f t="shared" si="7"/>
        <v>0</v>
      </c>
      <c r="F127" s="303">
        <f t="shared" si="8"/>
        <v>0</v>
      </c>
      <c r="G127" s="304">
        <f t="shared" si="9"/>
        <v>0</v>
      </c>
      <c r="H127" s="303">
        <f t="shared" si="10"/>
        <v>0</v>
      </c>
      <c r="I127" s="305">
        <f t="shared" si="11"/>
        <v>0</v>
      </c>
    </row>
    <row r="128" spans="4:9" x14ac:dyDescent="0.25">
      <c r="D128" s="262">
        <f t="shared" si="6"/>
        <v>127</v>
      </c>
      <c r="E128" s="303">
        <f t="shared" si="7"/>
        <v>0</v>
      </c>
      <c r="F128" s="303">
        <f t="shared" si="8"/>
        <v>0</v>
      </c>
      <c r="G128" s="304">
        <f t="shared" si="9"/>
        <v>0</v>
      </c>
      <c r="H128" s="303">
        <f t="shared" si="10"/>
        <v>0</v>
      </c>
      <c r="I128" s="305">
        <f t="shared" si="11"/>
        <v>0</v>
      </c>
    </row>
    <row r="129" spans="4:9" x14ac:dyDescent="0.25">
      <c r="D129" s="262">
        <f t="shared" si="6"/>
        <v>128</v>
      </c>
      <c r="E129" s="303">
        <f t="shared" si="7"/>
        <v>0</v>
      </c>
      <c r="F129" s="303">
        <f t="shared" si="8"/>
        <v>0</v>
      </c>
      <c r="G129" s="304">
        <f t="shared" si="9"/>
        <v>0</v>
      </c>
      <c r="H129" s="303">
        <f t="shared" si="10"/>
        <v>0</v>
      </c>
      <c r="I129" s="305">
        <f t="shared" si="11"/>
        <v>0</v>
      </c>
    </row>
    <row r="130" spans="4:9" x14ac:dyDescent="0.25">
      <c r="D130" s="262">
        <f t="shared" si="6"/>
        <v>129</v>
      </c>
      <c r="E130" s="303">
        <f t="shared" si="7"/>
        <v>0</v>
      </c>
      <c r="F130" s="303">
        <f t="shared" si="8"/>
        <v>0</v>
      </c>
      <c r="G130" s="304">
        <f t="shared" si="9"/>
        <v>0</v>
      </c>
      <c r="H130" s="303">
        <f t="shared" si="10"/>
        <v>0</v>
      </c>
      <c r="I130" s="305">
        <f t="shared" si="11"/>
        <v>0</v>
      </c>
    </row>
    <row r="131" spans="4:9" x14ac:dyDescent="0.25">
      <c r="D131" s="262">
        <f t="shared" si="6"/>
        <v>130</v>
      </c>
      <c r="E131" s="303">
        <f t="shared" si="7"/>
        <v>0</v>
      </c>
      <c r="F131" s="303">
        <f t="shared" si="8"/>
        <v>0</v>
      </c>
      <c r="G131" s="304">
        <f t="shared" si="9"/>
        <v>0</v>
      </c>
      <c r="H131" s="303">
        <f t="shared" si="10"/>
        <v>0</v>
      </c>
      <c r="I131" s="305">
        <f t="shared" si="11"/>
        <v>0</v>
      </c>
    </row>
    <row r="132" spans="4:9" x14ac:dyDescent="0.25">
      <c r="D132" s="262">
        <f t="shared" ref="D132:D195" si="12">D131+1</f>
        <v>131</v>
      </c>
      <c r="E132" s="303">
        <f t="shared" ref="E132:E195" si="13">IF(D132/12&gt;$B$6,0,I131)</f>
        <v>0</v>
      </c>
      <c r="F132" s="303">
        <f t="shared" ref="F132:F195" si="14">SUM(G132:H132)</f>
        <v>0</v>
      </c>
      <c r="G132" s="304">
        <f t="shared" ref="G132:G195" si="15">IF(AND(D132&gt;$B$4,D132/12&lt;=$B$6),-PPMT($B$5/12,D132-$B$4,$B$3*12,$B$2,0,0),0)</f>
        <v>0</v>
      </c>
      <c r="H132" s="303">
        <f t="shared" ref="H132:H195" si="16">E132*$B$5/12</f>
        <v>0</v>
      </c>
      <c r="I132" s="305">
        <f t="shared" ref="I132:I195" si="17">E132-G132</f>
        <v>0</v>
      </c>
    </row>
    <row r="133" spans="4:9" x14ac:dyDescent="0.25">
      <c r="D133" s="262">
        <f t="shared" si="12"/>
        <v>132</v>
      </c>
      <c r="E133" s="303">
        <f t="shared" si="13"/>
        <v>0</v>
      </c>
      <c r="F133" s="303">
        <f t="shared" si="14"/>
        <v>0</v>
      </c>
      <c r="G133" s="304">
        <f t="shared" si="15"/>
        <v>0</v>
      </c>
      <c r="H133" s="303">
        <f t="shared" si="16"/>
        <v>0</v>
      </c>
      <c r="I133" s="305">
        <f t="shared" si="17"/>
        <v>0</v>
      </c>
    </row>
    <row r="134" spans="4:9" x14ac:dyDescent="0.25">
      <c r="D134" s="262">
        <f t="shared" si="12"/>
        <v>133</v>
      </c>
      <c r="E134" s="303">
        <f t="shared" si="13"/>
        <v>0</v>
      </c>
      <c r="F134" s="303">
        <f t="shared" si="14"/>
        <v>0</v>
      </c>
      <c r="G134" s="304">
        <f t="shared" si="15"/>
        <v>0</v>
      </c>
      <c r="H134" s="303">
        <f t="shared" si="16"/>
        <v>0</v>
      </c>
      <c r="I134" s="305">
        <f t="shared" si="17"/>
        <v>0</v>
      </c>
    </row>
    <row r="135" spans="4:9" x14ac:dyDescent="0.25">
      <c r="D135" s="262">
        <f t="shared" si="12"/>
        <v>134</v>
      </c>
      <c r="E135" s="303">
        <f t="shared" si="13"/>
        <v>0</v>
      </c>
      <c r="F135" s="303">
        <f t="shared" si="14"/>
        <v>0</v>
      </c>
      <c r="G135" s="304">
        <f t="shared" si="15"/>
        <v>0</v>
      </c>
      <c r="H135" s="303">
        <f t="shared" si="16"/>
        <v>0</v>
      </c>
      <c r="I135" s="305">
        <f t="shared" si="17"/>
        <v>0</v>
      </c>
    </row>
    <row r="136" spans="4:9" x14ac:dyDescent="0.25">
      <c r="D136" s="262">
        <f t="shared" si="12"/>
        <v>135</v>
      </c>
      <c r="E136" s="303">
        <f t="shared" si="13"/>
        <v>0</v>
      </c>
      <c r="F136" s="303">
        <f t="shared" si="14"/>
        <v>0</v>
      </c>
      <c r="G136" s="304">
        <f t="shared" si="15"/>
        <v>0</v>
      </c>
      <c r="H136" s="303">
        <f t="shared" si="16"/>
        <v>0</v>
      </c>
      <c r="I136" s="305">
        <f t="shared" si="17"/>
        <v>0</v>
      </c>
    </row>
    <row r="137" spans="4:9" x14ac:dyDescent="0.25">
      <c r="D137" s="262">
        <f t="shared" si="12"/>
        <v>136</v>
      </c>
      <c r="E137" s="303">
        <f t="shared" si="13"/>
        <v>0</v>
      </c>
      <c r="F137" s="303">
        <f t="shared" si="14"/>
        <v>0</v>
      </c>
      <c r="G137" s="304">
        <f t="shared" si="15"/>
        <v>0</v>
      </c>
      <c r="H137" s="303">
        <f t="shared" si="16"/>
        <v>0</v>
      </c>
      <c r="I137" s="305">
        <f t="shared" si="17"/>
        <v>0</v>
      </c>
    </row>
    <row r="138" spans="4:9" x14ac:dyDescent="0.25">
      <c r="D138" s="262">
        <f t="shared" si="12"/>
        <v>137</v>
      </c>
      <c r="E138" s="303">
        <f t="shared" si="13"/>
        <v>0</v>
      </c>
      <c r="F138" s="303">
        <f t="shared" si="14"/>
        <v>0</v>
      </c>
      <c r="G138" s="304">
        <f t="shared" si="15"/>
        <v>0</v>
      </c>
      <c r="H138" s="303">
        <f t="shared" si="16"/>
        <v>0</v>
      </c>
      <c r="I138" s="305">
        <f t="shared" si="17"/>
        <v>0</v>
      </c>
    </row>
    <row r="139" spans="4:9" x14ac:dyDescent="0.25">
      <c r="D139" s="262">
        <f t="shared" si="12"/>
        <v>138</v>
      </c>
      <c r="E139" s="303">
        <f t="shared" si="13"/>
        <v>0</v>
      </c>
      <c r="F139" s="303">
        <f t="shared" si="14"/>
        <v>0</v>
      </c>
      <c r="G139" s="304">
        <f t="shared" si="15"/>
        <v>0</v>
      </c>
      <c r="H139" s="303">
        <f t="shared" si="16"/>
        <v>0</v>
      </c>
      <c r="I139" s="305">
        <f t="shared" si="17"/>
        <v>0</v>
      </c>
    </row>
    <row r="140" spans="4:9" x14ac:dyDescent="0.25">
      <c r="D140" s="262">
        <f t="shared" si="12"/>
        <v>139</v>
      </c>
      <c r="E140" s="303">
        <f t="shared" si="13"/>
        <v>0</v>
      </c>
      <c r="F140" s="303">
        <f t="shared" si="14"/>
        <v>0</v>
      </c>
      <c r="G140" s="304">
        <f t="shared" si="15"/>
        <v>0</v>
      </c>
      <c r="H140" s="303">
        <f t="shared" si="16"/>
        <v>0</v>
      </c>
      <c r="I140" s="305">
        <f t="shared" si="17"/>
        <v>0</v>
      </c>
    </row>
    <row r="141" spans="4:9" x14ac:dyDescent="0.25">
      <c r="D141" s="262">
        <f t="shared" si="12"/>
        <v>140</v>
      </c>
      <c r="E141" s="303">
        <f t="shared" si="13"/>
        <v>0</v>
      </c>
      <c r="F141" s="303">
        <f t="shared" si="14"/>
        <v>0</v>
      </c>
      <c r="G141" s="304">
        <f t="shared" si="15"/>
        <v>0</v>
      </c>
      <c r="H141" s="303">
        <f t="shared" si="16"/>
        <v>0</v>
      </c>
      <c r="I141" s="305">
        <f t="shared" si="17"/>
        <v>0</v>
      </c>
    </row>
    <row r="142" spans="4:9" x14ac:dyDescent="0.25">
      <c r="D142" s="262">
        <f t="shared" si="12"/>
        <v>141</v>
      </c>
      <c r="E142" s="303">
        <f t="shared" si="13"/>
        <v>0</v>
      </c>
      <c r="F142" s="303">
        <f t="shared" si="14"/>
        <v>0</v>
      </c>
      <c r="G142" s="304">
        <f t="shared" si="15"/>
        <v>0</v>
      </c>
      <c r="H142" s="303">
        <f t="shared" si="16"/>
        <v>0</v>
      </c>
      <c r="I142" s="305">
        <f t="shared" si="17"/>
        <v>0</v>
      </c>
    </row>
    <row r="143" spans="4:9" x14ac:dyDescent="0.25">
      <c r="D143" s="262">
        <f t="shared" si="12"/>
        <v>142</v>
      </c>
      <c r="E143" s="303">
        <f t="shared" si="13"/>
        <v>0</v>
      </c>
      <c r="F143" s="303">
        <f t="shared" si="14"/>
        <v>0</v>
      </c>
      <c r="G143" s="304">
        <f t="shared" si="15"/>
        <v>0</v>
      </c>
      <c r="H143" s="303">
        <f t="shared" si="16"/>
        <v>0</v>
      </c>
      <c r="I143" s="305">
        <f t="shared" si="17"/>
        <v>0</v>
      </c>
    </row>
    <row r="144" spans="4:9" x14ac:dyDescent="0.25">
      <c r="D144" s="262">
        <f t="shared" si="12"/>
        <v>143</v>
      </c>
      <c r="E144" s="303">
        <f t="shared" si="13"/>
        <v>0</v>
      </c>
      <c r="F144" s="303">
        <f t="shared" si="14"/>
        <v>0</v>
      </c>
      <c r="G144" s="304">
        <f t="shared" si="15"/>
        <v>0</v>
      </c>
      <c r="H144" s="303">
        <f t="shared" si="16"/>
        <v>0</v>
      </c>
      <c r="I144" s="305">
        <f t="shared" si="17"/>
        <v>0</v>
      </c>
    </row>
    <row r="145" spans="4:9" x14ac:dyDescent="0.25">
      <c r="D145" s="262">
        <f t="shared" si="12"/>
        <v>144</v>
      </c>
      <c r="E145" s="303">
        <f t="shared" si="13"/>
        <v>0</v>
      </c>
      <c r="F145" s="303">
        <f t="shared" si="14"/>
        <v>0</v>
      </c>
      <c r="G145" s="304">
        <f t="shared" si="15"/>
        <v>0</v>
      </c>
      <c r="H145" s="303">
        <f t="shared" si="16"/>
        <v>0</v>
      </c>
      <c r="I145" s="305">
        <f t="shared" si="17"/>
        <v>0</v>
      </c>
    </row>
    <row r="146" spans="4:9" x14ac:dyDescent="0.25">
      <c r="D146" s="262">
        <f t="shared" si="12"/>
        <v>145</v>
      </c>
      <c r="E146" s="303">
        <f t="shared" si="13"/>
        <v>0</v>
      </c>
      <c r="F146" s="303">
        <f t="shared" si="14"/>
        <v>0</v>
      </c>
      <c r="G146" s="304">
        <f t="shared" si="15"/>
        <v>0</v>
      </c>
      <c r="H146" s="303">
        <f t="shared" si="16"/>
        <v>0</v>
      </c>
      <c r="I146" s="305">
        <f t="shared" si="17"/>
        <v>0</v>
      </c>
    </row>
    <row r="147" spans="4:9" x14ac:dyDescent="0.25">
      <c r="D147" s="262">
        <f t="shared" si="12"/>
        <v>146</v>
      </c>
      <c r="E147" s="303">
        <f t="shared" si="13"/>
        <v>0</v>
      </c>
      <c r="F147" s="303">
        <f t="shared" si="14"/>
        <v>0</v>
      </c>
      <c r="G147" s="304">
        <f t="shared" si="15"/>
        <v>0</v>
      </c>
      <c r="H147" s="303">
        <f t="shared" si="16"/>
        <v>0</v>
      </c>
      <c r="I147" s="305">
        <f t="shared" si="17"/>
        <v>0</v>
      </c>
    </row>
    <row r="148" spans="4:9" x14ac:dyDescent="0.25">
      <c r="D148" s="262">
        <f t="shared" si="12"/>
        <v>147</v>
      </c>
      <c r="E148" s="303">
        <f t="shared" si="13"/>
        <v>0</v>
      </c>
      <c r="F148" s="303">
        <f t="shared" si="14"/>
        <v>0</v>
      </c>
      <c r="G148" s="304">
        <f t="shared" si="15"/>
        <v>0</v>
      </c>
      <c r="H148" s="303">
        <f t="shared" si="16"/>
        <v>0</v>
      </c>
      <c r="I148" s="305">
        <f t="shared" si="17"/>
        <v>0</v>
      </c>
    </row>
    <row r="149" spans="4:9" x14ac:dyDescent="0.25">
      <c r="D149" s="262">
        <f t="shared" si="12"/>
        <v>148</v>
      </c>
      <c r="E149" s="303">
        <f t="shared" si="13"/>
        <v>0</v>
      </c>
      <c r="F149" s="303">
        <f t="shared" si="14"/>
        <v>0</v>
      </c>
      <c r="G149" s="304">
        <f t="shared" si="15"/>
        <v>0</v>
      </c>
      <c r="H149" s="303">
        <f t="shared" si="16"/>
        <v>0</v>
      </c>
      <c r="I149" s="305">
        <f t="shared" si="17"/>
        <v>0</v>
      </c>
    </row>
    <row r="150" spans="4:9" x14ac:dyDescent="0.25">
      <c r="D150" s="262">
        <f t="shared" si="12"/>
        <v>149</v>
      </c>
      <c r="E150" s="303">
        <f t="shared" si="13"/>
        <v>0</v>
      </c>
      <c r="F150" s="303">
        <f t="shared" si="14"/>
        <v>0</v>
      </c>
      <c r="G150" s="304">
        <f t="shared" si="15"/>
        <v>0</v>
      </c>
      <c r="H150" s="303">
        <f t="shared" si="16"/>
        <v>0</v>
      </c>
      <c r="I150" s="305">
        <f t="shared" si="17"/>
        <v>0</v>
      </c>
    </row>
    <row r="151" spans="4:9" x14ac:dyDescent="0.25">
      <c r="D151" s="262">
        <f t="shared" si="12"/>
        <v>150</v>
      </c>
      <c r="E151" s="303">
        <f t="shared" si="13"/>
        <v>0</v>
      </c>
      <c r="F151" s="303">
        <f t="shared" si="14"/>
        <v>0</v>
      </c>
      <c r="G151" s="304">
        <f t="shared" si="15"/>
        <v>0</v>
      </c>
      <c r="H151" s="303">
        <f t="shared" si="16"/>
        <v>0</v>
      </c>
      <c r="I151" s="305">
        <f t="shared" si="17"/>
        <v>0</v>
      </c>
    </row>
    <row r="152" spans="4:9" x14ac:dyDescent="0.25">
      <c r="D152" s="262">
        <f t="shared" si="12"/>
        <v>151</v>
      </c>
      <c r="E152" s="303">
        <f t="shared" si="13"/>
        <v>0</v>
      </c>
      <c r="F152" s="303">
        <f t="shared" si="14"/>
        <v>0</v>
      </c>
      <c r="G152" s="304">
        <f t="shared" si="15"/>
        <v>0</v>
      </c>
      <c r="H152" s="303">
        <f t="shared" si="16"/>
        <v>0</v>
      </c>
      <c r="I152" s="305">
        <f t="shared" si="17"/>
        <v>0</v>
      </c>
    </row>
    <row r="153" spans="4:9" x14ac:dyDescent="0.25">
      <c r="D153" s="262">
        <f t="shared" si="12"/>
        <v>152</v>
      </c>
      <c r="E153" s="303">
        <f t="shared" si="13"/>
        <v>0</v>
      </c>
      <c r="F153" s="303">
        <f t="shared" si="14"/>
        <v>0</v>
      </c>
      <c r="G153" s="304">
        <f t="shared" si="15"/>
        <v>0</v>
      </c>
      <c r="H153" s="303">
        <f t="shared" si="16"/>
        <v>0</v>
      </c>
      <c r="I153" s="305">
        <f t="shared" si="17"/>
        <v>0</v>
      </c>
    </row>
    <row r="154" spans="4:9" x14ac:dyDescent="0.25">
      <c r="D154" s="262">
        <f t="shared" si="12"/>
        <v>153</v>
      </c>
      <c r="E154" s="303">
        <f t="shared" si="13"/>
        <v>0</v>
      </c>
      <c r="F154" s="303">
        <f t="shared" si="14"/>
        <v>0</v>
      </c>
      <c r="G154" s="304">
        <f t="shared" si="15"/>
        <v>0</v>
      </c>
      <c r="H154" s="303">
        <f t="shared" si="16"/>
        <v>0</v>
      </c>
      <c r="I154" s="305">
        <f t="shared" si="17"/>
        <v>0</v>
      </c>
    </row>
    <row r="155" spans="4:9" x14ac:dyDescent="0.25">
      <c r="D155" s="262">
        <f t="shared" si="12"/>
        <v>154</v>
      </c>
      <c r="E155" s="303">
        <f t="shared" si="13"/>
        <v>0</v>
      </c>
      <c r="F155" s="303">
        <f t="shared" si="14"/>
        <v>0</v>
      </c>
      <c r="G155" s="304">
        <f t="shared" si="15"/>
        <v>0</v>
      </c>
      <c r="H155" s="303">
        <f t="shared" si="16"/>
        <v>0</v>
      </c>
      <c r="I155" s="305">
        <f t="shared" si="17"/>
        <v>0</v>
      </c>
    </row>
    <row r="156" spans="4:9" x14ac:dyDescent="0.25">
      <c r="D156" s="262">
        <f t="shared" si="12"/>
        <v>155</v>
      </c>
      <c r="E156" s="303">
        <f t="shared" si="13"/>
        <v>0</v>
      </c>
      <c r="F156" s="303">
        <f t="shared" si="14"/>
        <v>0</v>
      </c>
      <c r="G156" s="304">
        <f t="shared" si="15"/>
        <v>0</v>
      </c>
      <c r="H156" s="303">
        <f t="shared" si="16"/>
        <v>0</v>
      </c>
      <c r="I156" s="305">
        <f t="shared" si="17"/>
        <v>0</v>
      </c>
    </row>
    <row r="157" spans="4:9" x14ac:dyDescent="0.25">
      <c r="D157" s="262">
        <f t="shared" si="12"/>
        <v>156</v>
      </c>
      <c r="E157" s="303">
        <f t="shared" si="13"/>
        <v>0</v>
      </c>
      <c r="F157" s="303">
        <f t="shared" si="14"/>
        <v>0</v>
      </c>
      <c r="G157" s="304">
        <f t="shared" si="15"/>
        <v>0</v>
      </c>
      <c r="H157" s="303">
        <f t="shared" si="16"/>
        <v>0</v>
      </c>
      <c r="I157" s="305">
        <f t="shared" si="17"/>
        <v>0</v>
      </c>
    </row>
    <row r="158" spans="4:9" x14ac:dyDescent="0.25">
      <c r="D158" s="262">
        <f t="shared" si="12"/>
        <v>157</v>
      </c>
      <c r="E158" s="303">
        <f t="shared" si="13"/>
        <v>0</v>
      </c>
      <c r="F158" s="303">
        <f t="shared" si="14"/>
        <v>0</v>
      </c>
      <c r="G158" s="304">
        <f t="shared" si="15"/>
        <v>0</v>
      </c>
      <c r="H158" s="303">
        <f t="shared" si="16"/>
        <v>0</v>
      </c>
      <c r="I158" s="305">
        <f t="shared" si="17"/>
        <v>0</v>
      </c>
    </row>
    <row r="159" spans="4:9" x14ac:dyDescent="0.25">
      <c r="D159" s="262">
        <f t="shared" si="12"/>
        <v>158</v>
      </c>
      <c r="E159" s="303">
        <f t="shared" si="13"/>
        <v>0</v>
      </c>
      <c r="F159" s="303">
        <f t="shared" si="14"/>
        <v>0</v>
      </c>
      <c r="G159" s="304">
        <f t="shared" si="15"/>
        <v>0</v>
      </c>
      <c r="H159" s="303">
        <f t="shared" si="16"/>
        <v>0</v>
      </c>
      <c r="I159" s="305">
        <f t="shared" si="17"/>
        <v>0</v>
      </c>
    </row>
    <row r="160" spans="4:9" x14ac:dyDescent="0.25">
      <c r="D160" s="262">
        <f t="shared" si="12"/>
        <v>159</v>
      </c>
      <c r="E160" s="303">
        <f t="shared" si="13"/>
        <v>0</v>
      </c>
      <c r="F160" s="303">
        <f t="shared" si="14"/>
        <v>0</v>
      </c>
      <c r="G160" s="304">
        <f t="shared" si="15"/>
        <v>0</v>
      </c>
      <c r="H160" s="303">
        <f t="shared" si="16"/>
        <v>0</v>
      </c>
      <c r="I160" s="305">
        <f t="shared" si="17"/>
        <v>0</v>
      </c>
    </row>
    <row r="161" spans="4:9" x14ac:dyDescent="0.25">
      <c r="D161" s="262">
        <f t="shared" si="12"/>
        <v>160</v>
      </c>
      <c r="E161" s="303">
        <f t="shared" si="13"/>
        <v>0</v>
      </c>
      <c r="F161" s="303">
        <f t="shared" si="14"/>
        <v>0</v>
      </c>
      <c r="G161" s="304">
        <f t="shared" si="15"/>
        <v>0</v>
      </c>
      <c r="H161" s="303">
        <f t="shared" si="16"/>
        <v>0</v>
      </c>
      <c r="I161" s="305">
        <f t="shared" si="17"/>
        <v>0</v>
      </c>
    </row>
    <row r="162" spans="4:9" x14ac:dyDescent="0.25">
      <c r="D162" s="262">
        <f t="shared" si="12"/>
        <v>161</v>
      </c>
      <c r="E162" s="303">
        <f t="shared" si="13"/>
        <v>0</v>
      </c>
      <c r="F162" s="303">
        <f t="shared" si="14"/>
        <v>0</v>
      </c>
      <c r="G162" s="304">
        <f t="shared" si="15"/>
        <v>0</v>
      </c>
      <c r="H162" s="303">
        <f t="shared" si="16"/>
        <v>0</v>
      </c>
      <c r="I162" s="305">
        <f t="shared" si="17"/>
        <v>0</v>
      </c>
    </row>
    <row r="163" spans="4:9" x14ac:dyDescent="0.25">
      <c r="D163" s="262">
        <f t="shared" si="12"/>
        <v>162</v>
      </c>
      <c r="E163" s="303">
        <f t="shared" si="13"/>
        <v>0</v>
      </c>
      <c r="F163" s="303">
        <f t="shared" si="14"/>
        <v>0</v>
      </c>
      <c r="G163" s="304">
        <f t="shared" si="15"/>
        <v>0</v>
      </c>
      <c r="H163" s="303">
        <f t="shared" si="16"/>
        <v>0</v>
      </c>
      <c r="I163" s="305">
        <f t="shared" si="17"/>
        <v>0</v>
      </c>
    </row>
    <row r="164" spans="4:9" x14ac:dyDescent="0.25">
      <c r="D164" s="262">
        <f t="shared" si="12"/>
        <v>163</v>
      </c>
      <c r="E164" s="303">
        <f t="shared" si="13"/>
        <v>0</v>
      </c>
      <c r="F164" s="303">
        <f t="shared" si="14"/>
        <v>0</v>
      </c>
      <c r="G164" s="304">
        <f t="shared" si="15"/>
        <v>0</v>
      </c>
      <c r="H164" s="303">
        <f t="shared" si="16"/>
        <v>0</v>
      </c>
      <c r="I164" s="305">
        <f t="shared" si="17"/>
        <v>0</v>
      </c>
    </row>
    <row r="165" spans="4:9" x14ac:dyDescent="0.25">
      <c r="D165" s="262">
        <f t="shared" si="12"/>
        <v>164</v>
      </c>
      <c r="E165" s="303">
        <f t="shared" si="13"/>
        <v>0</v>
      </c>
      <c r="F165" s="303">
        <f t="shared" si="14"/>
        <v>0</v>
      </c>
      <c r="G165" s="304">
        <f t="shared" si="15"/>
        <v>0</v>
      </c>
      <c r="H165" s="303">
        <f t="shared" si="16"/>
        <v>0</v>
      </c>
      <c r="I165" s="305">
        <f t="shared" si="17"/>
        <v>0</v>
      </c>
    </row>
    <row r="166" spans="4:9" x14ac:dyDescent="0.25">
      <c r="D166" s="262">
        <f t="shared" si="12"/>
        <v>165</v>
      </c>
      <c r="E166" s="303">
        <f t="shared" si="13"/>
        <v>0</v>
      </c>
      <c r="F166" s="303">
        <f t="shared" si="14"/>
        <v>0</v>
      </c>
      <c r="G166" s="304">
        <f t="shared" si="15"/>
        <v>0</v>
      </c>
      <c r="H166" s="303">
        <f t="shared" si="16"/>
        <v>0</v>
      </c>
      <c r="I166" s="305">
        <f t="shared" si="17"/>
        <v>0</v>
      </c>
    </row>
    <row r="167" spans="4:9" x14ac:dyDescent="0.25">
      <c r="D167" s="262">
        <f t="shared" si="12"/>
        <v>166</v>
      </c>
      <c r="E167" s="303">
        <f t="shared" si="13"/>
        <v>0</v>
      </c>
      <c r="F167" s="303">
        <f t="shared" si="14"/>
        <v>0</v>
      </c>
      <c r="G167" s="304">
        <f t="shared" si="15"/>
        <v>0</v>
      </c>
      <c r="H167" s="303">
        <f t="shared" si="16"/>
        <v>0</v>
      </c>
      <c r="I167" s="305">
        <f t="shared" si="17"/>
        <v>0</v>
      </c>
    </row>
    <row r="168" spans="4:9" x14ac:dyDescent="0.25">
      <c r="D168" s="262">
        <f t="shared" si="12"/>
        <v>167</v>
      </c>
      <c r="E168" s="303">
        <f t="shared" si="13"/>
        <v>0</v>
      </c>
      <c r="F168" s="303">
        <f t="shared" si="14"/>
        <v>0</v>
      </c>
      <c r="G168" s="304">
        <f t="shared" si="15"/>
        <v>0</v>
      </c>
      <c r="H168" s="303">
        <f t="shared" si="16"/>
        <v>0</v>
      </c>
      <c r="I168" s="305">
        <f t="shared" si="17"/>
        <v>0</v>
      </c>
    </row>
    <row r="169" spans="4:9" x14ac:dyDescent="0.25">
      <c r="D169" s="262">
        <f t="shared" si="12"/>
        <v>168</v>
      </c>
      <c r="E169" s="303">
        <f t="shared" si="13"/>
        <v>0</v>
      </c>
      <c r="F169" s="303">
        <f t="shared" si="14"/>
        <v>0</v>
      </c>
      <c r="G169" s="304">
        <f t="shared" si="15"/>
        <v>0</v>
      </c>
      <c r="H169" s="303">
        <f t="shared" si="16"/>
        <v>0</v>
      </c>
      <c r="I169" s="305">
        <f t="shared" si="17"/>
        <v>0</v>
      </c>
    </row>
    <row r="170" spans="4:9" x14ac:dyDescent="0.25">
      <c r="D170" s="262">
        <f t="shared" si="12"/>
        <v>169</v>
      </c>
      <c r="E170" s="303">
        <f t="shared" si="13"/>
        <v>0</v>
      </c>
      <c r="F170" s="303">
        <f t="shared" si="14"/>
        <v>0</v>
      </c>
      <c r="G170" s="304">
        <f t="shared" si="15"/>
        <v>0</v>
      </c>
      <c r="H170" s="303">
        <f t="shared" si="16"/>
        <v>0</v>
      </c>
      <c r="I170" s="305">
        <f t="shared" si="17"/>
        <v>0</v>
      </c>
    </row>
    <row r="171" spans="4:9" x14ac:dyDescent="0.25">
      <c r="D171" s="262">
        <f t="shared" si="12"/>
        <v>170</v>
      </c>
      <c r="E171" s="303">
        <f t="shared" si="13"/>
        <v>0</v>
      </c>
      <c r="F171" s="303">
        <f t="shared" si="14"/>
        <v>0</v>
      </c>
      <c r="G171" s="304">
        <f t="shared" si="15"/>
        <v>0</v>
      </c>
      <c r="H171" s="303">
        <f t="shared" si="16"/>
        <v>0</v>
      </c>
      <c r="I171" s="305">
        <f t="shared" si="17"/>
        <v>0</v>
      </c>
    </row>
    <row r="172" spans="4:9" x14ac:dyDescent="0.25">
      <c r="D172" s="262">
        <f t="shared" si="12"/>
        <v>171</v>
      </c>
      <c r="E172" s="303">
        <f t="shared" si="13"/>
        <v>0</v>
      </c>
      <c r="F172" s="303">
        <f t="shared" si="14"/>
        <v>0</v>
      </c>
      <c r="G172" s="304">
        <f t="shared" si="15"/>
        <v>0</v>
      </c>
      <c r="H172" s="303">
        <f t="shared" si="16"/>
        <v>0</v>
      </c>
      <c r="I172" s="305">
        <f t="shared" si="17"/>
        <v>0</v>
      </c>
    </row>
    <row r="173" spans="4:9" x14ac:dyDescent="0.25">
      <c r="D173" s="262">
        <f t="shared" si="12"/>
        <v>172</v>
      </c>
      <c r="E173" s="303">
        <f t="shared" si="13"/>
        <v>0</v>
      </c>
      <c r="F173" s="303">
        <f t="shared" si="14"/>
        <v>0</v>
      </c>
      <c r="G173" s="304">
        <f t="shared" si="15"/>
        <v>0</v>
      </c>
      <c r="H173" s="303">
        <f t="shared" si="16"/>
        <v>0</v>
      </c>
      <c r="I173" s="305">
        <f t="shared" si="17"/>
        <v>0</v>
      </c>
    </row>
    <row r="174" spans="4:9" x14ac:dyDescent="0.25">
      <c r="D174" s="262">
        <f t="shared" si="12"/>
        <v>173</v>
      </c>
      <c r="E174" s="303">
        <f t="shared" si="13"/>
        <v>0</v>
      </c>
      <c r="F174" s="303">
        <f t="shared" si="14"/>
        <v>0</v>
      </c>
      <c r="G174" s="304">
        <f t="shared" si="15"/>
        <v>0</v>
      </c>
      <c r="H174" s="303">
        <f t="shared" si="16"/>
        <v>0</v>
      </c>
      <c r="I174" s="305">
        <f t="shared" si="17"/>
        <v>0</v>
      </c>
    </row>
    <row r="175" spans="4:9" x14ac:dyDescent="0.25">
      <c r="D175" s="262">
        <f t="shared" si="12"/>
        <v>174</v>
      </c>
      <c r="E175" s="303">
        <f t="shared" si="13"/>
        <v>0</v>
      </c>
      <c r="F175" s="303">
        <f t="shared" si="14"/>
        <v>0</v>
      </c>
      <c r="G175" s="304">
        <f t="shared" si="15"/>
        <v>0</v>
      </c>
      <c r="H175" s="303">
        <f t="shared" si="16"/>
        <v>0</v>
      </c>
      <c r="I175" s="305">
        <f t="shared" si="17"/>
        <v>0</v>
      </c>
    </row>
    <row r="176" spans="4:9" x14ac:dyDescent="0.25">
      <c r="D176" s="262">
        <f t="shared" si="12"/>
        <v>175</v>
      </c>
      <c r="E176" s="303">
        <f t="shared" si="13"/>
        <v>0</v>
      </c>
      <c r="F176" s="303">
        <f t="shared" si="14"/>
        <v>0</v>
      </c>
      <c r="G176" s="304">
        <f t="shared" si="15"/>
        <v>0</v>
      </c>
      <c r="H176" s="303">
        <f t="shared" si="16"/>
        <v>0</v>
      </c>
      <c r="I176" s="305">
        <f t="shared" si="17"/>
        <v>0</v>
      </c>
    </row>
    <row r="177" spans="4:9" x14ac:dyDescent="0.25">
      <c r="D177" s="262">
        <f t="shared" si="12"/>
        <v>176</v>
      </c>
      <c r="E177" s="303">
        <f t="shared" si="13"/>
        <v>0</v>
      </c>
      <c r="F177" s="303">
        <f t="shared" si="14"/>
        <v>0</v>
      </c>
      <c r="G177" s="304">
        <f t="shared" si="15"/>
        <v>0</v>
      </c>
      <c r="H177" s="303">
        <f t="shared" si="16"/>
        <v>0</v>
      </c>
      <c r="I177" s="305">
        <f t="shared" si="17"/>
        <v>0</v>
      </c>
    </row>
    <row r="178" spans="4:9" x14ac:dyDescent="0.25">
      <c r="D178" s="262">
        <f t="shared" si="12"/>
        <v>177</v>
      </c>
      <c r="E178" s="303">
        <f t="shared" si="13"/>
        <v>0</v>
      </c>
      <c r="F178" s="303">
        <f t="shared" si="14"/>
        <v>0</v>
      </c>
      <c r="G178" s="304">
        <f t="shared" si="15"/>
        <v>0</v>
      </c>
      <c r="H178" s="303">
        <f t="shared" si="16"/>
        <v>0</v>
      </c>
      <c r="I178" s="305">
        <f t="shared" si="17"/>
        <v>0</v>
      </c>
    </row>
    <row r="179" spans="4:9" x14ac:dyDescent="0.25">
      <c r="D179" s="262">
        <f t="shared" si="12"/>
        <v>178</v>
      </c>
      <c r="E179" s="303">
        <f t="shared" si="13"/>
        <v>0</v>
      </c>
      <c r="F179" s="303">
        <f t="shared" si="14"/>
        <v>0</v>
      </c>
      <c r="G179" s="304">
        <f t="shared" si="15"/>
        <v>0</v>
      </c>
      <c r="H179" s="303">
        <f t="shared" si="16"/>
        <v>0</v>
      </c>
      <c r="I179" s="305">
        <f t="shared" si="17"/>
        <v>0</v>
      </c>
    </row>
    <row r="180" spans="4:9" x14ac:dyDescent="0.25">
      <c r="D180" s="262">
        <f t="shared" si="12"/>
        <v>179</v>
      </c>
      <c r="E180" s="303">
        <f t="shared" si="13"/>
        <v>0</v>
      </c>
      <c r="F180" s="303">
        <f t="shared" si="14"/>
        <v>0</v>
      </c>
      <c r="G180" s="304">
        <f t="shared" si="15"/>
        <v>0</v>
      </c>
      <c r="H180" s="303">
        <f t="shared" si="16"/>
        <v>0</v>
      </c>
      <c r="I180" s="305">
        <f t="shared" si="17"/>
        <v>0</v>
      </c>
    </row>
    <row r="181" spans="4:9" x14ac:dyDescent="0.25">
      <c r="D181" s="262">
        <f t="shared" si="12"/>
        <v>180</v>
      </c>
      <c r="E181" s="303">
        <f t="shared" si="13"/>
        <v>0</v>
      </c>
      <c r="F181" s="303">
        <f t="shared" si="14"/>
        <v>0</v>
      </c>
      <c r="G181" s="304">
        <f t="shared" si="15"/>
        <v>0</v>
      </c>
      <c r="H181" s="303">
        <f t="shared" si="16"/>
        <v>0</v>
      </c>
      <c r="I181" s="305">
        <f t="shared" si="17"/>
        <v>0</v>
      </c>
    </row>
    <row r="182" spans="4:9" x14ac:dyDescent="0.25">
      <c r="D182" s="262">
        <f t="shared" si="12"/>
        <v>181</v>
      </c>
      <c r="E182" s="303">
        <f t="shared" si="13"/>
        <v>0</v>
      </c>
      <c r="F182" s="303">
        <f t="shared" si="14"/>
        <v>0</v>
      </c>
      <c r="G182" s="304">
        <f t="shared" si="15"/>
        <v>0</v>
      </c>
      <c r="H182" s="303">
        <f t="shared" si="16"/>
        <v>0</v>
      </c>
      <c r="I182" s="305">
        <f t="shared" si="17"/>
        <v>0</v>
      </c>
    </row>
    <row r="183" spans="4:9" x14ac:dyDescent="0.25">
      <c r="D183" s="262">
        <f t="shared" si="12"/>
        <v>182</v>
      </c>
      <c r="E183" s="303">
        <f t="shared" si="13"/>
        <v>0</v>
      </c>
      <c r="F183" s="303">
        <f t="shared" si="14"/>
        <v>0</v>
      </c>
      <c r="G183" s="304">
        <f t="shared" si="15"/>
        <v>0</v>
      </c>
      <c r="H183" s="303">
        <f t="shared" si="16"/>
        <v>0</v>
      </c>
      <c r="I183" s="305">
        <f t="shared" si="17"/>
        <v>0</v>
      </c>
    </row>
    <row r="184" spans="4:9" x14ac:dyDescent="0.25">
      <c r="D184" s="262">
        <f t="shared" si="12"/>
        <v>183</v>
      </c>
      <c r="E184" s="303">
        <f t="shared" si="13"/>
        <v>0</v>
      </c>
      <c r="F184" s="303">
        <f t="shared" si="14"/>
        <v>0</v>
      </c>
      <c r="G184" s="304">
        <f t="shared" si="15"/>
        <v>0</v>
      </c>
      <c r="H184" s="303">
        <f t="shared" si="16"/>
        <v>0</v>
      </c>
      <c r="I184" s="305">
        <f t="shared" si="17"/>
        <v>0</v>
      </c>
    </row>
    <row r="185" spans="4:9" x14ac:dyDescent="0.25">
      <c r="D185" s="262">
        <f t="shared" si="12"/>
        <v>184</v>
      </c>
      <c r="E185" s="303">
        <f t="shared" si="13"/>
        <v>0</v>
      </c>
      <c r="F185" s="303">
        <f t="shared" si="14"/>
        <v>0</v>
      </c>
      <c r="G185" s="304">
        <f t="shared" si="15"/>
        <v>0</v>
      </c>
      <c r="H185" s="303">
        <f t="shared" si="16"/>
        <v>0</v>
      </c>
      <c r="I185" s="305">
        <f t="shared" si="17"/>
        <v>0</v>
      </c>
    </row>
    <row r="186" spans="4:9" x14ac:dyDescent="0.25">
      <c r="D186" s="262">
        <f t="shared" si="12"/>
        <v>185</v>
      </c>
      <c r="E186" s="303">
        <f t="shared" si="13"/>
        <v>0</v>
      </c>
      <c r="F186" s="303">
        <f t="shared" si="14"/>
        <v>0</v>
      </c>
      <c r="G186" s="304">
        <f t="shared" si="15"/>
        <v>0</v>
      </c>
      <c r="H186" s="303">
        <f t="shared" si="16"/>
        <v>0</v>
      </c>
      <c r="I186" s="305">
        <f t="shared" si="17"/>
        <v>0</v>
      </c>
    </row>
    <row r="187" spans="4:9" x14ac:dyDescent="0.25">
      <c r="D187" s="262">
        <f t="shared" si="12"/>
        <v>186</v>
      </c>
      <c r="E187" s="303">
        <f t="shared" si="13"/>
        <v>0</v>
      </c>
      <c r="F187" s="303">
        <f t="shared" si="14"/>
        <v>0</v>
      </c>
      <c r="G187" s="304">
        <f t="shared" si="15"/>
        <v>0</v>
      </c>
      <c r="H187" s="303">
        <f t="shared" si="16"/>
        <v>0</v>
      </c>
      <c r="I187" s="305">
        <f t="shared" si="17"/>
        <v>0</v>
      </c>
    </row>
    <row r="188" spans="4:9" x14ac:dyDescent="0.25">
      <c r="D188" s="262">
        <f t="shared" si="12"/>
        <v>187</v>
      </c>
      <c r="E188" s="303">
        <f t="shared" si="13"/>
        <v>0</v>
      </c>
      <c r="F188" s="303">
        <f t="shared" si="14"/>
        <v>0</v>
      </c>
      <c r="G188" s="304">
        <f t="shared" si="15"/>
        <v>0</v>
      </c>
      <c r="H188" s="303">
        <f t="shared" si="16"/>
        <v>0</v>
      </c>
      <c r="I188" s="305">
        <f t="shared" si="17"/>
        <v>0</v>
      </c>
    </row>
    <row r="189" spans="4:9" x14ac:dyDescent="0.25">
      <c r="D189" s="262">
        <f t="shared" si="12"/>
        <v>188</v>
      </c>
      <c r="E189" s="303">
        <f t="shared" si="13"/>
        <v>0</v>
      </c>
      <c r="F189" s="303">
        <f t="shared" si="14"/>
        <v>0</v>
      </c>
      <c r="G189" s="304">
        <f t="shared" si="15"/>
        <v>0</v>
      </c>
      <c r="H189" s="303">
        <f t="shared" si="16"/>
        <v>0</v>
      </c>
      <c r="I189" s="305">
        <f t="shared" si="17"/>
        <v>0</v>
      </c>
    </row>
    <row r="190" spans="4:9" x14ac:dyDescent="0.25">
      <c r="D190" s="262">
        <f t="shared" si="12"/>
        <v>189</v>
      </c>
      <c r="E190" s="303">
        <f t="shared" si="13"/>
        <v>0</v>
      </c>
      <c r="F190" s="303">
        <f t="shared" si="14"/>
        <v>0</v>
      </c>
      <c r="G190" s="304">
        <f t="shared" si="15"/>
        <v>0</v>
      </c>
      <c r="H190" s="303">
        <f t="shared" si="16"/>
        <v>0</v>
      </c>
      <c r="I190" s="305">
        <f t="shared" si="17"/>
        <v>0</v>
      </c>
    </row>
    <row r="191" spans="4:9" x14ac:dyDescent="0.25">
      <c r="D191" s="262">
        <f t="shared" si="12"/>
        <v>190</v>
      </c>
      <c r="E191" s="303">
        <f t="shared" si="13"/>
        <v>0</v>
      </c>
      <c r="F191" s="303">
        <f t="shared" si="14"/>
        <v>0</v>
      </c>
      <c r="G191" s="304">
        <f t="shared" si="15"/>
        <v>0</v>
      </c>
      <c r="H191" s="303">
        <f t="shared" si="16"/>
        <v>0</v>
      </c>
      <c r="I191" s="305">
        <f t="shared" si="17"/>
        <v>0</v>
      </c>
    </row>
    <row r="192" spans="4:9" x14ac:dyDescent="0.25">
      <c r="D192" s="262">
        <f t="shared" si="12"/>
        <v>191</v>
      </c>
      <c r="E192" s="303">
        <f t="shared" si="13"/>
        <v>0</v>
      </c>
      <c r="F192" s="303">
        <f t="shared" si="14"/>
        <v>0</v>
      </c>
      <c r="G192" s="304">
        <f t="shared" si="15"/>
        <v>0</v>
      </c>
      <c r="H192" s="303">
        <f t="shared" si="16"/>
        <v>0</v>
      </c>
      <c r="I192" s="305">
        <f t="shared" si="17"/>
        <v>0</v>
      </c>
    </row>
    <row r="193" spans="4:9" x14ac:dyDescent="0.25">
      <c r="D193" s="262">
        <f t="shared" si="12"/>
        <v>192</v>
      </c>
      <c r="E193" s="303">
        <f t="shared" si="13"/>
        <v>0</v>
      </c>
      <c r="F193" s="303">
        <f t="shared" si="14"/>
        <v>0</v>
      </c>
      <c r="G193" s="304">
        <f t="shared" si="15"/>
        <v>0</v>
      </c>
      <c r="H193" s="303">
        <f t="shared" si="16"/>
        <v>0</v>
      </c>
      <c r="I193" s="305">
        <f t="shared" si="17"/>
        <v>0</v>
      </c>
    </row>
    <row r="194" spans="4:9" x14ac:dyDescent="0.25">
      <c r="D194" s="262">
        <f t="shared" si="12"/>
        <v>193</v>
      </c>
      <c r="E194" s="303">
        <f t="shared" si="13"/>
        <v>0</v>
      </c>
      <c r="F194" s="303">
        <f t="shared" si="14"/>
        <v>0</v>
      </c>
      <c r="G194" s="304">
        <f t="shared" si="15"/>
        <v>0</v>
      </c>
      <c r="H194" s="303">
        <f t="shared" si="16"/>
        <v>0</v>
      </c>
      <c r="I194" s="305">
        <f t="shared" si="17"/>
        <v>0</v>
      </c>
    </row>
    <row r="195" spans="4:9" x14ac:dyDescent="0.25">
      <c r="D195" s="262">
        <f t="shared" si="12"/>
        <v>194</v>
      </c>
      <c r="E195" s="303">
        <f t="shared" si="13"/>
        <v>0</v>
      </c>
      <c r="F195" s="303">
        <f t="shared" si="14"/>
        <v>0</v>
      </c>
      <c r="G195" s="304">
        <f t="shared" si="15"/>
        <v>0</v>
      </c>
      <c r="H195" s="303">
        <f t="shared" si="16"/>
        <v>0</v>
      </c>
      <c r="I195" s="305">
        <f t="shared" si="17"/>
        <v>0</v>
      </c>
    </row>
    <row r="196" spans="4:9" x14ac:dyDescent="0.25">
      <c r="D196" s="262">
        <f t="shared" ref="D196:D259" si="18">D195+1</f>
        <v>195</v>
      </c>
      <c r="E196" s="303">
        <f t="shared" ref="E196:E259" si="19">IF(D196/12&gt;$B$6,0,I195)</f>
        <v>0</v>
      </c>
      <c r="F196" s="303">
        <f t="shared" ref="F196:F259" si="20">SUM(G196:H196)</f>
        <v>0</v>
      </c>
      <c r="G196" s="304">
        <f t="shared" ref="G196:G259" si="21">IF(AND(D196&gt;$B$4,D196/12&lt;=$B$6),-PPMT($B$5/12,D196-$B$4,$B$3*12,$B$2,0,0),0)</f>
        <v>0</v>
      </c>
      <c r="H196" s="303">
        <f t="shared" ref="H196:H259" si="22">E196*$B$5/12</f>
        <v>0</v>
      </c>
      <c r="I196" s="305">
        <f t="shared" ref="I196:I259" si="23">E196-G196</f>
        <v>0</v>
      </c>
    </row>
    <row r="197" spans="4:9" x14ac:dyDescent="0.25">
      <c r="D197" s="262">
        <f t="shared" si="18"/>
        <v>196</v>
      </c>
      <c r="E197" s="303">
        <f t="shared" si="19"/>
        <v>0</v>
      </c>
      <c r="F197" s="303">
        <f t="shared" si="20"/>
        <v>0</v>
      </c>
      <c r="G197" s="304">
        <f t="shared" si="21"/>
        <v>0</v>
      </c>
      <c r="H197" s="303">
        <f t="shared" si="22"/>
        <v>0</v>
      </c>
      <c r="I197" s="305">
        <f t="shared" si="23"/>
        <v>0</v>
      </c>
    </row>
    <row r="198" spans="4:9" x14ac:dyDescent="0.25">
      <c r="D198" s="262">
        <f t="shared" si="18"/>
        <v>197</v>
      </c>
      <c r="E198" s="303">
        <f t="shared" si="19"/>
        <v>0</v>
      </c>
      <c r="F198" s="303">
        <f t="shared" si="20"/>
        <v>0</v>
      </c>
      <c r="G198" s="304">
        <f t="shared" si="21"/>
        <v>0</v>
      </c>
      <c r="H198" s="303">
        <f t="shared" si="22"/>
        <v>0</v>
      </c>
      <c r="I198" s="305">
        <f t="shared" si="23"/>
        <v>0</v>
      </c>
    </row>
    <row r="199" spans="4:9" x14ac:dyDescent="0.25">
      <c r="D199" s="262">
        <f t="shared" si="18"/>
        <v>198</v>
      </c>
      <c r="E199" s="303">
        <f t="shared" si="19"/>
        <v>0</v>
      </c>
      <c r="F199" s="303">
        <f t="shared" si="20"/>
        <v>0</v>
      </c>
      <c r="G199" s="304">
        <f t="shared" si="21"/>
        <v>0</v>
      </c>
      <c r="H199" s="303">
        <f t="shared" si="22"/>
        <v>0</v>
      </c>
      <c r="I199" s="305">
        <f t="shared" si="23"/>
        <v>0</v>
      </c>
    </row>
    <row r="200" spans="4:9" x14ac:dyDescent="0.25">
      <c r="D200" s="262">
        <f t="shared" si="18"/>
        <v>199</v>
      </c>
      <c r="E200" s="303">
        <f t="shared" si="19"/>
        <v>0</v>
      </c>
      <c r="F200" s="303">
        <f t="shared" si="20"/>
        <v>0</v>
      </c>
      <c r="G200" s="304">
        <f t="shared" si="21"/>
        <v>0</v>
      </c>
      <c r="H200" s="303">
        <f t="shared" si="22"/>
        <v>0</v>
      </c>
      <c r="I200" s="305">
        <f t="shared" si="23"/>
        <v>0</v>
      </c>
    </row>
    <row r="201" spans="4:9" x14ac:dyDescent="0.25">
      <c r="D201" s="262">
        <f t="shared" si="18"/>
        <v>200</v>
      </c>
      <c r="E201" s="303">
        <f t="shared" si="19"/>
        <v>0</v>
      </c>
      <c r="F201" s="303">
        <f t="shared" si="20"/>
        <v>0</v>
      </c>
      <c r="G201" s="304">
        <f t="shared" si="21"/>
        <v>0</v>
      </c>
      <c r="H201" s="303">
        <f t="shared" si="22"/>
        <v>0</v>
      </c>
      <c r="I201" s="305">
        <f t="shared" si="23"/>
        <v>0</v>
      </c>
    </row>
    <row r="202" spans="4:9" x14ac:dyDescent="0.25">
      <c r="D202" s="262">
        <f t="shared" si="18"/>
        <v>201</v>
      </c>
      <c r="E202" s="303">
        <f t="shared" si="19"/>
        <v>0</v>
      </c>
      <c r="F202" s="303">
        <f t="shared" si="20"/>
        <v>0</v>
      </c>
      <c r="G202" s="304">
        <f t="shared" si="21"/>
        <v>0</v>
      </c>
      <c r="H202" s="303">
        <f t="shared" si="22"/>
        <v>0</v>
      </c>
      <c r="I202" s="305">
        <f t="shared" si="23"/>
        <v>0</v>
      </c>
    </row>
    <row r="203" spans="4:9" x14ac:dyDescent="0.25">
      <c r="D203" s="262">
        <f t="shared" si="18"/>
        <v>202</v>
      </c>
      <c r="E203" s="303">
        <f t="shared" si="19"/>
        <v>0</v>
      </c>
      <c r="F203" s="303">
        <f t="shared" si="20"/>
        <v>0</v>
      </c>
      <c r="G203" s="304">
        <f t="shared" si="21"/>
        <v>0</v>
      </c>
      <c r="H203" s="303">
        <f t="shared" si="22"/>
        <v>0</v>
      </c>
      <c r="I203" s="305">
        <f t="shared" si="23"/>
        <v>0</v>
      </c>
    </row>
    <row r="204" spans="4:9" x14ac:dyDescent="0.25">
      <c r="D204" s="262">
        <f t="shared" si="18"/>
        <v>203</v>
      </c>
      <c r="E204" s="303">
        <f t="shared" si="19"/>
        <v>0</v>
      </c>
      <c r="F204" s="303">
        <f t="shared" si="20"/>
        <v>0</v>
      </c>
      <c r="G204" s="304">
        <f t="shared" si="21"/>
        <v>0</v>
      </c>
      <c r="H204" s="303">
        <f t="shared" si="22"/>
        <v>0</v>
      </c>
      <c r="I204" s="305">
        <f t="shared" si="23"/>
        <v>0</v>
      </c>
    </row>
    <row r="205" spans="4:9" x14ac:dyDescent="0.25">
      <c r="D205" s="262">
        <f t="shared" si="18"/>
        <v>204</v>
      </c>
      <c r="E205" s="303">
        <f t="shared" si="19"/>
        <v>0</v>
      </c>
      <c r="F205" s="303">
        <f t="shared" si="20"/>
        <v>0</v>
      </c>
      <c r="G205" s="304">
        <f t="shared" si="21"/>
        <v>0</v>
      </c>
      <c r="H205" s="303">
        <f t="shared" si="22"/>
        <v>0</v>
      </c>
      <c r="I205" s="305">
        <f t="shared" si="23"/>
        <v>0</v>
      </c>
    </row>
    <row r="206" spans="4:9" x14ac:dyDescent="0.25">
      <c r="D206" s="262">
        <f t="shared" si="18"/>
        <v>205</v>
      </c>
      <c r="E206" s="303">
        <f t="shared" si="19"/>
        <v>0</v>
      </c>
      <c r="F206" s="303">
        <f t="shared" si="20"/>
        <v>0</v>
      </c>
      <c r="G206" s="304">
        <f t="shared" si="21"/>
        <v>0</v>
      </c>
      <c r="H206" s="303">
        <f t="shared" si="22"/>
        <v>0</v>
      </c>
      <c r="I206" s="305">
        <f t="shared" si="23"/>
        <v>0</v>
      </c>
    </row>
    <row r="207" spans="4:9" x14ac:dyDescent="0.25">
      <c r="D207" s="262">
        <f t="shared" si="18"/>
        <v>206</v>
      </c>
      <c r="E207" s="303">
        <f t="shared" si="19"/>
        <v>0</v>
      </c>
      <c r="F207" s="303">
        <f t="shared" si="20"/>
        <v>0</v>
      </c>
      <c r="G207" s="304">
        <f t="shared" si="21"/>
        <v>0</v>
      </c>
      <c r="H207" s="303">
        <f t="shared" si="22"/>
        <v>0</v>
      </c>
      <c r="I207" s="305">
        <f t="shared" si="23"/>
        <v>0</v>
      </c>
    </row>
    <row r="208" spans="4:9" x14ac:dyDescent="0.25">
      <c r="D208" s="262">
        <f t="shared" si="18"/>
        <v>207</v>
      </c>
      <c r="E208" s="303">
        <f t="shared" si="19"/>
        <v>0</v>
      </c>
      <c r="F208" s="303">
        <f t="shared" si="20"/>
        <v>0</v>
      </c>
      <c r="G208" s="304">
        <f t="shared" si="21"/>
        <v>0</v>
      </c>
      <c r="H208" s="303">
        <f t="shared" si="22"/>
        <v>0</v>
      </c>
      <c r="I208" s="305">
        <f t="shared" si="23"/>
        <v>0</v>
      </c>
    </row>
    <row r="209" spans="4:9" x14ac:dyDescent="0.25">
      <c r="D209" s="262">
        <f t="shared" si="18"/>
        <v>208</v>
      </c>
      <c r="E209" s="303">
        <f t="shared" si="19"/>
        <v>0</v>
      </c>
      <c r="F209" s="303">
        <f t="shared" si="20"/>
        <v>0</v>
      </c>
      <c r="G209" s="304">
        <f t="shared" si="21"/>
        <v>0</v>
      </c>
      <c r="H209" s="303">
        <f t="shared" si="22"/>
        <v>0</v>
      </c>
      <c r="I209" s="305">
        <f t="shared" si="23"/>
        <v>0</v>
      </c>
    </row>
    <row r="210" spans="4:9" x14ac:dyDescent="0.25">
      <c r="D210" s="262">
        <f t="shared" si="18"/>
        <v>209</v>
      </c>
      <c r="E210" s="303">
        <f t="shared" si="19"/>
        <v>0</v>
      </c>
      <c r="F210" s="303">
        <f t="shared" si="20"/>
        <v>0</v>
      </c>
      <c r="G210" s="304">
        <f t="shared" si="21"/>
        <v>0</v>
      </c>
      <c r="H210" s="303">
        <f t="shared" si="22"/>
        <v>0</v>
      </c>
      <c r="I210" s="305">
        <f t="shared" si="23"/>
        <v>0</v>
      </c>
    </row>
    <row r="211" spans="4:9" x14ac:dyDescent="0.25">
      <c r="D211" s="262">
        <f t="shared" si="18"/>
        <v>210</v>
      </c>
      <c r="E211" s="303">
        <f t="shared" si="19"/>
        <v>0</v>
      </c>
      <c r="F211" s="303">
        <f t="shared" si="20"/>
        <v>0</v>
      </c>
      <c r="G211" s="304">
        <f t="shared" si="21"/>
        <v>0</v>
      </c>
      <c r="H211" s="303">
        <f t="shared" si="22"/>
        <v>0</v>
      </c>
      <c r="I211" s="305">
        <f t="shared" si="23"/>
        <v>0</v>
      </c>
    </row>
    <row r="212" spans="4:9" x14ac:dyDescent="0.25">
      <c r="D212" s="262">
        <f t="shared" si="18"/>
        <v>211</v>
      </c>
      <c r="E212" s="303">
        <f t="shared" si="19"/>
        <v>0</v>
      </c>
      <c r="F212" s="303">
        <f t="shared" si="20"/>
        <v>0</v>
      </c>
      <c r="G212" s="304">
        <f t="shared" si="21"/>
        <v>0</v>
      </c>
      <c r="H212" s="303">
        <f t="shared" si="22"/>
        <v>0</v>
      </c>
      <c r="I212" s="305">
        <f t="shared" si="23"/>
        <v>0</v>
      </c>
    </row>
    <row r="213" spans="4:9" x14ac:dyDescent="0.25">
      <c r="D213" s="262">
        <f t="shared" si="18"/>
        <v>212</v>
      </c>
      <c r="E213" s="303">
        <f t="shared" si="19"/>
        <v>0</v>
      </c>
      <c r="F213" s="303">
        <f t="shared" si="20"/>
        <v>0</v>
      </c>
      <c r="G213" s="304">
        <f t="shared" si="21"/>
        <v>0</v>
      </c>
      <c r="H213" s="303">
        <f t="shared" si="22"/>
        <v>0</v>
      </c>
      <c r="I213" s="305">
        <f t="shared" si="23"/>
        <v>0</v>
      </c>
    </row>
    <row r="214" spans="4:9" x14ac:dyDescent="0.25">
      <c r="D214" s="262">
        <f t="shared" si="18"/>
        <v>213</v>
      </c>
      <c r="E214" s="303">
        <f t="shared" si="19"/>
        <v>0</v>
      </c>
      <c r="F214" s="303">
        <f t="shared" si="20"/>
        <v>0</v>
      </c>
      <c r="G214" s="304">
        <f t="shared" si="21"/>
        <v>0</v>
      </c>
      <c r="H214" s="303">
        <f t="shared" si="22"/>
        <v>0</v>
      </c>
      <c r="I214" s="305">
        <f t="shared" si="23"/>
        <v>0</v>
      </c>
    </row>
    <row r="215" spans="4:9" x14ac:dyDescent="0.25">
      <c r="D215" s="262">
        <f t="shared" si="18"/>
        <v>214</v>
      </c>
      <c r="E215" s="303">
        <f t="shared" si="19"/>
        <v>0</v>
      </c>
      <c r="F215" s="303">
        <f t="shared" si="20"/>
        <v>0</v>
      </c>
      <c r="G215" s="304">
        <f t="shared" si="21"/>
        <v>0</v>
      </c>
      <c r="H215" s="303">
        <f t="shared" si="22"/>
        <v>0</v>
      </c>
      <c r="I215" s="305">
        <f t="shared" si="23"/>
        <v>0</v>
      </c>
    </row>
    <row r="216" spans="4:9" x14ac:dyDescent="0.25">
      <c r="D216" s="262">
        <f t="shared" si="18"/>
        <v>215</v>
      </c>
      <c r="E216" s="303">
        <f t="shared" si="19"/>
        <v>0</v>
      </c>
      <c r="F216" s="303">
        <f t="shared" si="20"/>
        <v>0</v>
      </c>
      <c r="G216" s="304">
        <f t="shared" si="21"/>
        <v>0</v>
      </c>
      <c r="H216" s="303">
        <f t="shared" si="22"/>
        <v>0</v>
      </c>
      <c r="I216" s="305">
        <f t="shared" si="23"/>
        <v>0</v>
      </c>
    </row>
    <row r="217" spans="4:9" x14ac:dyDescent="0.25">
      <c r="D217" s="262">
        <f t="shared" si="18"/>
        <v>216</v>
      </c>
      <c r="E217" s="303">
        <f t="shared" si="19"/>
        <v>0</v>
      </c>
      <c r="F217" s="303">
        <f t="shared" si="20"/>
        <v>0</v>
      </c>
      <c r="G217" s="304">
        <f t="shared" si="21"/>
        <v>0</v>
      </c>
      <c r="H217" s="303">
        <f t="shared" si="22"/>
        <v>0</v>
      </c>
      <c r="I217" s="305">
        <f t="shared" si="23"/>
        <v>0</v>
      </c>
    </row>
    <row r="218" spans="4:9" x14ac:dyDescent="0.25">
      <c r="D218" s="262">
        <f t="shared" si="18"/>
        <v>217</v>
      </c>
      <c r="E218" s="303">
        <f t="shared" si="19"/>
        <v>0</v>
      </c>
      <c r="F218" s="303">
        <f t="shared" si="20"/>
        <v>0</v>
      </c>
      <c r="G218" s="304">
        <f t="shared" si="21"/>
        <v>0</v>
      </c>
      <c r="H218" s="303">
        <f t="shared" si="22"/>
        <v>0</v>
      </c>
      <c r="I218" s="305">
        <f t="shared" si="23"/>
        <v>0</v>
      </c>
    </row>
    <row r="219" spans="4:9" x14ac:dyDescent="0.25">
      <c r="D219" s="262">
        <f t="shared" si="18"/>
        <v>218</v>
      </c>
      <c r="E219" s="303">
        <f t="shared" si="19"/>
        <v>0</v>
      </c>
      <c r="F219" s="303">
        <f t="shared" si="20"/>
        <v>0</v>
      </c>
      <c r="G219" s="304">
        <f t="shared" si="21"/>
        <v>0</v>
      </c>
      <c r="H219" s="303">
        <f t="shared" si="22"/>
        <v>0</v>
      </c>
      <c r="I219" s="305">
        <f t="shared" si="23"/>
        <v>0</v>
      </c>
    </row>
    <row r="220" spans="4:9" x14ac:dyDescent="0.25">
      <c r="D220" s="262">
        <f t="shared" si="18"/>
        <v>219</v>
      </c>
      <c r="E220" s="303">
        <f t="shared" si="19"/>
        <v>0</v>
      </c>
      <c r="F220" s="303">
        <f t="shared" si="20"/>
        <v>0</v>
      </c>
      <c r="G220" s="304">
        <f t="shared" si="21"/>
        <v>0</v>
      </c>
      <c r="H220" s="303">
        <f t="shared" si="22"/>
        <v>0</v>
      </c>
      <c r="I220" s="305">
        <f t="shared" si="23"/>
        <v>0</v>
      </c>
    </row>
    <row r="221" spans="4:9" x14ac:dyDescent="0.25">
      <c r="D221" s="262">
        <f t="shared" si="18"/>
        <v>220</v>
      </c>
      <c r="E221" s="303">
        <f t="shared" si="19"/>
        <v>0</v>
      </c>
      <c r="F221" s="303">
        <f t="shared" si="20"/>
        <v>0</v>
      </c>
      <c r="G221" s="304">
        <f t="shared" si="21"/>
        <v>0</v>
      </c>
      <c r="H221" s="303">
        <f t="shared" si="22"/>
        <v>0</v>
      </c>
      <c r="I221" s="305">
        <f t="shared" si="23"/>
        <v>0</v>
      </c>
    </row>
    <row r="222" spans="4:9" x14ac:dyDescent="0.25">
      <c r="D222" s="262">
        <f t="shared" si="18"/>
        <v>221</v>
      </c>
      <c r="E222" s="303">
        <f t="shared" si="19"/>
        <v>0</v>
      </c>
      <c r="F222" s="303">
        <f t="shared" si="20"/>
        <v>0</v>
      </c>
      <c r="G222" s="304">
        <f t="shared" si="21"/>
        <v>0</v>
      </c>
      <c r="H222" s="303">
        <f t="shared" si="22"/>
        <v>0</v>
      </c>
      <c r="I222" s="305">
        <f t="shared" si="23"/>
        <v>0</v>
      </c>
    </row>
    <row r="223" spans="4:9" x14ac:dyDescent="0.25">
      <c r="D223" s="262">
        <f t="shared" si="18"/>
        <v>222</v>
      </c>
      <c r="E223" s="303">
        <f t="shared" si="19"/>
        <v>0</v>
      </c>
      <c r="F223" s="303">
        <f t="shared" si="20"/>
        <v>0</v>
      </c>
      <c r="G223" s="304">
        <f t="shared" si="21"/>
        <v>0</v>
      </c>
      <c r="H223" s="303">
        <f t="shared" si="22"/>
        <v>0</v>
      </c>
      <c r="I223" s="305">
        <f t="shared" si="23"/>
        <v>0</v>
      </c>
    </row>
    <row r="224" spans="4:9" x14ac:dyDescent="0.25">
      <c r="D224" s="262">
        <f t="shared" si="18"/>
        <v>223</v>
      </c>
      <c r="E224" s="303">
        <f t="shared" si="19"/>
        <v>0</v>
      </c>
      <c r="F224" s="303">
        <f t="shared" si="20"/>
        <v>0</v>
      </c>
      <c r="G224" s="304">
        <f t="shared" si="21"/>
        <v>0</v>
      </c>
      <c r="H224" s="303">
        <f t="shared" si="22"/>
        <v>0</v>
      </c>
      <c r="I224" s="305">
        <f t="shared" si="23"/>
        <v>0</v>
      </c>
    </row>
    <row r="225" spans="4:9" x14ac:dyDescent="0.25">
      <c r="D225" s="262">
        <f t="shared" si="18"/>
        <v>224</v>
      </c>
      <c r="E225" s="303">
        <f t="shared" si="19"/>
        <v>0</v>
      </c>
      <c r="F225" s="303">
        <f t="shared" si="20"/>
        <v>0</v>
      </c>
      <c r="G225" s="304">
        <f t="shared" si="21"/>
        <v>0</v>
      </c>
      <c r="H225" s="303">
        <f t="shared" si="22"/>
        <v>0</v>
      </c>
      <c r="I225" s="305">
        <f t="shared" si="23"/>
        <v>0</v>
      </c>
    </row>
    <row r="226" spans="4:9" x14ac:dyDescent="0.25">
      <c r="D226" s="262">
        <f t="shared" si="18"/>
        <v>225</v>
      </c>
      <c r="E226" s="303">
        <f t="shared" si="19"/>
        <v>0</v>
      </c>
      <c r="F226" s="303">
        <f t="shared" si="20"/>
        <v>0</v>
      </c>
      <c r="G226" s="304">
        <f t="shared" si="21"/>
        <v>0</v>
      </c>
      <c r="H226" s="303">
        <f t="shared" si="22"/>
        <v>0</v>
      </c>
      <c r="I226" s="305">
        <f t="shared" si="23"/>
        <v>0</v>
      </c>
    </row>
    <row r="227" spans="4:9" x14ac:dyDescent="0.25">
      <c r="D227" s="262">
        <f t="shared" si="18"/>
        <v>226</v>
      </c>
      <c r="E227" s="303">
        <f t="shared" si="19"/>
        <v>0</v>
      </c>
      <c r="F227" s="303">
        <f t="shared" si="20"/>
        <v>0</v>
      </c>
      <c r="G227" s="304">
        <f t="shared" si="21"/>
        <v>0</v>
      </c>
      <c r="H227" s="303">
        <f t="shared" si="22"/>
        <v>0</v>
      </c>
      <c r="I227" s="305">
        <f t="shared" si="23"/>
        <v>0</v>
      </c>
    </row>
    <row r="228" spans="4:9" x14ac:dyDescent="0.25">
      <c r="D228" s="262">
        <f t="shared" si="18"/>
        <v>227</v>
      </c>
      <c r="E228" s="303">
        <f t="shared" si="19"/>
        <v>0</v>
      </c>
      <c r="F228" s="303">
        <f t="shared" si="20"/>
        <v>0</v>
      </c>
      <c r="G228" s="304">
        <f t="shared" si="21"/>
        <v>0</v>
      </c>
      <c r="H228" s="303">
        <f t="shared" si="22"/>
        <v>0</v>
      </c>
      <c r="I228" s="305">
        <f t="shared" si="23"/>
        <v>0</v>
      </c>
    </row>
    <row r="229" spans="4:9" x14ac:dyDescent="0.25">
      <c r="D229" s="262">
        <f t="shared" si="18"/>
        <v>228</v>
      </c>
      <c r="E229" s="303">
        <f t="shared" si="19"/>
        <v>0</v>
      </c>
      <c r="F229" s="303">
        <f t="shared" si="20"/>
        <v>0</v>
      </c>
      <c r="G229" s="304">
        <f t="shared" si="21"/>
        <v>0</v>
      </c>
      <c r="H229" s="303">
        <f t="shared" si="22"/>
        <v>0</v>
      </c>
      <c r="I229" s="305">
        <f t="shared" si="23"/>
        <v>0</v>
      </c>
    </row>
    <row r="230" spans="4:9" x14ac:dyDescent="0.25">
      <c r="D230" s="262">
        <f t="shared" si="18"/>
        <v>229</v>
      </c>
      <c r="E230" s="303">
        <f t="shared" si="19"/>
        <v>0</v>
      </c>
      <c r="F230" s="303">
        <f t="shared" si="20"/>
        <v>0</v>
      </c>
      <c r="G230" s="304">
        <f t="shared" si="21"/>
        <v>0</v>
      </c>
      <c r="H230" s="303">
        <f t="shared" si="22"/>
        <v>0</v>
      </c>
      <c r="I230" s="305">
        <f t="shared" si="23"/>
        <v>0</v>
      </c>
    </row>
    <row r="231" spans="4:9" x14ac:dyDescent="0.25">
      <c r="D231" s="262">
        <f t="shared" si="18"/>
        <v>230</v>
      </c>
      <c r="E231" s="303">
        <f t="shared" si="19"/>
        <v>0</v>
      </c>
      <c r="F231" s="303">
        <f t="shared" si="20"/>
        <v>0</v>
      </c>
      <c r="G231" s="304">
        <f t="shared" si="21"/>
        <v>0</v>
      </c>
      <c r="H231" s="303">
        <f t="shared" si="22"/>
        <v>0</v>
      </c>
      <c r="I231" s="305">
        <f t="shared" si="23"/>
        <v>0</v>
      </c>
    </row>
    <row r="232" spans="4:9" x14ac:dyDescent="0.25">
      <c r="D232" s="262">
        <f t="shared" si="18"/>
        <v>231</v>
      </c>
      <c r="E232" s="303">
        <f t="shared" si="19"/>
        <v>0</v>
      </c>
      <c r="F232" s="303">
        <f t="shared" si="20"/>
        <v>0</v>
      </c>
      <c r="G232" s="304">
        <f t="shared" si="21"/>
        <v>0</v>
      </c>
      <c r="H232" s="303">
        <f t="shared" si="22"/>
        <v>0</v>
      </c>
      <c r="I232" s="305">
        <f t="shared" si="23"/>
        <v>0</v>
      </c>
    </row>
    <row r="233" spans="4:9" x14ac:dyDescent="0.25">
      <c r="D233" s="262">
        <f t="shared" si="18"/>
        <v>232</v>
      </c>
      <c r="E233" s="303">
        <f t="shared" si="19"/>
        <v>0</v>
      </c>
      <c r="F233" s="303">
        <f t="shared" si="20"/>
        <v>0</v>
      </c>
      <c r="G233" s="304">
        <f t="shared" si="21"/>
        <v>0</v>
      </c>
      <c r="H233" s="303">
        <f t="shared" si="22"/>
        <v>0</v>
      </c>
      <c r="I233" s="305">
        <f t="shared" si="23"/>
        <v>0</v>
      </c>
    </row>
    <row r="234" spans="4:9" x14ac:dyDescent="0.25">
      <c r="D234" s="262">
        <f t="shared" si="18"/>
        <v>233</v>
      </c>
      <c r="E234" s="303">
        <f t="shared" si="19"/>
        <v>0</v>
      </c>
      <c r="F234" s="303">
        <f t="shared" si="20"/>
        <v>0</v>
      </c>
      <c r="G234" s="304">
        <f t="shared" si="21"/>
        <v>0</v>
      </c>
      <c r="H234" s="303">
        <f t="shared" si="22"/>
        <v>0</v>
      </c>
      <c r="I234" s="305">
        <f t="shared" si="23"/>
        <v>0</v>
      </c>
    </row>
    <row r="235" spans="4:9" x14ac:dyDescent="0.25">
      <c r="D235" s="262">
        <f t="shared" si="18"/>
        <v>234</v>
      </c>
      <c r="E235" s="303">
        <f t="shared" si="19"/>
        <v>0</v>
      </c>
      <c r="F235" s="303">
        <f t="shared" si="20"/>
        <v>0</v>
      </c>
      <c r="G235" s="304">
        <f t="shared" si="21"/>
        <v>0</v>
      </c>
      <c r="H235" s="303">
        <f t="shared" si="22"/>
        <v>0</v>
      </c>
      <c r="I235" s="305">
        <f t="shared" si="23"/>
        <v>0</v>
      </c>
    </row>
    <row r="236" spans="4:9" x14ac:dyDescent="0.25">
      <c r="D236" s="262">
        <f t="shared" si="18"/>
        <v>235</v>
      </c>
      <c r="E236" s="303">
        <f t="shared" si="19"/>
        <v>0</v>
      </c>
      <c r="F236" s="303">
        <f t="shared" si="20"/>
        <v>0</v>
      </c>
      <c r="G236" s="304">
        <f t="shared" si="21"/>
        <v>0</v>
      </c>
      <c r="H236" s="303">
        <f t="shared" si="22"/>
        <v>0</v>
      </c>
      <c r="I236" s="305">
        <f t="shared" si="23"/>
        <v>0</v>
      </c>
    </row>
    <row r="237" spans="4:9" x14ac:dyDescent="0.25">
      <c r="D237" s="262">
        <f t="shared" si="18"/>
        <v>236</v>
      </c>
      <c r="E237" s="303">
        <f t="shared" si="19"/>
        <v>0</v>
      </c>
      <c r="F237" s="303">
        <f t="shared" si="20"/>
        <v>0</v>
      </c>
      <c r="G237" s="304">
        <f t="shared" si="21"/>
        <v>0</v>
      </c>
      <c r="H237" s="303">
        <f t="shared" si="22"/>
        <v>0</v>
      </c>
      <c r="I237" s="305">
        <f t="shared" si="23"/>
        <v>0</v>
      </c>
    </row>
    <row r="238" spans="4:9" x14ac:dyDescent="0.25">
      <c r="D238" s="262">
        <f t="shared" si="18"/>
        <v>237</v>
      </c>
      <c r="E238" s="303">
        <f t="shared" si="19"/>
        <v>0</v>
      </c>
      <c r="F238" s="303">
        <f t="shared" si="20"/>
        <v>0</v>
      </c>
      <c r="G238" s="304">
        <f t="shared" si="21"/>
        <v>0</v>
      </c>
      <c r="H238" s="303">
        <f t="shared" si="22"/>
        <v>0</v>
      </c>
      <c r="I238" s="305">
        <f t="shared" si="23"/>
        <v>0</v>
      </c>
    </row>
    <row r="239" spans="4:9" x14ac:dyDescent="0.25">
      <c r="D239" s="262">
        <f t="shared" si="18"/>
        <v>238</v>
      </c>
      <c r="E239" s="303">
        <f t="shared" si="19"/>
        <v>0</v>
      </c>
      <c r="F239" s="303">
        <f t="shared" si="20"/>
        <v>0</v>
      </c>
      <c r="G239" s="304">
        <f t="shared" si="21"/>
        <v>0</v>
      </c>
      <c r="H239" s="303">
        <f t="shared" si="22"/>
        <v>0</v>
      </c>
      <c r="I239" s="305">
        <f t="shared" si="23"/>
        <v>0</v>
      </c>
    </row>
    <row r="240" spans="4:9" x14ac:dyDescent="0.25">
      <c r="D240" s="262">
        <f t="shared" si="18"/>
        <v>239</v>
      </c>
      <c r="E240" s="303">
        <f t="shared" si="19"/>
        <v>0</v>
      </c>
      <c r="F240" s="303">
        <f t="shared" si="20"/>
        <v>0</v>
      </c>
      <c r="G240" s="304">
        <f t="shared" si="21"/>
        <v>0</v>
      </c>
      <c r="H240" s="303">
        <f t="shared" si="22"/>
        <v>0</v>
      </c>
      <c r="I240" s="305">
        <f t="shared" si="23"/>
        <v>0</v>
      </c>
    </row>
    <row r="241" spans="4:9" x14ac:dyDescent="0.25">
      <c r="D241" s="262">
        <f t="shared" si="18"/>
        <v>240</v>
      </c>
      <c r="E241" s="303">
        <f t="shared" si="19"/>
        <v>0</v>
      </c>
      <c r="F241" s="303">
        <f t="shared" si="20"/>
        <v>0</v>
      </c>
      <c r="G241" s="304">
        <f t="shared" si="21"/>
        <v>0</v>
      </c>
      <c r="H241" s="303">
        <f t="shared" si="22"/>
        <v>0</v>
      </c>
      <c r="I241" s="305">
        <f t="shared" si="23"/>
        <v>0</v>
      </c>
    </row>
    <row r="242" spans="4:9" x14ac:dyDescent="0.25">
      <c r="D242" s="262">
        <f t="shared" si="18"/>
        <v>241</v>
      </c>
      <c r="E242" s="303">
        <f t="shared" si="19"/>
        <v>0</v>
      </c>
      <c r="F242" s="303">
        <f t="shared" si="20"/>
        <v>0</v>
      </c>
      <c r="G242" s="304">
        <f t="shared" si="21"/>
        <v>0</v>
      </c>
      <c r="H242" s="303">
        <f t="shared" si="22"/>
        <v>0</v>
      </c>
      <c r="I242" s="305">
        <f t="shared" si="23"/>
        <v>0</v>
      </c>
    </row>
    <row r="243" spans="4:9" x14ac:dyDescent="0.25">
      <c r="D243" s="262">
        <f t="shared" si="18"/>
        <v>242</v>
      </c>
      <c r="E243" s="303">
        <f t="shared" si="19"/>
        <v>0</v>
      </c>
      <c r="F243" s="303">
        <f t="shared" si="20"/>
        <v>0</v>
      </c>
      <c r="G243" s="304">
        <f t="shared" si="21"/>
        <v>0</v>
      </c>
      <c r="H243" s="303">
        <f t="shared" si="22"/>
        <v>0</v>
      </c>
      <c r="I243" s="305">
        <f t="shared" si="23"/>
        <v>0</v>
      </c>
    </row>
    <row r="244" spans="4:9" x14ac:dyDescent="0.25">
      <c r="D244" s="262">
        <f t="shared" si="18"/>
        <v>243</v>
      </c>
      <c r="E244" s="303">
        <f t="shared" si="19"/>
        <v>0</v>
      </c>
      <c r="F244" s="303">
        <f t="shared" si="20"/>
        <v>0</v>
      </c>
      <c r="G244" s="304">
        <f t="shared" si="21"/>
        <v>0</v>
      </c>
      <c r="H244" s="303">
        <f t="shared" si="22"/>
        <v>0</v>
      </c>
      <c r="I244" s="305">
        <f t="shared" si="23"/>
        <v>0</v>
      </c>
    </row>
    <row r="245" spans="4:9" x14ac:dyDescent="0.25">
      <c r="D245" s="262">
        <f t="shared" si="18"/>
        <v>244</v>
      </c>
      <c r="E245" s="303">
        <f t="shared" si="19"/>
        <v>0</v>
      </c>
      <c r="F245" s="303">
        <f t="shared" si="20"/>
        <v>0</v>
      </c>
      <c r="G245" s="304">
        <f t="shared" si="21"/>
        <v>0</v>
      </c>
      <c r="H245" s="303">
        <f t="shared" si="22"/>
        <v>0</v>
      </c>
      <c r="I245" s="305">
        <f t="shared" si="23"/>
        <v>0</v>
      </c>
    </row>
    <row r="246" spans="4:9" x14ac:dyDescent="0.25">
      <c r="D246" s="262">
        <f t="shared" si="18"/>
        <v>245</v>
      </c>
      <c r="E246" s="303">
        <f t="shared" si="19"/>
        <v>0</v>
      </c>
      <c r="F246" s="303">
        <f t="shared" si="20"/>
        <v>0</v>
      </c>
      <c r="G246" s="304">
        <f t="shared" si="21"/>
        <v>0</v>
      </c>
      <c r="H246" s="303">
        <f t="shared" si="22"/>
        <v>0</v>
      </c>
      <c r="I246" s="305">
        <f t="shared" si="23"/>
        <v>0</v>
      </c>
    </row>
    <row r="247" spans="4:9" x14ac:dyDescent="0.25">
      <c r="D247" s="262">
        <f t="shared" si="18"/>
        <v>246</v>
      </c>
      <c r="E247" s="303">
        <f t="shared" si="19"/>
        <v>0</v>
      </c>
      <c r="F247" s="303">
        <f t="shared" si="20"/>
        <v>0</v>
      </c>
      <c r="G247" s="304">
        <f t="shared" si="21"/>
        <v>0</v>
      </c>
      <c r="H247" s="303">
        <f t="shared" si="22"/>
        <v>0</v>
      </c>
      <c r="I247" s="305">
        <f t="shared" si="23"/>
        <v>0</v>
      </c>
    </row>
    <row r="248" spans="4:9" x14ac:dyDescent="0.25">
      <c r="D248" s="262">
        <f t="shared" si="18"/>
        <v>247</v>
      </c>
      <c r="E248" s="303">
        <f t="shared" si="19"/>
        <v>0</v>
      </c>
      <c r="F248" s="303">
        <f t="shared" si="20"/>
        <v>0</v>
      </c>
      <c r="G248" s="304">
        <f t="shared" si="21"/>
        <v>0</v>
      </c>
      <c r="H248" s="303">
        <f t="shared" si="22"/>
        <v>0</v>
      </c>
      <c r="I248" s="305">
        <f t="shared" si="23"/>
        <v>0</v>
      </c>
    </row>
    <row r="249" spans="4:9" x14ac:dyDescent="0.25">
      <c r="D249" s="262">
        <f t="shared" si="18"/>
        <v>248</v>
      </c>
      <c r="E249" s="303">
        <f t="shared" si="19"/>
        <v>0</v>
      </c>
      <c r="F249" s="303">
        <f t="shared" si="20"/>
        <v>0</v>
      </c>
      <c r="G249" s="304">
        <f t="shared" si="21"/>
        <v>0</v>
      </c>
      <c r="H249" s="303">
        <f t="shared" si="22"/>
        <v>0</v>
      </c>
      <c r="I249" s="305">
        <f t="shared" si="23"/>
        <v>0</v>
      </c>
    </row>
    <row r="250" spans="4:9" x14ac:dyDescent="0.25">
      <c r="D250" s="262">
        <f t="shared" si="18"/>
        <v>249</v>
      </c>
      <c r="E250" s="303">
        <f t="shared" si="19"/>
        <v>0</v>
      </c>
      <c r="F250" s="303">
        <f t="shared" si="20"/>
        <v>0</v>
      </c>
      <c r="G250" s="304">
        <f t="shared" si="21"/>
        <v>0</v>
      </c>
      <c r="H250" s="303">
        <f t="shared" si="22"/>
        <v>0</v>
      </c>
      <c r="I250" s="305">
        <f t="shared" si="23"/>
        <v>0</v>
      </c>
    </row>
    <row r="251" spans="4:9" x14ac:dyDescent="0.25">
      <c r="D251" s="262">
        <f t="shared" si="18"/>
        <v>250</v>
      </c>
      <c r="E251" s="303">
        <f t="shared" si="19"/>
        <v>0</v>
      </c>
      <c r="F251" s="303">
        <f t="shared" si="20"/>
        <v>0</v>
      </c>
      <c r="G251" s="304">
        <f t="shared" si="21"/>
        <v>0</v>
      </c>
      <c r="H251" s="303">
        <f t="shared" si="22"/>
        <v>0</v>
      </c>
      <c r="I251" s="305">
        <f t="shared" si="23"/>
        <v>0</v>
      </c>
    </row>
    <row r="252" spans="4:9" x14ac:dyDescent="0.25">
      <c r="D252" s="262">
        <f t="shared" si="18"/>
        <v>251</v>
      </c>
      <c r="E252" s="303">
        <f t="shared" si="19"/>
        <v>0</v>
      </c>
      <c r="F252" s="303">
        <f t="shared" si="20"/>
        <v>0</v>
      </c>
      <c r="G252" s="304">
        <f t="shared" si="21"/>
        <v>0</v>
      </c>
      <c r="H252" s="303">
        <f t="shared" si="22"/>
        <v>0</v>
      </c>
      <c r="I252" s="305">
        <f t="shared" si="23"/>
        <v>0</v>
      </c>
    </row>
    <row r="253" spans="4:9" x14ac:dyDescent="0.25">
      <c r="D253" s="262">
        <f t="shared" si="18"/>
        <v>252</v>
      </c>
      <c r="E253" s="303">
        <f t="shared" si="19"/>
        <v>0</v>
      </c>
      <c r="F253" s="303">
        <f t="shared" si="20"/>
        <v>0</v>
      </c>
      <c r="G253" s="304">
        <f t="shared" si="21"/>
        <v>0</v>
      </c>
      <c r="H253" s="303">
        <f t="shared" si="22"/>
        <v>0</v>
      </c>
      <c r="I253" s="305">
        <f t="shared" si="23"/>
        <v>0</v>
      </c>
    </row>
    <row r="254" spans="4:9" x14ac:dyDescent="0.25">
      <c r="D254" s="262">
        <f t="shared" si="18"/>
        <v>253</v>
      </c>
      <c r="E254" s="303">
        <f t="shared" si="19"/>
        <v>0</v>
      </c>
      <c r="F254" s="303">
        <f t="shared" si="20"/>
        <v>0</v>
      </c>
      <c r="G254" s="304">
        <f t="shared" si="21"/>
        <v>0</v>
      </c>
      <c r="H254" s="303">
        <f t="shared" si="22"/>
        <v>0</v>
      </c>
      <c r="I254" s="305">
        <f t="shared" si="23"/>
        <v>0</v>
      </c>
    </row>
    <row r="255" spans="4:9" x14ac:dyDescent="0.25">
      <c r="D255" s="262">
        <f t="shared" si="18"/>
        <v>254</v>
      </c>
      <c r="E255" s="303">
        <f t="shared" si="19"/>
        <v>0</v>
      </c>
      <c r="F255" s="303">
        <f t="shared" si="20"/>
        <v>0</v>
      </c>
      <c r="G255" s="304">
        <f t="shared" si="21"/>
        <v>0</v>
      </c>
      <c r="H255" s="303">
        <f t="shared" si="22"/>
        <v>0</v>
      </c>
      <c r="I255" s="305">
        <f t="shared" si="23"/>
        <v>0</v>
      </c>
    </row>
    <row r="256" spans="4:9" x14ac:dyDescent="0.25">
      <c r="D256" s="262">
        <f t="shared" si="18"/>
        <v>255</v>
      </c>
      <c r="E256" s="303">
        <f t="shared" si="19"/>
        <v>0</v>
      </c>
      <c r="F256" s="303">
        <f t="shared" si="20"/>
        <v>0</v>
      </c>
      <c r="G256" s="304">
        <f t="shared" si="21"/>
        <v>0</v>
      </c>
      <c r="H256" s="303">
        <f t="shared" si="22"/>
        <v>0</v>
      </c>
      <c r="I256" s="305">
        <f t="shared" si="23"/>
        <v>0</v>
      </c>
    </row>
    <row r="257" spans="4:9" x14ac:dyDescent="0.25">
      <c r="D257" s="262">
        <f t="shared" si="18"/>
        <v>256</v>
      </c>
      <c r="E257" s="303">
        <f t="shared" si="19"/>
        <v>0</v>
      </c>
      <c r="F257" s="303">
        <f t="shared" si="20"/>
        <v>0</v>
      </c>
      <c r="G257" s="304">
        <f t="shared" si="21"/>
        <v>0</v>
      </c>
      <c r="H257" s="303">
        <f t="shared" si="22"/>
        <v>0</v>
      </c>
      <c r="I257" s="305">
        <f t="shared" si="23"/>
        <v>0</v>
      </c>
    </row>
    <row r="258" spans="4:9" x14ac:dyDescent="0.25">
      <c r="D258" s="262">
        <f t="shared" si="18"/>
        <v>257</v>
      </c>
      <c r="E258" s="303">
        <f t="shared" si="19"/>
        <v>0</v>
      </c>
      <c r="F258" s="303">
        <f t="shared" si="20"/>
        <v>0</v>
      </c>
      <c r="G258" s="304">
        <f t="shared" si="21"/>
        <v>0</v>
      </c>
      <c r="H258" s="303">
        <f t="shared" si="22"/>
        <v>0</v>
      </c>
      <c r="I258" s="305">
        <f t="shared" si="23"/>
        <v>0</v>
      </c>
    </row>
    <row r="259" spans="4:9" x14ac:dyDescent="0.25">
      <c r="D259" s="262">
        <f t="shared" si="18"/>
        <v>258</v>
      </c>
      <c r="E259" s="303">
        <f t="shared" si="19"/>
        <v>0</v>
      </c>
      <c r="F259" s="303">
        <f t="shared" si="20"/>
        <v>0</v>
      </c>
      <c r="G259" s="304">
        <f t="shared" si="21"/>
        <v>0</v>
      </c>
      <c r="H259" s="303">
        <f t="shared" si="22"/>
        <v>0</v>
      </c>
      <c r="I259" s="305">
        <f t="shared" si="23"/>
        <v>0</v>
      </c>
    </row>
    <row r="260" spans="4:9" x14ac:dyDescent="0.25">
      <c r="D260" s="262">
        <f t="shared" ref="D260:D323" si="24">D259+1</f>
        <v>259</v>
      </c>
      <c r="E260" s="303">
        <f t="shared" ref="E260:E323" si="25">IF(D260/12&gt;$B$6,0,I259)</f>
        <v>0</v>
      </c>
      <c r="F260" s="303">
        <f t="shared" ref="F260:F323" si="26">SUM(G260:H260)</f>
        <v>0</v>
      </c>
      <c r="G260" s="304">
        <f t="shared" ref="G260:G323" si="27">IF(AND(D260&gt;$B$4,D260/12&lt;=$B$6),-PPMT($B$5/12,D260-$B$4,$B$3*12,$B$2,0,0),0)</f>
        <v>0</v>
      </c>
      <c r="H260" s="303">
        <f t="shared" ref="H260:H323" si="28">E260*$B$5/12</f>
        <v>0</v>
      </c>
      <c r="I260" s="305">
        <f t="shared" ref="I260:I323" si="29">E260-G260</f>
        <v>0</v>
      </c>
    </row>
    <row r="261" spans="4:9" x14ac:dyDescent="0.25">
      <c r="D261" s="262">
        <f t="shared" si="24"/>
        <v>260</v>
      </c>
      <c r="E261" s="303">
        <f t="shared" si="25"/>
        <v>0</v>
      </c>
      <c r="F261" s="303">
        <f t="shared" si="26"/>
        <v>0</v>
      </c>
      <c r="G261" s="304">
        <f t="shared" si="27"/>
        <v>0</v>
      </c>
      <c r="H261" s="303">
        <f t="shared" si="28"/>
        <v>0</v>
      </c>
      <c r="I261" s="305">
        <f t="shared" si="29"/>
        <v>0</v>
      </c>
    </row>
    <row r="262" spans="4:9" x14ac:dyDescent="0.25">
      <c r="D262" s="262">
        <f t="shared" si="24"/>
        <v>261</v>
      </c>
      <c r="E262" s="303">
        <f t="shared" si="25"/>
        <v>0</v>
      </c>
      <c r="F262" s="303">
        <f t="shared" si="26"/>
        <v>0</v>
      </c>
      <c r="G262" s="304">
        <f t="shared" si="27"/>
        <v>0</v>
      </c>
      <c r="H262" s="303">
        <f t="shared" si="28"/>
        <v>0</v>
      </c>
      <c r="I262" s="305">
        <f t="shared" si="29"/>
        <v>0</v>
      </c>
    </row>
    <row r="263" spans="4:9" x14ac:dyDescent="0.25">
      <c r="D263" s="262">
        <f t="shared" si="24"/>
        <v>262</v>
      </c>
      <c r="E263" s="303">
        <f t="shared" si="25"/>
        <v>0</v>
      </c>
      <c r="F263" s="303">
        <f t="shared" si="26"/>
        <v>0</v>
      </c>
      <c r="G263" s="304">
        <f t="shared" si="27"/>
        <v>0</v>
      </c>
      <c r="H263" s="303">
        <f t="shared" si="28"/>
        <v>0</v>
      </c>
      <c r="I263" s="305">
        <f t="shared" si="29"/>
        <v>0</v>
      </c>
    </row>
    <row r="264" spans="4:9" x14ac:dyDescent="0.25">
      <c r="D264" s="262">
        <f t="shared" si="24"/>
        <v>263</v>
      </c>
      <c r="E264" s="303">
        <f t="shared" si="25"/>
        <v>0</v>
      </c>
      <c r="F264" s="303">
        <f t="shared" si="26"/>
        <v>0</v>
      </c>
      <c r="G264" s="304">
        <f t="shared" si="27"/>
        <v>0</v>
      </c>
      <c r="H264" s="303">
        <f t="shared" si="28"/>
        <v>0</v>
      </c>
      <c r="I264" s="305">
        <f t="shared" si="29"/>
        <v>0</v>
      </c>
    </row>
    <row r="265" spans="4:9" x14ac:dyDescent="0.25">
      <c r="D265" s="262">
        <f t="shared" si="24"/>
        <v>264</v>
      </c>
      <c r="E265" s="303">
        <f t="shared" si="25"/>
        <v>0</v>
      </c>
      <c r="F265" s="303">
        <f t="shared" si="26"/>
        <v>0</v>
      </c>
      <c r="G265" s="304">
        <f t="shared" si="27"/>
        <v>0</v>
      </c>
      <c r="H265" s="303">
        <f t="shared" si="28"/>
        <v>0</v>
      </c>
      <c r="I265" s="305">
        <f t="shared" si="29"/>
        <v>0</v>
      </c>
    </row>
    <row r="266" spans="4:9" x14ac:dyDescent="0.25">
      <c r="D266" s="262">
        <f t="shared" si="24"/>
        <v>265</v>
      </c>
      <c r="E266" s="303">
        <f t="shared" si="25"/>
        <v>0</v>
      </c>
      <c r="F266" s="303">
        <f t="shared" si="26"/>
        <v>0</v>
      </c>
      <c r="G266" s="304">
        <f t="shared" si="27"/>
        <v>0</v>
      </c>
      <c r="H266" s="303">
        <f t="shared" si="28"/>
        <v>0</v>
      </c>
      <c r="I266" s="305">
        <f t="shared" si="29"/>
        <v>0</v>
      </c>
    </row>
    <row r="267" spans="4:9" x14ac:dyDescent="0.25">
      <c r="D267" s="262">
        <f t="shared" si="24"/>
        <v>266</v>
      </c>
      <c r="E267" s="303">
        <f t="shared" si="25"/>
        <v>0</v>
      </c>
      <c r="F267" s="303">
        <f t="shared" si="26"/>
        <v>0</v>
      </c>
      <c r="G267" s="304">
        <f t="shared" si="27"/>
        <v>0</v>
      </c>
      <c r="H267" s="303">
        <f t="shared" si="28"/>
        <v>0</v>
      </c>
      <c r="I267" s="305">
        <f t="shared" si="29"/>
        <v>0</v>
      </c>
    </row>
    <row r="268" spans="4:9" x14ac:dyDescent="0.25">
      <c r="D268" s="262">
        <f t="shared" si="24"/>
        <v>267</v>
      </c>
      <c r="E268" s="303">
        <f t="shared" si="25"/>
        <v>0</v>
      </c>
      <c r="F268" s="303">
        <f t="shared" si="26"/>
        <v>0</v>
      </c>
      <c r="G268" s="304">
        <f t="shared" si="27"/>
        <v>0</v>
      </c>
      <c r="H268" s="303">
        <f t="shared" si="28"/>
        <v>0</v>
      </c>
      <c r="I268" s="305">
        <f t="shared" si="29"/>
        <v>0</v>
      </c>
    </row>
    <row r="269" spans="4:9" x14ac:dyDescent="0.25">
      <c r="D269" s="262">
        <f t="shared" si="24"/>
        <v>268</v>
      </c>
      <c r="E269" s="303">
        <f t="shared" si="25"/>
        <v>0</v>
      </c>
      <c r="F269" s="303">
        <f t="shared" si="26"/>
        <v>0</v>
      </c>
      <c r="G269" s="304">
        <f t="shared" si="27"/>
        <v>0</v>
      </c>
      <c r="H269" s="303">
        <f t="shared" si="28"/>
        <v>0</v>
      </c>
      <c r="I269" s="305">
        <f t="shared" si="29"/>
        <v>0</v>
      </c>
    </row>
    <row r="270" spans="4:9" x14ac:dyDescent="0.25">
      <c r="D270" s="262">
        <f t="shared" si="24"/>
        <v>269</v>
      </c>
      <c r="E270" s="303">
        <f t="shared" si="25"/>
        <v>0</v>
      </c>
      <c r="F270" s="303">
        <f t="shared" si="26"/>
        <v>0</v>
      </c>
      <c r="G270" s="304">
        <f t="shared" si="27"/>
        <v>0</v>
      </c>
      <c r="H270" s="303">
        <f t="shared" si="28"/>
        <v>0</v>
      </c>
      <c r="I270" s="305">
        <f t="shared" si="29"/>
        <v>0</v>
      </c>
    </row>
    <row r="271" spans="4:9" x14ac:dyDescent="0.25">
      <c r="D271" s="262">
        <f t="shared" si="24"/>
        <v>270</v>
      </c>
      <c r="E271" s="303">
        <f t="shared" si="25"/>
        <v>0</v>
      </c>
      <c r="F271" s="303">
        <f t="shared" si="26"/>
        <v>0</v>
      </c>
      <c r="G271" s="304">
        <f t="shared" si="27"/>
        <v>0</v>
      </c>
      <c r="H271" s="303">
        <f t="shared" si="28"/>
        <v>0</v>
      </c>
      <c r="I271" s="305">
        <f t="shared" si="29"/>
        <v>0</v>
      </c>
    </row>
    <row r="272" spans="4:9" x14ac:dyDescent="0.25">
      <c r="D272" s="262">
        <f t="shared" si="24"/>
        <v>271</v>
      </c>
      <c r="E272" s="303">
        <f t="shared" si="25"/>
        <v>0</v>
      </c>
      <c r="F272" s="303">
        <f t="shared" si="26"/>
        <v>0</v>
      </c>
      <c r="G272" s="304">
        <f t="shared" si="27"/>
        <v>0</v>
      </c>
      <c r="H272" s="303">
        <f t="shared" si="28"/>
        <v>0</v>
      </c>
      <c r="I272" s="305">
        <f t="shared" si="29"/>
        <v>0</v>
      </c>
    </row>
    <row r="273" spans="4:9" x14ac:dyDescent="0.25">
      <c r="D273" s="262">
        <f t="shared" si="24"/>
        <v>272</v>
      </c>
      <c r="E273" s="303">
        <f t="shared" si="25"/>
        <v>0</v>
      </c>
      <c r="F273" s="303">
        <f t="shared" si="26"/>
        <v>0</v>
      </c>
      <c r="G273" s="304">
        <f t="shared" si="27"/>
        <v>0</v>
      </c>
      <c r="H273" s="303">
        <f t="shared" si="28"/>
        <v>0</v>
      </c>
      <c r="I273" s="305">
        <f t="shared" si="29"/>
        <v>0</v>
      </c>
    </row>
    <row r="274" spans="4:9" x14ac:dyDescent="0.25">
      <c r="D274" s="262">
        <f t="shared" si="24"/>
        <v>273</v>
      </c>
      <c r="E274" s="303">
        <f t="shared" si="25"/>
        <v>0</v>
      </c>
      <c r="F274" s="303">
        <f t="shared" si="26"/>
        <v>0</v>
      </c>
      <c r="G274" s="304">
        <f t="shared" si="27"/>
        <v>0</v>
      </c>
      <c r="H274" s="303">
        <f t="shared" si="28"/>
        <v>0</v>
      </c>
      <c r="I274" s="305">
        <f t="shared" si="29"/>
        <v>0</v>
      </c>
    </row>
    <row r="275" spans="4:9" x14ac:dyDescent="0.25">
      <c r="D275" s="262">
        <f t="shared" si="24"/>
        <v>274</v>
      </c>
      <c r="E275" s="303">
        <f t="shared" si="25"/>
        <v>0</v>
      </c>
      <c r="F275" s="303">
        <f t="shared" si="26"/>
        <v>0</v>
      </c>
      <c r="G275" s="304">
        <f t="shared" si="27"/>
        <v>0</v>
      </c>
      <c r="H275" s="303">
        <f t="shared" si="28"/>
        <v>0</v>
      </c>
      <c r="I275" s="305">
        <f t="shared" si="29"/>
        <v>0</v>
      </c>
    </row>
    <row r="276" spans="4:9" x14ac:dyDescent="0.25">
      <c r="D276" s="262">
        <f t="shared" si="24"/>
        <v>275</v>
      </c>
      <c r="E276" s="303">
        <f t="shared" si="25"/>
        <v>0</v>
      </c>
      <c r="F276" s="303">
        <f t="shared" si="26"/>
        <v>0</v>
      </c>
      <c r="G276" s="304">
        <f t="shared" si="27"/>
        <v>0</v>
      </c>
      <c r="H276" s="303">
        <f t="shared" si="28"/>
        <v>0</v>
      </c>
      <c r="I276" s="305">
        <f t="shared" si="29"/>
        <v>0</v>
      </c>
    </row>
    <row r="277" spans="4:9" x14ac:dyDescent="0.25">
      <c r="D277" s="262">
        <f t="shared" si="24"/>
        <v>276</v>
      </c>
      <c r="E277" s="303">
        <f t="shared" si="25"/>
        <v>0</v>
      </c>
      <c r="F277" s="303">
        <f t="shared" si="26"/>
        <v>0</v>
      </c>
      <c r="G277" s="304">
        <f t="shared" si="27"/>
        <v>0</v>
      </c>
      <c r="H277" s="303">
        <f t="shared" si="28"/>
        <v>0</v>
      </c>
      <c r="I277" s="305">
        <f t="shared" si="29"/>
        <v>0</v>
      </c>
    </row>
    <row r="278" spans="4:9" x14ac:dyDescent="0.25">
      <c r="D278" s="262">
        <f t="shared" si="24"/>
        <v>277</v>
      </c>
      <c r="E278" s="303">
        <f t="shared" si="25"/>
        <v>0</v>
      </c>
      <c r="F278" s="303">
        <f t="shared" si="26"/>
        <v>0</v>
      </c>
      <c r="G278" s="304">
        <f t="shared" si="27"/>
        <v>0</v>
      </c>
      <c r="H278" s="303">
        <f t="shared" si="28"/>
        <v>0</v>
      </c>
      <c r="I278" s="305">
        <f t="shared" si="29"/>
        <v>0</v>
      </c>
    </row>
    <row r="279" spans="4:9" x14ac:dyDescent="0.25">
      <c r="D279" s="262">
        <f t="shared" si="24"/>
        <v>278</v>
      </c>
      <c r="E279" s="303">
        <f t="shared" si="25"/>
        <v>0</v>
      </c>
      <c r="F279" s="303">
        <f t="shared" si="26"/>
        <v>0</v>
      </c>
      <c r="G279" s="304">
        <f t="shared" si="27"/>
        <v>0</v>
      </c>
      <c r="H279" s="303">
        <f t="shared" si="28"/>
        <v>0</v>
      </c>
      <c r="I279" s="305">
        <f t="shared" si="29"/>
        <v>0</v>
      </c>
    </row>
    <row r="280" spans="4:9" x14ac:dyDescent="0.25">
      <c r="D280" s="262">
        <f t="shared" si="24"/>
        <v>279</v>
      </c>
      <c r="E280" s="303">
        <f t="shared" si="25"/>
        <v>0</v>
      </c>
      <c r="F280" s="303">
        <f t="shared" si="26"/>
        <v>0</v>
      </c>
      <c r="G280" s="304">
        <f t="shared" si="27"/>
        <v>0</v>
      </c>
      <c r="H280" s="303">
        <f t="shared" si="28"/>
        <v>0</v>
      </c>
      <c r="I280" s="305">
        <f t="shared" si="29"/>
        <v>0</v>
      </c>
    </row>
    <row r="281" spans="4:9" x14ac:dyDescent="0.25">
      <c r="D281" s="262">
        <f t="shared" si="24"/>
        <v>280</v>
      </c>
      <c r="E281" s="303">
        <f t="shared" si="25"/>
        <v>0</v>
      </c>
      <c r="F281" s="303">
        <f t="shared" si="26"/>
        <v>0</v>
      </c>
      <c r="G281" s="304">
        <f t="shared" si="27"/>
        <v>0</v>
      </c>
      <c r="H281" s="303">
        <f t="shared" si="28"/>
        <v>0</v>
      </c>
      <c r="I281" s="305">
        <f t="shared" si="29"/>
        <v>0</v>
      </c>
    </row>
    <row r="282" spans="4:9" x14ac:dyDescent="0.25">
      <c r="D282" s="262">
        <f t="shared" si="24"/>
        <v>281</v>
      </c>
      <c r="E282" s="303">
        <f t="shared" si="25"/>
        <v>0</v>
      </c>
      <c r="F282" s="303">
        <f t="shared" si="26"/>
        <v>0</v>
      </c>
      <c r="G282" s="304">
        <f t="shared" si="27"/>
        <v>0</v>
      </c>
      <c r="H282" s="303">
        <f t="shared" si="28"/>
        <v>0</v>
      </c>
      <c r="I282" s="305">
        <f t="shared" si="29"/>
        <v>0</v>
      </c>
    </row>
    <row r="283" spans="4:9" x14ac:dyDescent="0.25">
      <c r="D283" s="262">
        <f t="shared" si="24"/>
        <v>282</v>
      </c>
      <c r="E283" s="303">
        <f t="shared" si="25"/>
        <v>0</v>
      </c>
      <c r="F283" s="303">
        <f t="shared" si="26"/>
        <v>0</v>
      </c>
      <c r="G283" s="304">
        <f t="shared" si="27"/>
        <v>0</v>
      </c>
      <c r="H283" s="303">
        <f t="shared" si="28"/>
        <v>0</v>
      </c>
      <c r="I283" s="305">
        <f t="shared" si="29"/>
        <v>0</v>
      </c>
    </row>
    <row r="284" spans="4:9" x14ac:dyDescent="0.25">
      <c r="D284" s="262">
        <f t="shared" si="24"/>
        <v>283</v>
      </c>
      <c r="E284" s="303">
        <f t="shared" si="25"/>
        <v>0</v>
      </c>
      <c r="F284" s="303">
        <f t="shared" si="26"/>
        <v>0</v>
      </c>
      <c r="G284" s="304">
        <f t="shared" si="27"/>
        <v>0</v>
      </c>
      <c r="H284" s="303">
        <f t="shared" si="28"/>
        <v>0</v>
      </c>
      <c r="I284" s="305">
        <f t="shared" si="29"/>
        <v>0</v>
      </c>
    </row>
    <row r="285" spans="4:9" x14ac:dyDescent="0.25">
      <c r="D285" s="262">
        <f t="shared" si="24"/>
        <v>284</v>
      </c>
      <c r="E285" s="303">
        <f t="shared" si="25"/>
        <v>0</v>
      </c>
      <c r="F285" s="303">
        <f t="shared" si="26"/>
        <v>0</v>
      </c>
      <c r="G285" s="304">
        <f t="shared" si="27"/>
        <v>0</v>
      </c>
      <c r="H285" s="303">
        <f t="shared" si="28"/>
        <v>0</v>
      </c>
      <c r="I285" s="305">
        <f t="shared" si="29"/>
        <v>0</v>
      </c>
    </row>
    <row r="286" spans="4:9" x14ac:dyDescent="0.25">
      <c r="D286" s="262">
        <f t="shared" si="24"/>
        <v>285</v>
      </c>
      <c r="E286" s="303">
        <f t="shared" si="25"/>
        <v>0</v>
      </c>
      <c r="F286" s="303">
        <f t="shared" si="26"/>
        <v>0</v>
      </c>
      <c r="G286" s="304">
        <f t="shared" si="27"/>
        <v>0</v>
      </c>
      <c r="H286" s="303">
        <f t="shared" si="28"/>
        <v>0</v>
      </c>
      <c r="I286" s="305">
        <f t="shared" si="29"/>
        <v>0</v>
      </c>
    </row>
    <row r="287" spans="4:9" x14ac:dyDescent="0.25">
      <c r="D287" s="262">
        <f t="shared" si="24"/>
        <v>286</v>
      </c>
      <c r="E287" s="303">
        <f t="shared" si="25"/>
        <v>0</v>
      </c>
      <c r="F287" s="303">
        <f t="shared" si="26"/>
        <v>0</v>
      </c>
      <c r="G287" s="304">
        <f t="shared" si="27"/>
        <v>0</v>
      </c>
      <c r="H287" s="303">
        <f t="shared" si="28"/>
        <v>0</v>
      </c>
      <c r="I287" s="305">
        <f t="shared" si="29"/>
        <v>0</v>
      </c>
    </row>
    <row r="288" spans="4:9" x14ac:dyDescent="0.25">
      <c r="D288" s="262">
        <f t="shared" si="24"/>
        <v>287</v>
      </c>
      <c r="E288" s="303">
        <f t="shared" si="25"/>
        <v>0</v>
      </c>
      <c r="F288" s="303">
        <f t="shared" si="26"/>
        <v>0</v>
      </c>
      <c r="G288" s="304">
        <f t="shared" si="27"/>
        <v>0</v>
      </c>
      <c r="H288" s="303">
        <f t="shared" si="28"/>
        <v>0</v>
      </c>
      <c r="I288" s="305">
        <f t="shared" si="29"/>
        <v>0</v>
      </c>
    </row>
    <row r="289" spans="4:9" x14ac:dyDescent="0.25">
      <c r="D289" s="262">
        <f t="shared" si="24"/>
        <v>288</v>
      </c>
      <c r="E289" s="303">
        <f t="shared" si="25"/>
        <v>0</v>
      </c>
      <c r="F289" s="303">
        <f t="shared" si="26"/>
        <v>0</v>
      </c>
      <c r="G289" s="304">
        <f t="shared" si="27"/>
        <v>0</v>
      </c>
      <c r="H289" s="303">
        <f t="shared" si="28"/>
        <v>0</v>
      </c>
      <c r="I289" s="305">
        <f t="shared" si="29"/>
        <v>0</v>
      </c>
    </row>
    <row r="290" spans="4:9" x14ac:dyDescent="0.25">
      <c r="D290" s="262">
        <f t="shared" si="24"/>
        <v>289</v>
      </c>
      <c r="E290" s="303">
        <f t="shared" si="25"/>
        <v>0</v>
      </c>
      <c r="F290" s="303">
        <f t="shared" si="26"/>
        <v>0</v>
      </c>
      <c r="G290" s="304">
        <f t="shared" si="27"/>
        <v>0</v>
      </c>
      <c r="H290" s="303">
        <f t="shared" si="28"/>
        <v>0</v>
      </c>
      <c r="I290" s="305">
        <f t="shared" si="29"/>
        <v>0</v>
      </c>
    </row>
    <row r="291" spans="4:9" x14ac:dyDescent="0.25">
      <c r="D291" s="262">
        <f t="shared" si="24"/>
        <v>290</v>
      </c>
      <c r="E291" s="303">
        <f t="shared" si="25"/>
        <v>0</v>
      </c>
      <c r="F291" s="303">
        <f t="shared" si="26"/>
        <v>0</v>
      </c>
      <c r="G291" s="304">
        <f t="shared" si="27"/>
        <v>0</v>
      </c>
      <c r="H291" s="303">
        <f t="shared" si="28"/>
        <v>0</v>
      </c>
      <c r="I291" s="305">
        <f t="shared" si="29"/>
        <v>0</v>
      </c>
    </row>
    <row r="292" spans="4:9" x14ac:dyDescent="0.25">
      <c r="D292" s="262">
        <f t="shared" si="24"/>
        <v>291</v>
      </c>
      <c r="E292" s="303">
        <f t="shared" si="25"/>
        <v>0</v>
      </c>
      <c r="F292" s="303">
        <f t="shared" si="26"/>
        <v>0</v>
      </c>
      <c r="G292" s="304">
        <f t="shared" si="27"/>
        <v>0</v>
      </c>
      <c r="H292" s="303">
        <f t="shared" si="28"/>
        <v>0</v>
      </c>
      <c r="I292" s="305">
        <f t="shared" si="29"/>
        <v>0</v>
      </c>
    </row>
    <row r="293" spans="4:9" x14ac:dyDescent="0.25">
      <c r="D293" s="262">
        <f t="shared" si="24"/>
        <v>292</v>
      </c>
      <c r="E293" s="303">
        <f t="shared" si="25"/>
        <v>0</v>
      </c>
      <c r="F293" s="303">
        <f t="shared" si="26"/>
        <v>0</v>
      </c>
      <c r="G293" s="304">
        <f t="shared" si="27"/>
        <v>0</v>
      </c>
      <c r="H293" s="303">
        <f t="shared" si="28"/>
        <v>0</v>
      </c>
      <c r="I293" s="305">
        <f t="shared" si="29"/>
        <v>0</v>
      </c>
    </row>
    <row r="294" spans="4:9" x14ac:dyDescent="0.25">
      <c r="D294" s="262">
        <f t="shared" si="24"/>
        <v>293</v>
      </c>
      <c r="E294" s="303">
        <f t="shared" si="25"/>
        <v>0</v>
      </c>
      <c r="F294" s="303">
        <f t="shared" si="26"/>
        <v>0</v>
      </c>
      <c r="G294" s="304">
        <f t="shared" si="27"/>
        <v>0</v>
      </c>
      <c r="H294" s="303">
        <f t="shared" si="28"/>
        <v>0</v>
      </c>
      <c r="I294" s="305">
        <f t="shared" si="29"/>
        <v>0</v>
      </c>
    </row>
    <row r="295" spans="4:9" x14ac:dyDescent="0.25">
      <c r="D295" s="262">
        <f t="shared" si="24"/>
        <v>294</v>
      </c>
      <c r="E295" s="303">
        <f t="shared" si="25"/>
        <v>0</v>
      </c>
      <c r="F295" s="303">
        <f t="shared" si="26"/>
        <v>0</v>
      </c>
      <c r="G295" s="304">
        <f t="shared" si="27"/>
        <v>0</v>
      </c>
      <c r="H295" s="303">
        <f t="shared" si="28"/>
        <v>0</v>
      </c>
      <c r="I295" s="305">
        <f t="shared" si="29"/>
        <v>0</v>
      </c>
    </row>
    <row r="296" spans="4:9" x14ac:dyDescent="0.25">
      <c r="D296" s="262">
        <f t="shared" si="24"/>
        <v>295</v>
      </c>
      <c r="E296" s="303">
        <f t="shared" si="25"/>
        <v>0</v>
      </c>
      <c r="F296" s="303">
        <f t="shared" si="26"/>
        <v>0</v>
      </c>
      <c r="G296" s="304">
        <f t="shared" si="27"/>
        <v>0</v>
      </c>
      <c r="H296" s="303">
        <f t="shared" si="28"/>
        <v>0</v>
      </c>
      <c r="I296" s="305">
        <f t="shared" si="29"/>
        <v>0</v>
      </c>
    </row>
    <row r="297" spans="4:9" x14ac:dyDescent="0.25">
      <c r="D297" s="262">
        <f t="shared" si="24"/>
        <v>296</v>
      </c>
      <c r="E297" s="303">
        <f t="shared" si="25"/>
        <v>0</v>
      </c>
      <c r="F297" s="303">
        <f t="shared" si="26"/>
        <v>0</v>
      </c>
      <c r="G297" s="304">
        <f t="shared" si="27"/>
        <v>0</v>
      </c>
      <c r="H297" s="303">
        <f t="shared" si="28"/>
        <v>0</v>
      </c>
      <c r="I297" s="305">
        <f t="shared" si="29"/>
        <v>0</v>
      </c>
    </row>
    <row r="298" spans="4:9" x14ac:dyDescent="0.25">
      <c r="D298" s="262">
        <f t="shared" si="24"/>
        <v>297</v>
      </c>
      <c r="E298" s="303">
        <f t="shared" si="25"/>
        <v>0</v>
      </c>
      <c r="F298" s="303">
        <f t="shared" si="26"/>
        <v>0</v>
      </c>
      <c r="G298" s="304">
        <f t="shared" si="27"/>
        <v>0</v>
      </c>
      <c r="H298" s="303">
        <f t="shared" si="28"/>
        <v>0</v>
      </c>
      <c r="I298" s="305">
        <f t="shared" si="29"/>
        <v>0</v>
      </c>
    </row>
    <row r="299" spans="4:9" x14ac:dyDescent="0.25">
      <c r="D299" s="262">
        <f t="shared" si="24"/>
        <v>298</v>
      </c>
      <c r="E299" s="303">
        <f t="shared" si="25"/>
        <v>0</v>
      </c>
      <c r="F299" s="303">
        <f t="shared" si="26"/>
        <v>0</v>
      </c>
      <c r="G299" s="304">
        <f t="shared" si="27"/>
        <v>0</v>
      </c>
      <c r="H299" s="303">
        <f t="shared" si="28"/>
        <v>0</v>
      </c>
      <c r="I299" s="305">
        <f t="shared" si="29"/>
        <v>0</v>
      </c>
    </row>
    <row r="300" spans="4:9" x14ac:dyDescent="0.25">
      <c r="D300" s="262">
        <f t="shared" si="24"/>
        <v>299</v>
      </c>
      <c r="E300" s="303">
        <f t="shared" si="25"/>
        <v>0</v>
      </c>
      <c r="F300" s="303">
        <f t="shared" si="26"/>
        <v>0</v>
      </c>
      <c r="G300" s="304">
        <f t="shared" si="27"/>
        <v>0</v>
      </c>
      <c r="H300" s="303">
        <f t="shared" si="28"/>
        <v>0</v>
      </c>
      <c r="I300" s="305">
        <f t="shared" si="29"/>
        <v>0</v>
      </c>
    </row>
    <row r="301" spans="4:9" x14ac:dyDescent="0.25">
      <c r="D301" s="262">
        <f t="shared" si="24"/>
        <v>300</v>
      </c>
      <c r="E301" s="303">
        <f t="shared" si="25"/>
        <v>0</v>
      </c>
      <c r="F301" s="303">
        <f t="shared" si="26"/>
        <v>0</v>
      </c>
      <c r="G301" s="304">
        <f t="shared" si="27"/>
        <v>0</v>
      </c>
      <c r="H301" s="303">
        <f t="shared" si="28"/>
        <v>0</v>
      </c>
      <c r="I301" s="305">
        <f t="shared" si="29"/>
        <v>0</v>
      </c>
    </row>
    <row r="302" spans="4:9" x14ac:dyDescent="0.25">
      <c r="D302" s="262">
        <f t="shared" si="24"/>
        <v>301</v>
      </c>
      <c r="E302" s="303">
        <f t="shared" si="25"/>
        <v>0</v>
      </c>
      <c r="F302" s="303">
        <f t="shared" si="26"/>
        <v>0</v>
      </c>
      <c r="G302" s="304">
        <f t="shared" si="27"/>
        <v>0</v>
      </c>
      <c r="H302" s="303">
        <f t="shared" si="28"/>
        <v>0</v>
      </c>
      <c r="I302" s="305">
        <f t="shared" si="29"/>
        <v>0</v>
      </c>
    </row>
    <row r="303" spans="4:9" x14ac:dyDescent="0.25">
      <c r="D303" s="262">
        <f t="shared" si="24"/>
        <v>302</v>
      </c>
      <c r="E303" s="303">
        <f t="shared" si="25"/>
        <v>0</v>
      </c>
      <c r="F303" s="303">
        <f t="shared" si="26"/>
        <v>0</v>
      </c>
      <c r="G303" s="304">
        <f t="shared" si="27"/>
        <v>0</v>
      </c>
      <c r="H303" s="303">
        <f t="shared" si="28"/>
        <v>0</v>
      </c>
      <c r="I303" s="305">
        <f t="shared" si="29"/>
        <v>0</v>
      </c>
    </row>
    <row r="304" spans="4:9" x14ac:dyDescent="0.25">
      <c r="D304" s="262">
        <f t="shared" si="24"/>
        <v>303</v>
      </c>
      <c r="E304" s="303">
        <f t="shared" si="25"/>
        <v>0</v>
      </c>
      <c r="F304" s="303">
        <f t="shared" si="26"/>
        <v>0</v>
      </c>
      <c r="G304" s="304">
        <f t="shared" si="27"/>
        <v>0</v>
      </c>
      <c r="H304" s="303">
        <f t="shared" si="28"/>
        <v>0</v>
      </c>
      <c r="I304" s="305">
        <f t="shared" si="29"/>
        <v>0</v>
      </c>
    </row>
    <row r="305" spans="4:9" x14ac:dyDescent="0.25">
      <c r="D305" s="262">
        <f t="shared" si="24"/>
        <v>304</v>
      </c>
      <c r="E305" s="303">
        <f t="shared" si="25"/>
        <v>0</v>
      </c>
      <c r="F305" s="303">
        <f t="shared" si="26"/>
        <v>0</v>
      </c>
      <c r="G305" s="304">
        <f t="shared" si="27"/>
        <v>0</v>
      </c>
      <c r="H305" s="303">
        <f t="shared" si="28"/>
        <v>0</v>
      </c>
      <c r="I305" s="305">
        <f t="shared" si="29"/>
        <v>0</v>
      </c>
    </row>
    <row r="306" spans="4:9" x14ac:dyDescent="0.25">
      <c r="D306" s="262">
        <f t="shared" si="24"/>
        <v>305</v>
      </c>
      <c r="E306" s="303">
        <f t="shared" si="25"/>
        <v>0</v>
      </c>
      <c r="F306" s="303">
        <f t="shared" si="26"/>
        <v>0</v>
      </c>
      <c r="G306" s="304">
        <f t="shared" si="27"/>
        <v>0</v>
      </c>
      <c r="H306" s="303">
        <f t="shared" si="28"/>
        <v>0</v>
      </c>
      <c r="I306" s="305">
        <f t="shared" si="29"/>
        <v>0</v>
      </c>
    </row>
    <row r="307" spans="4:9" x14ac:dyDescent="0.25">
      <c r="D307" s="262">
        <f t="shared" si="24"/>
        <v>306</v>
      </c>
      <c r="E307" s="303">
        <f t="shared" si="25"/>
        <v>0</v>
      </c>
      <c r="F307" s="303">
        <f t="shared" si="26"/>
        <v>0</v>
      </c>
      <c r="G307" s="304">
        <f t="shared" si="27"/>
        <v>0</v>
      </c>
      <c r="H307" s="303">
        <f t="shared" si="28"/>
        <v>0</v>
      </c>
      <c r="I307" s="305">
        <f t="shared" si="29"/>
        <v>0</v>
      </c>
    </row>
    <row r="308" spans="4:9" x14ac:dyDescent="0.25">
      <c r="D308" s="262">
        <f t="shared" si="24"/>
        <v>307</v>
      </c>
      <c r="E308" s="303">
        <f t="shared" si="25"/>
        <v>0</v>
      </c>
      <c r="F308" s="303">
        <f t="shared" si="26"/>
        <v>0</v>
      </c>
      <c r="G308" s="304">
        <f t="shared" si="27"/>
        <v>0</v>
      </c>
      <c r="H308" s="303">
        <f t="shared" si="28"/>
        <v>0</v>
      </c>
      <c r="I308" s="305">
        <f t="shared" si="29"/>
        <v>0</v>
      </c>
    </row>
    <row r="309" spans="4:9" x14ac:dyDescent="0.25">
      <c r="D309" s="262">
        <f t="shared" si="24"/>
        <v>308</v>
      </c>
      <c r="E309" s="303">
        <f t="shared" si="25"/>
        <v>0</v>
      </c>
      <c r="F309" s="303">
        <f t="shared" si="26"/>
        <v>0</v>
      </c>
      <c r="G309" s="304">
        <f t="shared" si="27"/>
        <v>0</v>
      </c>
      <c r="H309" s="303">
        <f t="shared" si="28"/>
        <v>0</v>
      </c>
      <c r="I309" s="305">
        <f t="shared" si="29"/>
        <v>0</v>
      </c>
    </row>
    <row r="310" spans="4:9" x14ac:dyDescent="0.25">
      <c r="D310" s="262">
        <f t="shared" si="24"/>
        <v>309</v>
      </c>
      <c r="E310" s="303">
        <f t="shared" si="25"/>
        <v>0</v>
      </c>
      <c r="F310" s="303">
        <f t="shared" si="26"/>
        <v>0</v>
      </c>
      <c r="G310" s="304">
        <f t="shared" si="27"/>
        <v>0</v>
      </c>
      <c r="H310" s="303">
        <f t="shared" si="28"/>
        <v>0</v>
      </c>
      <c r="I310" s="305">
        <f t="shared" si="29"/>
        <v>0</v>
      </c>
    </row>
    <row r="311" spans="4:9" x14ac:dyDescent="0.25">
      <c r="D311" s="262">
        <f t="shared" si="24"/>
        <v>310</v>
      </c>
      <c r="E311" s="303">
        <f t="shared" si="25"/>
        <v>0</v>
      </c>
      <c r="F311" s="303">
        <f t="shared" si="26"/>
        <v>0</v>
      </c>
      <c r="G311" s="304">
        <f t="shared" si="27"/>
        <v>0</v>
      </c>
      <c r="H311" s="303">
        <f t="shared" si="28"/>
        <v>0</v>
      </c>
      <c r="I311" s="305">
        <f t="shared" si="29"/>
        <v>0</v>
      </c>
    </row>
    <row r="312" spans="4:9" x14ac:dyDescent="0.25">
      <c r="D312" s="262">
        <f t="shared" si="24"/>
        <v>311</v>
      </c>
      <c r="E312" s="303">
        <f t="shared" si="25"/>
        <v>0</v>
      </c>
      <c r="F312" s="303">
        <f t="shared" si="26"/>
        <v>0</v>
      </c>
      <c r="G312" s="304">
        <f t="shared" si="27"/>
        <v>0</v>
      </c>
      <c r="H312" s="303">
        <f t="shared" si="28"/>
        <v>0</v>
      </c>
      <c r="I312" s="305">
        <f t="shared" si="29"/>
        <v>0</v>
      </c>
    </row>
    <row r="313" spans="4:9" x14ac:dyDescent="0.25">
      <c r="D313" s="262">
        <f t="shared" si="24"/>
        <v>312</v>
      </c>
      <c r="E313" s="303">
        <f t="shared" si="25"/>
        <v>0</v>
      </c>
      <c r="F313" s="303">
        <f t="shared" si="26"/>
        <v>0</v>
      </c>
      <c r="G313" s="304">
        <f t="shared" si="27"/>
        <v>0</v>
      </c>
      <c r="H313" s="303">
        <f t="shared" si="28"/>
        <v>0</v>
      </c>
      <c r="I313" s="305">
        <f t="shared" si="29"/>
        <v>0</v>
      </c>
    </row>
    <row r="314" spans="4:9" x14ac:dyDescent="0.25">
      <c r="D314" s="262">
        <f t="shared" si="24"/>
        <v>313</v>
      </c>
      <c r="E314" s="303">
        <f t="shared" si="25"/>
        <v>0</v>
      </c>
      <c r="F314" s="303">
        <f t="shared" si="26"/>
        <v>0</v>
      </c>
      <c r="G314" s="304">
        <f t="shared" si="27"/>
        <v>0</v>
      </c>
      <c r="H314" s="303">
        <f t="shared" si="28"/>
        <v>0</v>
      </c>
      <c r="I314" s="305">
        <f t="shared" si="29"/>
        <v>0</v>
      </c>
    </row>
    <row r="315" spans="4:9" x14ac:dyDescent="0.25">
      <c r="D315" s="262">
        <f t="shared" si="24"/>
        <v>314</v>
      </c>
      <c r="E315" s="303">
        <f t="shared" si="25"/>
        <v>0</v>
      </c>
      <c r="F315" s="303">
        <f t="shared" si="26"/>
        <v>0</v>
      </c>
      <c r="G315" s="304">
        <f t="shared" si="27"/>
        <v>0</v>
      </c>
      <c r="H315" s="303">
        <f t="shared" si="28"/>
        <v>0</v>
      </c>
      <c r="I315" s="305">
        <f t="shared" si="29"/>
        <v>0</v>
      </c>
    </row>
    <row r="316" spans="4:9" x14ac:dyDescent="0.25">
      <c r="D316" s="262">
        <f t="shared" si="24"/>
        <v>315</v>
      </c>
      <c r="E316" s="303">
        <f t="shared" si="25"/>
        <v>0</v>
      </c>
      <c r="F316" s="303">
        <f t="shared" si="26"/>
        <v>0</v>
      </c>
      <c r="G316" s="304">
        <f t="shared" si="27"/>
        <v>0</v>
      </c>
      <c r="H316" s="303">
        <f t="shared" si="28"/>
        <v>0</v>
      </c>
      <c r="I316" s="305">
        <f t="shared" si="29"/>
        <v>0</v>
      </c>
    </row>
    <row r="317" spans="4:9" x14ac:dyDescent="0.25">
      <c r="D317" s="262">
        <f t="shared" si="24"/>
        <v>316</v>
      </c>
      <c r="E317" s="303">
        <f t="shared" si="25"/>
        <v>0</v>
      </c>
      <c r="F317" s="303">
        <f t="shared" si="26"/>
        <v>0</v>
      </c>
      <c r="G317" s="304">
        <f t="shared" si="27"/>
        <v>0</v>
      </c>
      <c r="H317" s="303">
        <f t="shared" si="28"/>
        <v>0</v>
      </c>
      <c r="I317" s="305">
        <f t="shared" si="29"/>
        <v>0</v>
      </c>
    </row>
    <row r="318" spans="4:9" x14ac:dyDescent="0.25">
      <c r="D318" s="262">
        <f t="shared" si="24"/>
        <v>317</v>
      </c>
      <c r="E318" s="303">
        <f t="shared" si="25"/>
        <v>0</v>
      </c>
      <c r="F318" s="303">
        <f t="shared" si="26"/>
        <v>0</v>
      </c>
      <c r="G318" s="304">
        <f t="shared" si="27"/>
        <v>0</v>
      </c>
      <c r="H318" s="303">
        <f t="shared" si="28"/>
        <v>0</v>
      </c>
      <c r="I318" s="305">
        <f t="shared" si="29"/>
        <v>0</v>
      </c>
    </row>
    <row r="319" spans="4:9" x14ac:dyDescent="0.25">
      <c r="D319" s="262">
        <f t="shared" si="24"/>
        <v>318</v>
      </c>
      <c r="E319" s="303">
        <f t="shared" si="25"/>
        <v>0</v>
      </c>
      <c r="F319" s="303">
        <f t="shared" si="26"/>
        <v>0</v>
      </c>
      <c r="G319" s="304">
        <f t="shared" si="27"/>
        <v>0</v>
      </c>
      <c r="H319" s="303">
        <f t="shared" si="28"/>
        <v>0</v>
      </c>
      <c r="I319" s="305">
        <f t="shared" si="29"/>
        <v>0</v>
      </c>
    </row>
    <row r="320" spans="4:9" x14ac:dyDescent="0.25">
      <c r="D320" s="262">
        <f t="shared" si="24"/>
        <v>319</v>
      </c>
      <c r="E320" s="303">
        <f t="shared" si="25"/>
        <v>0</v>
      </c>
      <c r="F320" s="303">
        <f t="shared" si="26"/>
        <v>0</v>
      </c>
      <c r="G320" s="304">
        <f t="shared" si="27"/>
        <v>0</v>
      </c>
      <c r="H320" s="303">
        <f t="shared" si="28"/>
        <v>0</v>
      </c>
      <c r="I320" s="305">
        <f t="shared" si="29"/>
        <v>0</v>
      </c>
    </row>
    <row r="321" spans="4:9" x14ac:dyDescent="0.25">
      <c r="D321" s="262">
        <f t="shared" si="24"/>
        <v>320</v>
      </c>
      <c r="E321" s="303">
        <f t="shared" si="25"/>
        <v>0</v>
      </c>
      <c r="F321" s="303">
        <f t="shared" si="26"/>
        <v>0</v>
      </c>
      <c r="G321" s="304">
        <f t="shared" si="27"/>
        <v>0</v>
      </c>
      <c r="H321" s="303">
        <f t="shared" si="28"/>
        <v>0</v>
      </c>
      <c r="I321" s="305">
        <f t="shared" si="29"/>
        <v>0</v>
      </c>
    </row>
    <row r="322" spans="4:9" x14ac:dyDescent="0.25">
      <c r="D322" s="262">
        <f t="shared" si="24"/>
        <v>321</v>
      </c>
      <c r="E322" s="303">
        <f t="shared" si="25"/>
        <v>0</v>
      </c>
      <c r="F322" s="303">
        <f t="shared" si="26"/>
        <v>0</v>
      </c>
      <c r="G322" s="304">
        <f t="shared" si="27"/>
        <v>0</v>
      </c>
      <c r="H322" s="303">
        <f t="shared" si="28"/>
        <v>0</v>
      </c>
      <c r="I322" s="305">
        <f t="shared" si="29"/>
        <v>0</v>
      </c>
    </row>
    <row r="323" spans="4:9" x14ac:dyDescent="0.25">
      <c r="D323" s="262">
        <f t="shared" si="24"/>
        <v>322</v>
      </c>
      <c r="E323" s="303">
        <f t="shared" si="25"/>
        <v>0</v>
      </c>
      <c r="F323" s="303">
        <f t="shared" si="26"/>
        <v>0</v>
      </c>
      <c r="G323" s="304">
        <f t="shared" si="27"/>
        <v>0</v>
      </c>
      <c r="H323" s="303">
        <f t="shared" si="28"/>
        <v>0</v>
      </c>
      <c r="I323" s="305">
        <f t="shared" si="29"/>
        <v>0</v>
      </c>
    </row>
    <row r="324" spans="4:9" x14ac:dyDescent="0.25">
      <c r="D324" s="262">
        <f t="shared" ref="D324:D361" si="30">D323+1</f>
        <v>323</v>
      </c>
      <c r="E324" s="303">
        <f t="shared" ref="E324:E361" si="31">IF(D324/12&gt;$B$6,0,I323)</f>
        <v>0</v>
      </c>
      <c r="F324" s="303">
        <f t="shared" ref="F324:F361" si="32">SUM(G324:H324)</f>
        <v>0</v>
      </c>
      <c r="G324" s="304">
        <f t="shared" ref="G324:G361" si="33">IF(AND(D324&gt;$B$4,D324/12&lt;=$B$6),-PPMT($B$5/12,D324-$B$4,$B$3*12,$B$2,0,0),0)</f>
        <v>0</v>
      </c>
      <c r="H324" s="303">
        <f t="shared" ref="H324:H361" si="34">E324*$B$5/12</f>
        <v>0</v>
      </c>
      <c r="I324" s="305">
        <f t="shared" ref="I324:I361" si="35">E324-G324</f>
        <v>0</v>
      </c>
    </row>
    <row r="325" spans="4:9" x14ac:dyDescent="0.25">
      <c r="D325" s="262">
        <f t="shared" si="30"/>
        <v>324</v>
      </c>
      <c r="E325" s="303">
        <f t="shared" si="31"/>
        <v>0</v>
      </c>
      <c r="F325" s="303">
        <f t="shared" si="32"/>
        <v>0</v>
      </c>
      <c r="G325" s="304">
        <f t="shared" si="33"/>
        <v>0</v>
      </c>
      <c r="H325" s="303">
        <f t="shared" si="34"/>
        <v>0</v>
      </c>
      <c r="I325" s="305">
        <f t="shared" si="35"/>
        <v>0</v>
      </c>
    </row>
    <row r="326" spans="4:9" x14ac:dyDescent="0.25">
      <c r="D326" s="262">
        <f t="shared" si="30"/>
        <v>325</v>
      </c>
      <c r="E326" s="303">
        <f t="shared" si="31"/>
        <v>0</v>
      </c>
      <c r="F326" s="303">
        <f t="shared" si="32"/>
        <v>0</v>
      </c>
      <c r="G326" s="304">
        <f t="shared" si="33"/>
        <v>0</v>
      </c>
      <c r="H326" s="303">
        <f t="shared" si="34"/>
        <v>0</v>
      </c>
      <c r="I326" s="305">
        <f t="shared" si="35"/>
        <v>0</v>
      </c>
    </row>
    <row r="327" spans="4:9" x14ac:dyDescent="0.25">
      <c r="D327" s="262">
        <f t="shared" si="30"/>
        <v>326</v>
      </c>
      <c r="E327" s="303">
        <f t="shared" si="31"/>
        <v>0</v>
      </c>
      <c r="F327" s="303">
        <f t="shared" si="32"/>
        <v>0</v>
      </c>
      <c r="G327" s="304">
        <f t="shared" si="33"/>
        <v>0</v>
      </c>
      <c r="H327" s="303">
        <f t="shared" si="34"/>
        <v>0</v>
      </c>
      <c r="I327" s="305">
        <f t="shared" si="35"/>
        <v>0</v>
      </c>
    </row>
    <row r="328" spans="4:9" x14ac:dyDescent="0.25">
      <c r="D328" s="262">
        <f t="shared" si="30"/>
        <v>327</v>
      </c>
      <c r="E328" s="303">
        <f t="shared" si="31"/>
        <v>0</v>
      </c>
      <c r="F328" s="303">
        <f t="shared" si="32"/>
        <v>0</v>
      </c>
      <c r="G328" s="304">
        <f t="shared" si="33"/>
        <v>0</v>
      </c>
      <c r="H328" s="303">
        <f t="shared" si="34"/>
        <v>0</v>
      </c>
      <c r="I328" s="305">
        <f t="shared" si="35"/>
        <v>0</v>
      </c>
    </row>
    <row r="329" spans="4:9" x14ac:dyDescent="0.25">
      <c r="D329" s="262">
        <f t="shared" si="30"/>
        <v>328</v>
      </c>
      <c r="E329" s="303">
        <f t="shared" si="31"/>
        <v>0</v>
      </c>
      <c r="F329" s="303">
        <f t="shared" si="32"/>
        <v>0</v>
      </c>
      <c r="G329" s="304">
        <f t="shared" si="33"/>
        <v>0</v>
      </c>
      <c r="H329" s="303">
        <f t="shared" si="34"/>
        <v>0</v>
      </c>
      <c r="I329" s="305">
        <f t="shared" si="35"/>
        <v>0</v>
      </c>
    </row>
    <row r="330" spans="4:9" x14ac:dyDescent="0.25">
      <c r="D330" s="262">
        <f t="shared" si="30"/>
        <v>329</v>
      </c>
      <c r="E330" s="303">
        <f t="shared" si="31"/>
        <v>0</v>
      </c>
      <c r="F330" s="303">
        <f t="shared" si="32"/>
        <v>0</v>
      </c>
      <c r="G330" s="304">
        <f t="shared" si="33"/>
        <v>0</v>
      </c>
      <c r="H330" s="303">
        <f t="shared" si="34"/>
        <v>0</v>
      </c>
      <c r="I330" s="305">
        <f t="shared" si="35"/>
        <v>0</v>
      </c>
    </row>
    <row r="331" spans="4:9" x14ac:dyDescent="0.25">
      <c r="D331" s="262">
        <f t="shared" si="30"/>
        <v>330</v>
      </c>
      <c r="E331" s="303">
        <f t="shared" si="31"/>
        <v>0</v>
      </c>
      <c r="F331" s="303">
        <f t="shared" si="32"/>
        <v>0</v>
      </c>
      <c r="G331" s="304">
        <f t="shared" si="33"/>
        <v>0</v>
      </c>
      <c r="H331" s="303">
        <f t="shared" si="34"/>
        <v>0</v>
      </c>
      <c r="I331" s="305">
        <f t="shared" si="35"/>
        <v>0</v>
      </c>
    </row>
    <row r="332" spans="4:9" x14ac:dyDescent="0.25">
      <c r="D332" s="262">
        <f t="shared" si="30"/>
        <v>331</v>
      </c>
      <c r="E332" s="303">
        <f t="shared" si="31"/>
        <v>0</v>
      </c>
      <c r="F332" s="303">
        <f t="shared" si="32"/>
        <v>0</v>
      </c>
      <c r="G332" s="304">
        <f t="shared" si="33"/>
        <v>0</v>
      </c>
      <c r="H332" s="303">
        <f t="shared" si="34"/>
        <v>0</v>
      </c>
      <c r="I332" s="305">
        <f t="shared" si="35"/>
        <v>0</v>
      </c>
    </row>
    <row r="333" spans="4:9" x14ac:dyDescent="0.25">
      <c r="D333" s="262">
        <f t="shared" si="30"/>
        <v>332</v>
      </c>
      <c r="E333" s="303">
        <f t="shared" si="31"/>
        <v>0</v>
      </c>
      <c r="F333" s="303">
        <f t="shared" si="32"/>
        <v>0</v>
      </c>
      <c r="G333" s="304">
        <f t="shared" si="33"/>
        <v>0</v>
      </c>
      <c r="H333" s="303">
        <f t="shared" si="34"/>
        <v>0</v>
      </c>
      <c r="I333" s="305">
        <f t="shared" si="35"/>
        <v>0</v>
      </c>
    </row>
    <row r="334" spans="4:9" x14ac:dyDescent="0.25">
      <c r="D334" s="262">
        <f t="shared" si="30"/>
        <v>333</v>
      </c>
      <c r="E334" s="303">
        <f t="shared" si="31"/>
        <v>0</v>
      </c>
      <c r="F334" s="303">
        <f t="shared" si="32"/>
        <v>0</v>
      </c>
      <c r="G334" s="304">
        <f t="shared" si="33"/>
        <v>0</v>
      </c>
      <c r="H334" s="303">
        <f t="shared" si="34"/>
        <v>0</v>
      </c>
      <c r="I334" s="305">
        <f t="shared" si="35"/>
        <v>0</v>
      </c>
    </row>
    <row r="335" spans="4:9" x14ac:dyDescent="0.25">
      <c r="D335" s="262">
        <f t="shared" si="30"/>
        <v>334</v>
      </c>
      <c r="E335" s="303">
        <f t="shared" si="31"/>
        <v>0</v>
      </c>
      <c r="F335" s="303">
        <f t="shared" si="32"/>
        <v>0</v>
      </c>
      <c r="G335" s="304">
        <f t="shared" si="33"/>
        <v>0</v>
      </c>
      <c r="H335" s="303">
        <f t="shared" si="34"/>
        <v>0</v>
      </c>
      <c r="I335" s="305">
        <f t="shared" si="35"/>
        <v>0</v>
      </c>
    </row>
    <row r="336" spans="4:9" x14ac:dyDescent="0.25">
      <c r="D336" s="262">
        <f t="shared" si="30"/>
        <v>335</v>
      </c>
      <c r="E336" s="303">
        <f t="shared" si="31"/>
        <v>0</v>
      </c>
      <c r="F336" s="303">
        <f t="shared" si="32"/>
        <v>0</v>
      </c>
      <c r="G336" s="304">
        <f t="shared" si="33"/>
        <v>0</v>
      </c>
      <c r="H336" s="303">
        <f t="shared" si="34"/>
        <v>0</v>
      </c>
      <c r="I336" s="305">
        <f t="shared" si="35"/>
        <v>0</v>
      </c>
    </row>
    <row r="337" spans="4:9" x14ac:dyDescent="0.25">
      <c r="D337" s="262">
        <f t="shared" si="30"/>
        <v>336</v>
      </c>
      <c r="E337" s="303">
        <f t="shared" si="31"/>
        <v>0</v>
      </c>
      <c r="F337" s="303">
        <f t="shared" si="32"/>
        <v>0</v>
      </c>
      <c r="G337" s="304">
        <f t="shared" si="33"/>
        <v>0</v>
      </c>
      <c r="H337" s="303">
        <f t="shared" si="34"/>
        <v>0</v>
      </c>
      <c r="I337" s="305">
        <f t="shared" si="35"/>
        <v>0</v>
      </c>
    </row>
    <row r="338" spans="4:9" x14ac:dyDescent="0.25">
      <c r="D338" s="262">
        <f t="shared" si="30"/>
        <v>337</v>
      </c>
      <c r="E338" s="303">
        <f t="shared" si="31"/>
        <v>0</v>
      </c>
      <c r="F338" s="303">
        <f t="shared" si="32"/>
        <v>0</v>
      </c>
      <c r="G338" s="304">
        <f t="shared" si="33"/>
        <v>0</v>
      </c>
      <c r="H338" s="303">
        <f t="shared" si="34"/>
        <v>0</v>
      </c>
      <c r="I338" s="305">
        <f t="shared" si="35"/>
        <v>0</v>
      </c>
    </row>
    <row r="339" spans="4:9" x14ac:dyDescent="0.25">
      <c r="D339" s="262">
        <f t="shared" si="30"/>
        <v>338</v>
      </c>
      <c r="E339" s="303">
        <f t="shared" si="31"/>
        <v>0</v>
      </c>
      <c r="F339" s="303">
        <f t="shared" si="32"/>
        <v>0</v>
      </c>
      <c r="G339" s="304">
        <f t="shared" si="33"/>
        <v>0</v>
      </c>
      <c r="H339" s="303">
        <f t="shared" si="34"/>
        <v>0</v>
      </c>
      <c r="I339" s="305">
        <f t="shared" si="35"/>
        <v>0</v>
      </c>
    </row>
    <row r="340" spans="4:9" x14ac:dyDescent="0.25">
      <c r="D340" s="262">
        <f t="shared" si="30"/>
        <v>339</v>
      </c>
      <c r="E340" s="303">
        <f t="shared" si="31"/>
        <v>0</v>
      </c>
      <c r="F340" s="303">
        <f t="shared" si="32"/>
        <v>0</v>
      </c>
      <c r="G340" s="304">
        <f t="shared" si="33"/>
        <v>0</v>
      </c>
      <c r="H340" s="303">
        <f t="shared" si="34"/>
        <v>0</v>
      </c>
      <c r="I340" s="305">
        <f t="shared" si="35"/>
        <v>0</v>
      </c>
    </row>
    <row r="341" spans="4:9" x14ac:dyDescent="0.25">
      <c r="D341" s="262">
        <f t="shared" si="30"/>
        <v>340</v>
      </c>
      <c r="E341" s="303">
        <f t="shared" si="31"/>
        <v>0</v>
      </c>
      <c r="F341" s="303">
        <f t="shared" si="32"/>
        <v>0</v>
      </c>
      <c r="G341" s="304">
        <f t="shared" si="33"/>
        <v>0</v>
      </c>
      <c r="H341" s="303">
        <f t="shared" si="34"/>
        <v>0</v>
      </c>
      <c r="I341" s="305">
        <f t="shared" si="35"/>
        <v>0</v>
      </c>
    </row>
    <row r="342" spans="4:9" x14ac:dyDescent="0.25">
      <c r="D342" s="262">
        <f t="shared" si="30"/>
        <v>341</v>
      </c>
      <c r="E342" s="303">
        <f t="shared" si="31"/>
        <v>0</v>
      </c>
      <c r="F342" s="303">
        <f t="shared" si="32"/>
        <v>0</v>
      </c>
      <c r="G342" s="304">
        <f t="shared" si="33"/>
        <v>0</v>
      </c>
      <c r="H342" s="303">
        <f t="shared" si="34"/>
        <v>0</v>
      </c>
      <c r="I342" s="305">
        <f t="shared" si="35"/>
        <v>0</v>
      </c>
    </row>
    <row r="343" spans="4:9" x14ac:dyDescent="0.25">
      <c r="D343" s="262">
        <f t="shared" si="30"/>
        <v>342</v>
      </c>
      <c r="E343" s="303">
        <f t="shared" si="31"/>
        <v>0</v>
      </c>
      <c r="F343" s="303">
        <f t="shared" si="32"/>
        <v>0</v>
      </c>
      <c r="G343" s="304">
        <f t="shared" si="33"/>
        <v>0</v>
      </c>
      <c r="H343" s="303">
        <f t="shared" si="34"/>
        <v>0</v>
      </c>
      <c r="I343" s="305">
        <f t="shared" si="35"/>
        <v>0</v>
      </c>
    </row>
    <row r="344" spans="4:9" x14ac:dyDescent="0.25">
      <c r="D344" s="262">
        <f t="shared" si="30"/>
        <v>343</v>
      </c>
      <c r="E344" s="303">
        <f t="shared" si="31"/>
        <v>0</v>
      </c>
      <c r="F344" s="303">
        <f t="shared" si="32"/>
        <v>0</v>
      </c>
      <c r="G344" s="304">
        <f t="shared" si="33"/>
        <v>0</v>
      </c>
      <c r="H344" s="303">
        <f t="shared" si="34"/>
        <v>0</v>
      </c>
      <c r="I344" s="305">
        <f t="shared" si="35"/>
        <v>0</v>
      </c>
    </row>
    <row r="345" spans="4:9" x14ac:dyDescent="0.25">
      <c r="D345" s="262">
        <f t="shared" si="30"/>
        <v>344</v>
      </c>
      <c r="E345" s="303">
        <f t="shared" si="31"/>
        <v>0</v>
      </c>
      <c r="F345" s="303">
        <f t="shared" si="32"/>
        <v>0</v>
      </c>
      <c r="G345" s="304">
        <f t="shared" si="33"/>
        <v>0</v>
      </c>
      <c r="H345" s="303">
        <f t="shared" si="34"/>
        <v>0</v>
      </c>
      <c r="I345" s="305">
        <f t="shared" si="35"/>
        <v>0</v>
      </c>
    </row>
    <row r="346" spans="4:9" x14ac:dyDescent="0.25">
      <c r="D346" s="262">
        <f t="shared" si="30"/>
        <v>345</v>
      </c>
      <c r="E346" s="303">
        <f t="shared" si="31"/>
        <v>0</v>
      </c>
      <c r="F346" s="303">
        <f t="shared" si="32"/>
        <v>0</v>
      </c>
      <c r="G346" s="304">
        <f t="shared" si="33"/>
        <v>0</v>
      </c>
      <c r="H346" s="303">
        <f t="shared" si="34"/>
        <v>0</v>
      </c>
      <c r="I346" s="305">
        <f t="shared" si="35"/>
        <v>0</v>
      </c>
    </row>
    <row r="347" spans="4:9" x14ac:dyDescent="0.25">
      <c r="D347" s="262">
        <f t="shared" si="30"/>
        <v>346</v>
      </c>
      <c r="E347" s="303">
        <f t="shared" si="31"/>
        <v>0</v>
      </c>
      <c r="F347" s="303">
        <f t="shared" si="32"/>
        <v>0</v>
      </c>
      <c r="G347" s="304">
        <f t="shared" si="33"/>
        <v>0</v>
      </c>
      <c r="H347" s="303">
        <f t="shared" si="34"/>
        <v>0</v>
      </c>
      <c r="I347" s="305">
        <f t="shared" si="35"/>
        <v>0</v>
      </c>
    </row>
    <row r="348" spans="4:9" x14ac:dyDescent="0.25">
      <c r="D348" s="262">
        <f t="shared" si="30"/>
        <v>347</v>
      </c>
      <c r="E348" s="303">
        <f t="shared" si="31"/>
        <v>0</v>
      </c>
      <c r="F348" s="303">
        <f t="shared" si="32"/>
        <v>0</v>
      </c>
      <c r="G348" s="304">
        <f t="shared" si="33"/>
        <v>0</v>
      </c>
      <c r="H348" s="303">
        <f t="shared" si="34"/>
        <v>0</v>
      </c>
      <c r="I348" s="305">
        <f t="shared" si="35"/>
        <v>0</v>
      </c>
    </row>
    <row r="349" spans="4:9" x14ac:dyDescent="0.25">
      <c r="D349" s="262">
        <f t="shared" si="30"/>
        <v>348</v>
      </c>
      <c r="E349" s="303">
        <f t="shared" si="31"/>
        <v>0</v>
      </c>
      <c r="F349" s="303">
        <f t="shared" si="32"/>
        <v>0</v>
      </c>
      <c r="G349" s="304">
        <f t="shared" si="33"/>
        <v>0</v>
      </c>
      <c r="H349" s="303">
        <f t="shared" si="34"/>
        <v>0</v>
      </c>
      <c r="I349" s="305">
        <f t="shared" si="35"/>
        <v>0</v>
      </c>
    </row>
    <row r="350" spans="4:9" x14ac:dyDescent="0.25">
      <c r="D350" s="262">
        <f t="shared" si="30"/>
        <v>349</v>
      </c>
      <c r="E350" s="303">
        <f t="shared" si="31"/>
        <v>0</v>
      </c>
      <c r="F350" s="303">
        <f t="shared" si="32"/>
        <v>0</v>
      </c>
      <c r="G350" s="304">
        <f t="shared" si="33"/>
        <v>0</v>
      </c>
      <c r="H350" s="303">
        <f t="shared" si="34"/>
        <v>0</v>
      </c>
      <c r="I350" s="305">
        <f t="shared" si="35"/>
        <v>0</v>
      </c>
    </row>
    <row r="351" spans="4:9" x14ac:dyDescent="0.25">
      <c r="D351" s="262">
        <f t="shared" si="30"/>
        <v>350</v>
      </c>
      <c r="E351" s="303">
        <f t="shared" si="31"/>
        <v>0</v>
      </c>
      <c r="F351" s="303">
        <f t="shared" si="32"/>
        <v>0</v>
      </c>
      <c r="G351" s="304">
        <f t="shared" si="33"/>
        <v>0</v>
      </c>
      <c r="H351" s="303">
        <f t="shared" si="34"/>
        <v>0</v>
      </c>
      <c r="I351" s="305">
        <f t="shared" si="35"/>
        <v>0</v>
      </c>
    </row>
    <row r="352" spans="4:9" x14ac:dyDescent="0.25">
      <c r="D352" s="262">
        <f t="shared" si="30"/>
        <v>351</v>
      </c>
      <c r="E352" s="303">
        <f t="shared" si="31"/>
        <v>0</v>
      </c>
      <c r="F352" s="303">
        <f t="shared" si="32"/>
        <v>0</v>
      </c>
      <c r="G352" s="304">
        <f t="shared" si="33"/>
        <v>0</v>
      </c>
      <c r="H352" s="303">
        <f t="shared" si="34"/>
        <v>0</v>
      </c>
      <c r="I352" s="305">
        <f t="shared" si="35"/>
        <v>0</v>
      </c>
    </row>
    <row r="353" spans="4:9" x14ac:dyDescent="0.25">
      <c r="D353" s="262">
        <f t="shared" si="30"/>
        <v>352</v>
      </c>
      <c r="E353" s="303">
        <f t="shared" si="31"/>
        <v>0</v>
      </c>
      <c r="F353" s="303">
        <f t="shared" si="32"/>
        <v>0</v>
      </c>
      <c r="G353" s="304">
        <f t="shared" si="33"/>
        <v>0</v>
      </c>
      <c r="H353" s="303">
        <f t="shared" si="34"/>
        <v>0</v>
      </c>
      <c r="I353" s="305">
        <f t="shared" si="35"/>
        <v>0</v>
      </c>
    </row>
    <row r="354" spans="4:9" x14ac:dyDescent="0.25">
      <c r="D354" s="262">
        <f t="shared" si="30"/>
        <v>353</v>
      </c>
      <c r="E354" s="303">
        <f t="shared" si="31"/>
        <v>0</v>
      </c>
      <c r="F354" s="303">
        <f t="shared" si="32"/>
        <v>0</v>
      </c>
      <c r="G354" s="304">
        <f t="shared" si="33"/>
        <v>0</v>
      </c>
      <c r="H354" s="303">
        <f t="shared" si="34"/>
        <v>0</v>
      </c>
      <c r="I354" s="305">
        <f t="shared" si="35"/>
        <v>0</v>
      </c>
    </row>
    <row r="355" spans="4:9" x14ac:dyDescent="0.25">
      <c r="D355" s="262">
        <f t="shared" si="30"/>
        <v>354</v>
      </c>
      <c r="E355" s="303">
        <f t="shared" si="31"/>
        <v>0</v>
      </c>
      <c r="F355" s="303">
        <f t="shared" si="32"/>
        <v>0</v>
      </c>
      <c r="G355" s="304">
        <f t="shared" si="33"/>
        <v>0</v>
      </c>
      <c r="H355" s="303">
        <f t="shared" si="34"/>
        <v>0</v>
      </c>
      <c r="I355" s="305">
        <f t="shared" si="35"/>
        <v>0</v>
      </c>
    </row>
    <row r="356" spans="4:9" x14ac:dyDescent="0.25">
      <c r="D356" s="262">
        <f t="shared" si="30"/>
        <v>355</v>
      </c>
      <c r="E356" s="303">
        <f t="shared" si="31"/>
        <v>0</v>
      </c>
      <c r="F356" s="303">
        <f t="shared" si="32"/>
        <v>0</v>
      </c>
      <c r="G356" s="304">
        <f t="shared" si="33"/>
        <v>0</v>
      </c>
      <c r="H356" s="303">
        <f t="shared" si="34"/>
        <v>0</v>
      </c>
      <c r="I356" s="305">
        <f t="shared" si="35"/>
        <v>0</v>
      </c>
    </row>
    <row r="357" spans="4:9" x14ac:dyDescent="0.25">
      <c r="D357" s="262">
        <f t="shared" si="30"/>
        <v>356</v>
      </c>
      <c r="E357" s="303">
        <f t="shared" si="31"/>
        <v>0</v>
      </c>
      <c r="F357" s="303">
        <f t="shared" si="32"/>
        <v>0</v>
      </c>
      <c r="G357" s="304">
        <f t="shared" si="33"/>
        <v>0</v>
      </c>
      <c r="H357" s="303">
        <f t="shared" si="34"/>
        <v>0</v>
      </c>
      <c r="I357" s="305">
        <f t="shared" si="35"/>
        <v>0</v>
      </c>
    </row>
    <row r="358" spans="4:9" x14ac:dyDescent="0.25">
      <c r="D358" s="262">
        <f t="shared" si="30"/>
        <v>357</v>
      </c>
      <c r="E358" s="303">
        <f t="shared" si="31"/>
        <v>0</v>
      </c>
      <c r="F358" s="303">
        <f t="shared" si="32"/>
        <v>0</v>
      </c>
      <c r="G358" s="304">
        <f t="shared" si="33"/>
        <v>0</v>
      </c>
      <c r="H358" s="303">
        <f t="shared" si="34"/>
        <v>0</v>
      </c>
      <c r="I358" s="305">
        <f t="shared" si="35"/>
        <v>0</v>
      </c>
    </row>
    <row r="359" spans="4:9" x14ac:dyDescent="0.25">
      <c r="D359" s="262">
        <f t="shared" si="30"/>
        <v>358</v>
      </c>
      <c r="E359" s="303">
        <f t="shared" si="31"/>
        <v>0</v>
      </c>
      <c r="F359" s="303">
        <f t="shared" si="32"/>
        <v>0</v>
      </c>
      <c r="G359" s="304">
        <f t="shared" si="33"/>
        <v>0</v>
      </c>
      <c r="H359" s="303">
        <f t="shared" si="34"/>
        <v>0</v>
      </c>
      <c r="I359" s="305">
        <f t="shared" si="35"/>
        <v>0</v>
      </c>
    </row>
    <row r="360" spans="4:9" x14ac:dyDescent="0.25">
      <c r="D360" s="262">
        <f t="shared" si="30"/>
        <v>359</v>
      </c>
      <c r="E360" s="303">
        <f t="shared" si="31"/>
        <v>0</v>
      </c>
      <c r="F360" s="303">
        <f t="shared" si="32"/>
        <v>0</v>
      </c>
      <c r="G360" s="304">
        <f t="shared" si="33"/>
        <v>0</v>
      </c>
      <c r="H360" s="303">
        <f t="shared" si="34"/>
        <v>0</v>
      </c>
      <c r="I360" s="305">
        <f t="shared" si="35"/>
        <v>0</v>
      </c>
    </row>
    <row r="361" spans="4:9" x14ac:dyDescent="0.25">
      <c r="D361" s="266">
        <f t="shared" si="30"/>
        <v>360</v>
      </c>
      <c r="E361" s="306">
        <f t="shared" si="31"/>
        <v>0</v>
      </c>
      <c r="F361" s="306">
        <f t="shared" si="32"/>
        <v>0</v>
      </c>
      <c r="G361" s="307">
        <f t="shared" si="33"/>
        <v>0</v>
      </c>
      <c r="H361" s="306">
        <f t="shared" si="34"/>
        <v>0</v>
      </c>
      <c r="I361" s="308">
        <f t="shared" si="35"/>
        <v>0</v>
      </c>
    </row>
    <row r="363" spans="4:9" x14ac:dyDescent="0.25">
      <c r="D363" s="267"/>
    </row>
    <row r="364" spans="4:9" x14ac:dyDescent="0.25">
      <c r="D364" s="267"/>
    </row>
    <row r="365" spans="4:9" x14ac:dyDescent="0.25">
      <c r="D365" s="267"/>
    </row>
    <row r="366" spans="4:9" x14ac:dyDescent="0.25">
      <c r="D366" s="267"/>
    </row>
    <row r="367" spans="4:9" x14ac:dyDescent="0.25">
      <c r="D367" s="267"/>
    </row>
    <row r="368" spans="4:9" x14ac:dyDescent="0.25">
      <c r="D368" s="267"/>
    </row>
    <row r="369" spans="4:4" x14ac:dyDescent="0.25">
      <c r="D369" s="267"/>
    </row>
    <row r="370" spans="4:4" x14ac:dyDescent="0.25">
      <c r="D370" s="267"/>
    </row>
    <row r="371" spans="4:4" x14ac:dyDescent="0.25">
      <c r="D371" s="267"/>
    </row>
    <row r="372" spans="4:4" x14ac:dyDescent="0.25">
      <c r="D372" s="267"/>
    </row>
    <row r="373" spans="4:4" x14ac:dyDescent="0.25">
      <c r="D373" s="267"/>
    </row>
    <row r="374" spans="4:4" x14ac:dyDescent="0.25">
      <c r="D374" s="267"/>
    </row>
    <row r="375" spans="4:4" x14ac:dyDescent="0.25">
      <c r="D375" s="267"/>
    </row>
    <row r="376" spans="4:4" x14ac:dyDescent="0.25">
      <c r="D376" s="267"/>
    </row>
    <row r="377" spans="4:4" x14ac:dyDescent="0.25">
      <c r="D377" s="267"/>
    </row>
    <row r="378" spans="4:4" x14ac:dyDescent="0.25">
      <c r="D378" s="267"/>
    </row>
    <row r="379" spans="4:4" x14ac:dyDescent="0.25">
      <c r="D379" s="267"/>
    </row>
    <row r="380" spans="4:4" x14ac:dyDescent="0.25">
      <c r="D380" s="267"/>
    </row>
    <row r="381" spans="4:4" x14ac:dyDescent="0.25">
      <c r="D381" s="267"/>
    </row>
    <row r="382" spans="4:4" x14ac:dyDescent="0.25">
      <c r="D382" s="267"/>
    </row>
    <row r="383" spans="4:4" x14ac:dyDescent="0.25">
      <c r="D383" s="267"/>
    </row>
    <row r="384" spans="4:4" x14ac:dyDescent="0.25">
      <c r="D384" s="267"/>
    </row>
    <row r="385" spans="4:4" x14ac:dyDescent="0.25">
      <c r="D385" s="267"/>
    </row>
    <row r="386" spans="4:4" x14ac:dyDescent="0.25">
      <c r="D386" s="267"/>
    </row>
    <row r="387" spans="4:4" x14ac:dyDescent="0.25">
      <c r="D387" s="267"/>
    </row>
    <row r="388" spans="4:4" x14ac:dyDescent="0.25">
      <c r="D388" s="267"/>
    </row>
    <row r="389" spans="4:4" x14ac:dyDescent="0.25">
      <c r="D389" s="267"/>
    </row>
    <row r="390" spans="4:4" x14ac:dyDescent="0.25">
      <c r="D390" s="267"/>
    </row>
    <row r="391" spans="4:4" x14ac:dyDescent="0.25">
      <c r="D391" s="267"/>
    </row>
    <row r="392" spans="4:4" x14ac:dyDescent="0.25">
      <c r="D392" s="267"/>
    </row>
    <row r="393" spans="4:4" x14ac:dyDescent="0.25">
      <c r="D393" s="267"/>
    </row>
    <row r="394" spans="4:4" x14ac:dyDescent="0.25">
      <c r="D394" s="267"/>
    </row>
    <row r="395" spans="4:4" x14ac:dyDescent="0.25">
      <c r="D395" s="267"/>
    </row>
    <row r="396" spans="4:4" x14ac:dyDescent="0.25">
      <c r="D396" s="267"/>
    </row>
    <row r="397" spans="4:4" x14ac:dyDescent="0.25">
      <c r="D397" s="267"/>
    </row>
    <row r="398" spans="4:4" x14ac:dyDescent="0.25">
      <c r="D398" s="267"/>
    </row>
    <row r="399" spans="4:4" x14ac:dyDescent="0.25">
      <c r="D399" s="267"/>
    </row>
    <row r="400" spans="4:4" x14ac:dyDescent="0.25">
      <c r="D400" s="267"/>
    </row>
    <row r="401" spans="4:4" x14ac:dyDescent="0.25">
      <c r="D401" s="267"/>
    </row>
    <row r="402" spans="4:4" x14ac:dyDescent="0.25">
      <c r="D402" s="267"/>
    </row>
    <row r="403" spans="4:4" x14ac:dyDescent="0.25">
      <c r="D403" s="267"/>
    </row>
    <row r="404" spans="4:4" x14ac:dyDescent="0.25">
      <c r="D404" s="267"/>
    </row>
    <row r="405" spans="4:4" x14ac:dyDescent="0.25">
      <c r="D405" s="267"/>
    </row>
    <row r="406" spans="4:4" x14ac:dyDescent="0.25">
      <c r="D406" s="267"/>
    </row>
    <row r="407" spans="4:4" x14ac:dyDescent="0.25">
      <c r="D407" s="267"/>
    </row>
    <row r="408" spans="4:4" x14ac:dyDescent="0.25">
      <c r="D408" s="267"/>
    </row>
    <row r="409" spans="4:4" x14ac:dyDescent="0.25">
      <c r="D409" s="267"/>
    </row>
    <row r="410" spans="4:4" x14ac:dyDescent="0.25">
      <c r="D410" s="267"/>
    </row>
    <row r="411" spans="4:4" x14ac:dyDescent="0.25">
      <c r="D411" s="267"/>
    </row>
    <row r="412" spans="4:4" x14ac:dyDescent="0.25">
      <c r="D412" s="267"/>
    </row>
    <row r="413" spans="4:4" x14ac:dyDescent="0.25">
      <c r="D413" s="267"/>
    </row>
    <row r="414" spans="4:4" x14ac:dyDescent="0.25">
      <c r="D414" s="267"/>
    </row>
    <row r="415" spans="4:4" x14ac:dyDescent="0.25">
      <c r="D415" s="267"/>
    </row>
    <row r="416" spans="4:4" x14ac:dyDescent="0.25">
      <c r="D416" s="267"/>
    </row>
    <row r="417" spans="4:4" x14ac:dyDescent="0.25">
      <c r="D417" s="267"/>
    </row>
    <row r="418" spans="4:4" x14ac:dyDescent="0.25">
      <c r="D418" s="267"/>
    </row>
    <row r="419" spans="4:4" x14ac:dyDescent="0.25">
      <c r="D419" s="267"/>
    </row>
    <row r="420" spans="4:4" x14ac:dyDescent="0.25">
      <c r="D420" s="267"/>
    </row>
    <row r="421" spans="4:4" x14ac:dyDescent="0.25">
      <c r="D421" s="267"/>
    </row>
    <row r="422" spans="4:4" x14ac:dyDescent="0.25">
      <c r="D422" s="267"/>
    </row>
    <row r="423" spans="4:4" x14ac:dyDescent="0.25">
      <c r="D423" s="267"/>
    </row>
    <row r="424" spans="4:4" x14ac:dyDescent="0.25">
      <c r="D424" s="267"/>
    </row>
    <row r="425" spans="4:4" x14ac:dyDescent="0.25">
      <c r="D425" s="267"/>
    </row>
    <row r="426" spans="4:4" x14ac:dyDescent="0.25">
      <c r="D426" s="267"/>
    </row>
    <row r="427" spans="4:4" x14ac:dyDescent="0.25">
      <c r="D427" s="267"/>
    </row>
  </sheetData>
  <pageMargins left="0.75" right="0.75" top="1" bottom="1" header="0.5" footer="0.5"/>
  <pageSetup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tabSelected="1" zoomScale="130" zoomScaleNormal="130" zoomScalePageLayoutView="150" workbookViewId="0">
      <selection activeCell="B5" sqref="B5"/>
    </sheetView>
  </sheetViews>
  <sheetFormatPr defaultColWidth="10.875" defaultRowHeight="13.5" x14ac:dyDescent="0.25"/>
  <cols>
    <col min="1" max="1" width="21.25" style="23" bestFit="1" customWidth="1"/>
    <col min="2" max="2" width="9.75" style="23" bestFit="1" customWidth="1"/>
    <col min="3" max="16384" width="10.875" style="23"/>
  </cols>
  <sheetData>
    <row r="1" spans="1:5" ht="16.5" x14ac:dyDescent="0.3">
      <c r="A1" s="115" t="s">
        <v>19</v>
      </c>
      <c r="B1" s="24"/>
    </row>
    <row r="2" spans="1:5" x14ac:dyDescent="0.25">
      <c r="A2" s="117" t="s">
        <v>17</v>
      </c>
      <c r="B2" s="273">
        <v>5000000</v>
      </c>
    </row>
    <row r="3" spans="1:5" x14ac:dyDescent="0.25">
      <c r="A3" s="128" t="s">
        <v>18</v>
      </c>
      <c r="B3" s="356">
        <v>3000000</v>
      </c>
    </row>
    <row r="4" spans="1:5" x14ac:dyDescent="0.25">
      <c r="A4" s="126" t="s">
        <v>19</v>
      </c>
      <c r="B4" s="268">
        <f>B3/B2</f>
        <v>0.6</v>
      </c>
    </row>
    <row r="6" spans="1:5" ht="16.5" x14ac:dyDescent="0.3">
      <c r="A6" s="115" t="s">
        <v>20</v>
      </c>
      <c r="B6" s="24"/>
    </row>
    <row r="7" spans="1:5" x14ac:dyDescent="0.25">
      <c r="A7" s="117" t="s">
        <v>13</v>
      </c>
      <c r="B7" s="273">
        <v>5000000</v>
      </c>
    </row>
    <row r="8" spans="1:5" x14ac:dyDescent="0.25">
      <c r="A8" s="123" t="s">
        <v>21</v>
      </c>
      <c r="B8" s="275">
        <v>75000</v>
      </c>
    </row>
    <row r="9" spans="1:5" x14ac:dyDescent="0.25">
      <c r="A9" s="123" t="s">
        <v>210</v>
      </c>
      <c r="B9" s="275">
        <v>50000</v>
      </c>
    </row>
    <row r="10" spans="1:5" x14ac:dyDescent="0.25">
      <c r="A10" s="123" t="s">
        <v>399</v>
      </c>
      <c r="B10" s="275">
        <v>250000</v>
      </c>
    </row>
    <row r="11" spans="1:5" x14ac:dyDescent="0.25">
      <c r="A11" s="128" t="s">
        <v>18</v>
      </c>
      <c r="B11" s="356">
        <v>3500000</v>
      </c>
    </row>
    <row r="12" spans="1:5" x14ac:dyDescent="0.25">
      <c r="A12" s="126" t="s">
        <v>20</v>
      </c>
      <c r="B12" s="268"/>
    </row>
    <row r="14" spans="1:5" ht="16.5" x14ac:dyDescent="0.3">
      <c r="A14" s="115" t="s">
        <v>23</v>
      </c>
      <c r="B14" s="24"/>
    </row>
    <row r="15" spans="1:5" x14ac:dyDescent="0.25">
      <c r="A15" s="117" t="s">
        <v>3</v>
      </c>
      <c r="B15" s="273">
        <v>300000</v>
      </c>
      <c r="E15" s="69"/>
    </row>
    <row r="16" spans="1:5" x14ac:dyDescent="0.25">
      <c r="A16" s="128" t="s">
        <v>188</v>
      </c>
      <c r="B16" s="356">
        <v>210000</v>
      </c>
      <c r="E16" s="69"/>
    </row>
    <row r="17" spans="1:7" x14ac:dyDescent="0.25">
      <c r="A17" s="126" t="s">
        <v>23</v>
      </c>
      <c r="B17" s="359"/>
      <c r="G17" s="159"/>
    </row>
    <row r="19" spans="1:7" ht="16.5" x14ac:dyDescent="0.3">
      <c r="A19" s="115" t="s">
        <v>24</v>
      </c>
      <c r="B19" s="24"/>
    </row>
    <row r="20" spans="1:7" x14ac:dyDescent="0.25">
      <c r="A20" s="117" t="s">
        <v>22</v>
      </c>
      <c r="B20" s="273">
        <v>300000</v>
      </c>
    </row>
    <row r="21" spans="1:7" x14ac:dyDescent="0.25">
      <c r="A21" s="128" t="s">
        <v>18</v>
      </c>
      <c r="B21" s="356">
        <v>4000000</v>
      </c>
    </row>
    <row r="22" spans="1:7" x14ac:dyDescent="0.25">
      <c r="A22" s="126" t="s">
        <v>24</v>
      </c>
      <c r="B22" s="268"/>
    </row>
    <row r="24" spans="1:7" ht="16.5" x14ac:dyDescent="0.3">
      <c r="A24" s="115" t="s">
        <v>27</v>
      </c>
      <c r="B24" s="24"/>
    </row>
    <row r="25" spans="1:7" x14ac:dyDescent="0.25">
      <c r="A25" s="117" t="s">
        <v>18</v>
      </c>
      <c r="B25" s="273">
        <v>4000000</v>
      </c>
    </row>
    <row r="26" spans="1:7" x14ac:dyDescent="0.25">
      <c r="A26" s="123" t="s">
        <v>25</v>
      </c>
      <c r="B26" s="265">
        <v>3.9E-2</v>
      </c>
    </row>
    <row r="27" spans="1:7" x14ac:dyDescent="0.25">
      <c r="A27" s="123" t="s">
        <v>12</v>
      </c>
      <c r="B27" s="357">
        <v>30</v>
      </c>
    </row>
    <row r="28" spans="1:7" x14ac:dyDescent="0.25">
      <c r="A28" s="128" t="s">
        <v>26</v>
      </c>
      <c r="B28" s="358">
        <f>-PMT(B26/12,B27*12,B25,,0)*12</f>
        <v>226400.73806307808</v>
      </c>
    </row>
    <row r="29" spans="1:7" x14ac:dyDescent="0.25">
      <c r="A29" s="126" t="s">
        <v>27</v>
      </c>
      <c r="B29" s="249"/>
    </row>
    <row r="30" spans="1:7" x14ac:dyDescent="0.25">
      <c r="A30" s="142"/>
      <c r="B30" s="76"/>
    </row>
  </sheetData>
  <pageMargins left="0.75" right="0.75" top="1" bottom="1" header="0.5" footer="0.5"/>
  <pageSetup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zoomScale="130" zoomScaleNormal="130" zoomScalePageLayoutView="150" workbookViewId="0"/>
  </sheetViews>
  <sheetFormatPr defaultColWidth="10.875" defaultRowHeight="13.5" x14ac:dyDescent="0.25"/>
  <cols>
    <col min="1" max="1" width="21.25" style="23" bestFit="1" customWidth="1"/>
    <col min="2" max="2" width="9.75" style="23" bestFit="1" customWidth="1"/>
    <col min="3" max="16384" width="10.875" style="23"/>
  </cols>
  <sheetData>
    <row r="1" spans="1:5" ht="16.5" x14ac:dyDescent="0.3">
      <c r="A1" s="115" t="s">
        <v>19</v>
      </c>
      <c r="B1" s="24"/>
    </row>
    <row r="2" spans="1:5" x14ac:dyDescent="0.25">
      <c r="A2" s="117" t="s">
        <v>17</v>
      </c>
      <c r="B2" s="273">
        <v>5000000</v>
      </c>
    </row>
    <row r="3" spans="1:5" x14ac:dyDescent="0.25">
      <c r="A3" s="128" t="s">
        <v>18</v>
      </c>
      <c r="B3" s="356">
        <v>3000000</v>
      </c>
    </row>
    <row r="4" spans="1:5" x14ac:dyDescent="0.25">
      <c r="A4" s="126" t="s">
        <v>19</v>
      </c>
      <c r="B4" s="268">
        <f>B3/B2</f>
        <v>0.6</v>
      </c>
    </row>
    <row r="6" spans="1:5" ht="16.5" x14ac:dyDescent="0.3">
      <c r="A6" s="115" t="s">
        <v>20</v>
      </c>
      <c r="B6" s="24"/>
    </row>
    <row r="7" spans="1:5" x14ac:dyDescent="0.25">
      <c r="A7" s="117" t="s">
        <v>13</v>
      </c>
      <c r="B7" s="273">
        <v>5000000</v>
      </c>
    </row>
    <row r="8" spans="1:5" x14ac:dyDescent="0.25">
      <c r="A8" s="123" t="s">
        <v>21</v>
      </c>
      <c r="B8" s="275">
        <v>75000</v>
      </c>
    </row>
    <row r="9" spans="1:5" x14ac:dyDescent="0.25">
      <c r="A9" s="123" t="s">
        <v>210</v>
      </c>
      <c r="B9" s="275">
        <v>50000</v>
      </c>
    </row>
    <row r="10" spans="1:5" x14ac:dyDescent="0.25">
      <c r="A10" s="123" t="s">
        <v>399</v>
      </c>
      <c r="B10" s="275">
        <v>250000</v>
      </c>
    </row>
    <row r="11" spans="1:5" x14ac:dyDescent="0.25">
      <c r="A11" s="128" t="s">
        <v>18</v>
      </c>
      <c r="B11" s="356">
        <v>3500000</v>
      </c>
    </row>
    <row r="12" spans="1:5" x14ac:dyDescent="0.25">
      <c r="A12" s="126" t="s">
        <v>20</v>
      </c>
      <c r="B12" s="268">
        <f>B11/SUM(B7:B10)</f>
        <v>0.65116279069767447</v>
      </c>
    </row>
    <row r="14" spans="1:5" ht="16.5" x14ac:dyDescent="0.3">
      <c r="A14" s="115" t="s">
        <v>23</v>
      </c>
      <c r="B14" s="24"/>
    </row>
    <row r="15" spans="1:5" x14ac:dyDescent="0.25">
      <c r="A15" s="117" t="s">
        <v>3</v>
      </c>
      <c r="B15" s="273">
        <v>300000</v>
      </c>
      <c r="E15" s="69"/>
    </row>
    <row r="16" spans="1:5" x14ac:dyDescent="0.25">
      <c r="A16" s="128" t="s">
        <v>188</v>
      </c>
      <c r="B16" s="356">
        <v>210000</v>
      </c>
      <c r="E16" s="69"/>
    </row>
    <row r="17" spans="1:7" x14ac:dyDescent="0.25">
      <c r="A17" s="126" t="s">
        <v>23</v>
      </c>
      <c r="B17" s="359">
        <f>B15/B16</f>
        <v>1.4285714285714286</v>
      </c>
      <c r="G17" s="159"/>
    </row>
    <row r="19" spans="1:7" ht="16.5" x14ac:dyDescent="0.3">
      <c r="A19" s="115" t="s">
        <v>24</v>
      </c>
      <c r="B19" s="24"/>
    </row>
    <row r="20" spans="1:7" x14ac:dyDescent="0.25">
      <c r="A20" s="117" t="s">
        <v>22</v>
      </c>
      <c r="B20" s="273">
        <v>300000</v>
      </c>
    </row>
    <row r="21" spans="1:7" x14ac:dyDescent="0.25">
      <c r="A21" s="128" t="s">
        <v>18</v>
      </c>
      <c r="B21" s="356">
        <v>4000000</v>
      </c>
    </row>
    <row r="22" spans="1:7" x14ac:dyDescent="0.25">
      <c r="A22" s="126" t="s">
        <v>24</v>
      </c>
      <c r="B22" s="268">
        <f>B20/B21</f>
        <v>7.4999999999999997E-2</v>
      </c>
    </row>
    <row r="24" spans="1:7" ht="16.5" x14ac:dyDescent="0.3">
      <c r="A24" s="115" t="s">
        <v>27</v>
      </c>
      <c r="B24" s="24"/>
    </row>
    <row r="25" spans="1:7" x14ac:dyDescent="0.25">
      <c r="A25" s="117" t="s">
        <v>18</v>
      </c>
      <c r="B25" s="273">
        <v>4000000</v>
      </c>
    </row>
    <row r="26" spans="1:7" x14ac:dyDescent="0.25">
      <c r="A26" s="123" t="s">
        <v>25</v>
      </c>
      <c r="B26" s="265">
        <v>3.9E-2</v>
      </c>
    </row>
    <row r="27" spans="1:7" x14ac:dyDescent="0.25">
      <c r="A27" s="123" t="s">
        <v>12</v>
      </c>
      <c r="B27" s="357">
        <v>30</v>
      </c>
    </row>
    <row r="28" spans="1:7" x14ac:dyDescent="0.25">
      <c r="A28" s="128" t="s">
        <v>26</v>
      </c>
      <c r="B28" s="358">
        <f>-PMT(B26/12,B27*12,B25,,0)*12</f>
        <v>226400.73806307808</v>
      </c>
    </row>
    <row r="29" spans="1:7" x14ac:dyDescent="0.25">
      <c r="A29" s="126" t="s">
        <v>27</v>
      </c>
      <c r="B29" s="249">
        <f>B28/B25</f>
        <v>5.6600184515769522E-2</v>
      </c>
    </row>
    <row r="30" spans="1:7" x14ac:dyDescent="0.25">
      <c r="A30" s="142"/>
      <c r="B30" s="76"/>
    </row>
  </sheetData>
  <pageMargins left="0.75" right="0.75" top="1" bottom="1" header="0.5" footer="0.5"/>
  <pageSetup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zoomScale="130" zoomScaleNormal="130" zoomScalePageLayoutView="200" workbookViewId="0"/>
  </sheetViews>
  <sheetFormatPr defaultColWidth="10.875" defaultRowHeight="16.5" x14ac:dyDescent="0.3"/>
  <cols>
    <col min="1" max="1" width="19.5" style="1" bestFit="1" customWidth="1"/>
    <col min="2" max="2" width="15.125" style="1" customWidth="1"/>
    <col min="3" max="3" width="10.875" style="1"/>
    <col min="4" max="4" width="15.5" style="1" bestFit="1" customWidth="1"/>
    <col min="5" max="5" width="16.25" style="1" customWidth="1"/>
    <col min="6" max="16384" width="10.875" style="1"/>
  </cols>
  <sheetData>
    <row r="1" spans="1:5" x14ac:dyDescent="0.3">
      <c r="A1" s="40" t="s">
        <v>223</v>
      </c>
      <c r="B1" s="24"/>
      <c r="D1" s="40" t="s">
        <v>87</v>
      </c>
      <c r="E1" s="24"/>
    </row>
    <row r="2" spans="1:5" x14ac:dyDescent="0.3">
      <c r="A2" s="5" t="s">
        <v>13</v>
      </c>
      <c r="B2" s="360">
        <v>10000000</v>
      </c>
      <c r="D2" s="5" t="s">
        <v>19</v>
      </c>
      <c r="E2" s="365">
        <v>0.7</v>
      </c>
    </row>
    <row r="3" spans="1:5" x14ac:dyDescent="0.3">
      <c r="A3" s="2" t="s">
        <v>90</v>
      </c>
      <c r="B3" s="361">
        <v>10000000</v>
      </c>
      <c r="D3" s="2" t="s">
        <v>20</v>
      </c>
      <c r="E3" s="365">
        <v>0.65</v>
      </c>
    </row>
    <row r="4" spans="1:5" x14ac:dyDescent="0.3">
      <c r="A4" s="2" t="s">
        <v>21</v>
      </c>
      <c r="B4" s="361">
        <v>100000</v>
      </c>
      <c r="D4" s="2" t="s">
        <v>23</v>
      </c>
      <c r="E4" s="366">
        <v>1.25</v>
      </c>
    </row>
    <row r="5" spans="1:5" x14ac:dyDescent="0.3">
      <c r="A5" s="2" t="s">
        <v>224</v>
      </c>
      <c r="B5" s="361">
        <v>1500000</v>
      </c>
      <c r="D5" s="3" t="s">
        <v>24</v>
      </c>
      <c r="E5" s="367">
        <v>7.4999999999999997E-2</v>
      </c>
    </row>
    <row r="6" spans="1:5" x14ac:dyDescent="0.3">
      <c r="A6" s="2" t="s">
        <v>25</v>
      </c>
      <c r="B6" s="362">
        <v>3.9E-2</v>
      </c>
    </row>
    <row r="7" spans="1:5" x14ac:dyDescent="0.3">
      <c r="A7" s="2" t="s">
        <v>12</v>
      </c>
      <c r="B7" s="363">
        <v>30</v>
      </c>
      <c r="D7" s="40" t="s">
        <v>226</v>
      </c>
      <c r="E7" s="24"/>
    </row>
    <row r="8" spans="1:5" x14ac:dyDescent="0.3">
      <c r="A8" s="3" t="s">
        <v>89</v>
      </c>
      <c r="B8" s="364">
        <v>575000</v>
      </c>
      <c r="D8" s="5" t="s">
        <v>88</v>
      </c>
      <c r="E8" s="369"/>
    </row>
    <row r="9" spans="1:5" x14ac:dyDescent="0.3">
      <c r="D9" s="3" t="s">
        <v>18</v>
      </c>
      <c r="E9" s="368"/>
    </row>
    <row r="10" spans="1:5" x14ac:dyDescent="0.3">
      <c r="A10" s="40" t="s">
        <v>225</v>
      </c>
      <c r="B10" s="24"/>
      <c r="D10" s="4"/>
    </row>
    <row r="11" spans="1:5" x14ac:dyDescent="0.3">
      <c r="A11" s="5" t="s">
        <v>19</v>
      </c>
      <c r="B11" s="332"/>
      <c r="D11" s="370"/>
      <c r="E11" s="370"/>
    </row>
    <row r="12" spans="1:5" x14ac:dyDescent="0.3">
      <c r="A12" s="2" t="s">
        <v>20</v>
      </c>
      <c r="B12" s="333"/>
      <c r="D12" s="371"/>
      <c r="E12" s="372"/>
    </row>
    <row r="13" spans="1:5" x14ac:dyDescent="0.3">
      <c r="A13" s="2" t="s">
        <v>23</v>
      </c>
      <c r="B13" s="333"/>
    </row>
    <row r="14" spans="1:5" x14ac:dyDescent="0.3">
      <c r="A14" s="3" t="s">
        <v>24</v>
      </c>
      <c r="B14" s="334"/>
    </row>
    <row r="16" spans="1:5" x14ac:dyDescent="0.3">
      <c r="B16" s="416"/>
    </row>
  </sheetData>
  <pageMargins left="0.75" right="0.75" top="1" bottom="1" header="0.5" footer="0.5"/>
  <pageSetup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zoomScale="130" zoomScaleNormal="130" zoomScalePageLayoutView="200" workbookViewId="0"/>
  </sheetViews>
  <sheetFormatPr defaultColWidth="10.875" defaultRowHeight="16.5" x14ac:dyDescent="0.3"/>
  <cols>
    <col min="1" max="1" width="19.5" style="1" bestFit="1" customWidth="1"/>
    <col min="2" max="2" width="15.125" style="1" customWidth="1"/>
    <col min="3" max="3" width="10.875" style="1"/>
    <col min="4" max="4" width="15.5" style="1" bestFit="1" customWidth="1"/>
    <col min="5" max="5" width="16.25" style="1" customWidth="1"/>
    <col min="6" max="16384" width="10.875" style="1"/>
  </cols>
  <sheetData>
    <row r="1" spans="1:5" x14ac:dyDescent="0.3">
      <c r="A1" s="40" t="s">
        <v>223</v>
      </c>
      <c r="B1" s="24"/>
      <c r="D1" s="40" t="s">
        <v>87</v>
      </c>
      <c r="E1" s="24"/>
    </row>
    <row r="2" spans="1:5" x14ac:dyDescent="0.3">
      <c r="A2" s="5" t="s">
        <v>13</v>
      </c>
      <c r="B2" s="360">
        <v>10000000</v>
      </c>
      <c r="D2" s="5" t="s">
        <v>19</v>
      </c>
      <c r="E2" s="365">
        <v>0.7</v>
      </c>
    </row>
    <row r="3" spans="1:5" x14ac:dyDescent="0.3">
      <c r="A3" s="2" t="s">
        <v>90</v>
      </c>
      <c r="B3" s="361">
        <v>10000000</v>
      </c>
      <c r="D3" s="2" t="s">
        <v>20</v>
      </c>
      <c r="E3" s="365">
        <v>0.65</v>
      </c>
    </row>
    <row r="4" spans="1:5" x14ac:dyDescent="0.3">
      <c r="A4" s="2" t="s">
        <v>21</v>
      </c>
      <c r="B4" s="361">
        <v>100000</v>
      </c>
      <c r="D4" s="2" t="s">
        <v>23</v>
      </c>
      <c r="E4" s="366">
        <v>1.25</v>
      </c>
    </row>
    <row r="5" spans="1:5" x14ac:dyDescent="0.3">
      <c r="A5" s="2" t="s">
        <v>224</v>
      </c>
      <c r="B5" s="361">
        <v>1500000</v>
      </c>
      <c r="D5" s="3" t="s">
        <v>24</v>
      </c>
      <c r="E5" s="367">
        <v>7.4999999999999997E-2</v>
      </c>
    </row>
    <row r="6" spans="1:5" x14ac:dyDescent="0.3">
      <c r="A6" s="2" t="s">
        <v>25</v>
      </c>
      <c r="B6" s="362">
        <v>3.9E-2</v>
      </c>
    </row>
    <row r="7" spans="1:5" x14ac:dyDescent="0.3">
      <c r="A7" s="2" t="s">
        <v>12</v>
      </c>
      <c r="B7" s="363">
        <v>30</v>
      </c>
      <c r="D7" s="40" t="s">
        <v>226</v>
      </c>
      <c r="E7" s="24"/>
    </row>
    <row r="8" spans="1:5" x14ac:dyDescent="0.3">
      <c r="A8" s="3" t="s">
        <v>89</v>
      </c>
      <c r="B8" s="364">
        <v>575000</v>
      </c>
      <c r="D8" s="5" t="s">
        <v>88</v>
      </c>
      <c r="E8" s="369" t="str">
        <f>INDEX(A11:A14,MATCH(MIN(B11:B14),B11:B14,0))</f>
        <v>LTV</v>
      </c>
    </row>
    <row r="9" spans="1:5" x14ac:dyDescent="0.3">
      <c r="D9" s="3" t="s">
        <v>18</v>
      </c>
      <c r="E9" s="368">
        <f>VLOOKUP(E8,A11:B14,2,0)</f>
        <v>7000000</v>
      </c>
    </row>
    <row r="10" spans="1:5" x14ac:dyDescent="0.3">
      <c r="A10" s="40" t="s">
        <v>225</v>
      </c>
      <c r="B10" s="24"/>
      <c r="D10" s="4"/>
    </row>
    <row r="11" spans="1:5" x14ac:dyDescent="0.3">
      <c r="A11" s="5" t="s">
        <v>19</v>
      </c>
      <c r="B11" s="332">
        <f>B3*E2</f>
        <v>7000000</v>
      </c>
      <c r="D11" s="370"/>
      <c r="E11" s="370"/>
    </row>
    <row r="12" spans="1:5" x14ac:dyDescent="0.3">
      <c r="A12" s="2" t="s">
        <v>20</v>
      </c>
      <c r="B12" s="333">
        <f>SUM(B2,B4:B5)*E3</f>
        <v>7540000</v>
      </c>
      <c r="D12" s="371"/>
      <c r="E12" s="372"/>
    </row>
    <row r="13" spans="1:5" x14ac:dyDescent="0.3">
      <c r="A13" s="2" t="s">
        <v>23</v>
      </c>
      <c r="B13" s="333">
        <f>PV(B6/12,B7*12,-B8/E4/12,0,0)</f>
        <v>8127181.9859851589</v>
      </c>
    </row>
    <row r="14" spans="1:5" x14ac:dyDescent="0.3">
      <c r="A14" s="3" t="s">
        <v>24</v>
      </c>
      <c r="B14" s="334">
        <f>B8/E5</f>
        <v>7666666.666666667</v>
      </c>
    </row>
    <row r="16" spans="1:5" x14ac:dyDescent="0.3">
      <c r="B16" s="416"/>
    </row>
  </sheetData>
  <pageMargins left="0.75" right="0.75" top="1" bottom="1" header="0.5" footer="0.5"/>
  <pageSetup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zoomScale="150" zoomScaleNormal="150" zoomScalePageLayoutView="150" workbookViewId="0"/>
  </sheetViews>
  <sheetFormatPr defaultColWidth="10.875" defaultRowHeight="13.5" x14ac:dyDescent="0.25"/>
  <cols>
    <col min="1" max="1" width="22.75" style="23" bestFit="1" customWidth="1"/>
    <col min="2" max="2" width="10" style="23" bestFit="1" customWidth="1"/>
    <col min="3" max="16384" width="10.875" style="23"/>
  </cols>
  <sheetData>
    <row r="1" spans="1:2" x14ac:dyDescent="0.25">
      <c r="A1" s="64" t="s">
        <v>352</v>
      </c>
      <c r="B1" s="271"/>
    </row>
    <row r="2" spans="1:2" x14ac:dyDescent="0.25">
      <c r="A2" s="272" t="s">
        <v>13</v>
      </c>
      <c r="B2" s="273">
        <v>3000000</v>
      </c>
    </row>
    <row r="3" spans="1:2" x14ac:dyDescent="0.25">
      <c r="A3" s="274" t="s">
        <v>3</v>
      </c>
      <c r="B3" s="275">
        <v>170000</v>
      </c>
    </row>
    <row r="4" spans="1:2" x14ac:dyDescent="0.25">
      <c r="A4" s="373" t="s">
        <v>353</v>
      </c>
      <c r="B4" s="374"/>
    </row>
    <row r="6" spans="1:2" x14ac:dyDescent="0.25">
      <c r="A6" s="64" t="s">
        <v>354</v>
      </c>
      <c r="B6" s="271"/>
    </row>
    <row r="7" spans="1:2" x14ac:dyDescent="0.25">
      <c r="A7" s="272" t="s">
        <v>13</v>
      </c>
      <c r="B7" s="156">
        <v>7500000</v>
      </c>
    </row>
    <row r="8" spans="1:2" x14ac:dyDescent="0.25">
      <c r="A8" s="274" t="s">
        <v>353</v>
      </c>
      <c r="B8" s="29">
        <v>5.1499999999999997E-2</v>
      </c>
    </row>
    <row r="9" spans="1:2" x14ac:dyDescent="0.25">
      <c r="A9" s="373" t="s">
        <v>3</v>
      </c>
      <c r="B9" s="375"/>
    </row>
    <row r="11" spans="1:2" x14ac:dyDescent="0.25">
      <c r="A11" s="64" t="s">
        <v>355</v>
      </c>
      <c r="B11" s="271"/>
    </row>
    <row r="12" spans="1:2" x14ac:dyDescent="0.25">
      <c r="A12" s="272" t="s">
        <v>3</v>
      </c>
      <c r="B12" s="156">
        <v>275000</v>
      </c>
    </row>
    <row r="13" spans="1:2" x14ac:dyDescent="0.25">
      <c r="A13" s="274" t="s">
        <v>353</v>
      </c>
      <c r="B13" s="29">
        <v>4.8000000000000001E-2</v>
      </c>
    </row>
    <row r="14" spans="1:2" x14ac:dyDescent="0.25">
      <c r="A14" s="373" t="s">
        <v>13</v>
      </c>
      <c r="B14" s="375"/>
    </row>
    <row r="16" spans="1:2" x14ac:dyDescent="0.25">
      <c r="A16" s="64" t="s">
        <v>356</v>
      </c>
      <c r="B16" s="271"/>
    </row>
    <row r="17" spans="1:2" x14ac:dyDescent="0.25">
      <c r="A17" s="272" t="s">
        <v>357</v>
      </c>
      <c r="B17" s="156">
        <v>300000</v>
      </c>
    </row>
    <row r="18" spans="1:2" x14ac:dyDescent="0.25">
      <c r="A18" s="274" t="s">
        <v>358</v>
      </c>
      <c r="B18" s="29">
        <v>0.03</v>
      </c>
    </row>
    <row r="19" spans="1:2" x14ac:dyDescent="0.25">
      <c r="A19" s="274" t="s">
        <v>359</v>
      </c>
      <c r="B19" s="29">
        <v>0.05</v>
      </c>
    </row>
    <row r="20" spans="1:2" x14ac:dyDescent="0.25">
      <c r="A20" s="373" t="s">
        <v>14</v>
      </c>
      <c r="B20" s="375"/>
    </row>
  </sheetData>
  <pageMargins left="0.75" right="0.75" top="1" bottom="1" header="0.5" footer="0.5"/>
  <pageSetup scale="77"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zoomScale="150" zoomScaleNormal="150" zoomScalePageLayoutView="150" workbookViewId="0"/>
  </sheetViews>
  <sheetFormatPr defaultColWidth="10.875" defaultRowHeight="13.5" x14ac:dyDescent="0.25"/>
  <cols>
    <col min="1" max="1" width="22.75" style="23" bestFit="1" customWidth="1"/>
    <col min="2" max="2" width="10" style="23" bestFit="1" customWidth="1"/>
    <col min="3" max="16384" width="10.875" style="23"/>
  </cols>
  <sheetData>
    <row r="1" spans="1:2" x14ac:dyDescent="0.25">
      <c r="A1" s="64" t="s">
        <v>352</v>
      </c>
      <c r="B1" s="271"/>
    </row>
    <row r="2" spans="1:2" x14ac:dyDescent="0.25">
      <c r="A2" s="272" t="s">
        <v>13</v>
      </c>
      <c r="B2" s="273">
        <v>3000000</v>
      </c>
    </row>
    <row r="3" spans="1:2" x14ac:dyDescent="0.25">
      <c r="A3" s="274" t="s">
        <v>3</v>
      </c>
      <c r="B3" s="275">
        <v>170000</v>
      </c>
    </row>
    <row r="4" spans="1:2" x14ac:dyDescent="0.25">
      <c r="A4" s="373" t="s">
        <v>353</v>
      </c>
      <c r="B4" s="374">
        <f>B3/B2</f>
        <v>5.6666666666666664E-2</v>
      </c>
    </row>
    <row r="6" spans="1:2" x14ac:dyDescent="0.25">
      <c r="A6" s="64" t="s">
        <v>354</v>
      </c>
      <c r="B6" s="271"/>
    </row>
    <row r="7" spans="1:2" x14ac:dyDescent="0.25">
      <c r="A7" s="272" t="s">
        <v>13</v>
      </c>
      <c r="B7" s="156">
        <v>7500000</v>
      </c>
    </row>
    <row r="8" spans="1:2" x14ac:dyDescent="0.25">
      <c r="A8" s="274" t="s">
        <v>353</v>
      </c>
      <c r="B8" s="29">
        <v>5.1499999999999997E-2</v>
      </c>
    </row>
    <row r="9" spans="1:2" x14ac:dyDescent="0.25">
      <c r="A9" s="373" t="s">
        <v>3</v>
      </c>
      <c r="B9" s="375">
        <f>B7*B8</f>
        <v>386250</v>
      </c>
    </row>
    <row r="11" spans="1:2" x14ac:dyDescent="0.25">
      <c r="A11" s="64" t="s">
        <v>355</v>
      </c>
      <c r="B11" s="271"/>
    </row>
    <row r="12" spans="1:2" x14ac:dyDescent="0.25">
      <c r="A12" s="272" t="s">
        <v>3</v>
      </c>
      <c r="B12" s="156">
        <v>275000</v>
      </c>
    </row>
    <row r="13" spans="1:2" x14ac:dyDescent="0.25">
      <c r="A13" s="274" t="s">
        <v>353</v>
      </c>
      <c r="B13" s="29">
        <v>4.8000000000000001E-2</v>
      </c>
    </row>
    <row r="14" spans="1:2" x14ac:dyDescent="0.25">
      <c r="A14" s="373" t="s">
        <v>13</v>
      </c>
      <c r="B14" s="375">
        <f>B12/B13</f>
        <v>5729166.666666667</v>
      </c>
    </row>
    <row r="16" spans="1:2" x14ac:dyDescent="0.25">
      <c r="A16" s="64" t="s">
        <v>356</v>
      </c>
      <c r="B16" s="271"/>
    </row>
    <row r="17" spans="1:2" x14ac:dyDescent="0.25">
      <c r="A17" s="272" t="s">
        <v>357</v>
      </c>
      <c r="B17" s="156">
        <v>300000</v>
      </c>
    </row>
    <row r="18" spans="1:2" x14ac:dyDescent="0.25">
      <c r="A18" s="274" t="s">
        <v>358</v>
      </c>
      <c r="B18" s="29">
        <v>0.03</v>
      </c>
    </row>
    <row r="19" spans="1:2" x14ac:dyDescent="0.25">
      <c r="A19" s="274" t="s">
        <v>359</v>
      </c>
      <c r="B19" s="29">
        <v>0.05</v>
      </c>
    </row>
    <row r="20" spans="1:2" x14ac:dyDescent="0.25">
      <c r="A20" s="373" t="s">
        <v>14</v>
      </c>
      <c r="B20" s="375">
        <f>(B17*(1+B18))/B19</f>
        <v>6180000</v>
      </c>
    </row>
  </sheetData>
  <pageMargins left="0.75" right="0.75" top="1" bottom="1" header="0.5" footer="0.5"/>
  <pageSetup scale="77"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zoomScale="130" zoomScaleNormal="130" zoomScalePageLayoutView="150" workbookViewId="0"/>
  </sheetViews>
  <sheetFormatPr defaultColWidth="10.875" defaultRowHeight="13.5" x14ac:dyDescent="0.25"/>
  <cols>
    <col min="1" max="1" width="27.875" style="23" bestFit="1" customWidth="1"/>
    <col min="2" max="2" width="9.75" style="23" bestFit="1" customWidth="1"/>
    <col min="3" max="3" width="8.875" style="23" customWidth="1"/>
    <col min="4" max="4" width="23.5" style="23" bestFit="1" customWidth="1"/>
    <col min="5" max="5" width="10.625" style="23" bestFit="1" customWidth="1"/>
    <col min="6" max="9" width="8.75" style="23" bestFit="1" customWidth="1"/>
    <col min="10" max="10" width="10.25" style="23" bestFit="1" customWidth="1"/>
    <col min="11" max="16384" width="10.875" style="23"/>
  </cols>
  <sheetData>
    <row r="1" spans="1:10" x14ac:dyDescent="0.25">
      <c r="A1" s="115" t="s">
        <v>200</v>
      </c>
      <c r="B1" s="116"/>
      <c r="D1" s="115" t="s">
        <v>202</v>
      </c>
      <c r="E1" s="116"/>
      <c r="F1" s="116"/>
      <c r="G1" s="116"/>
      <c r="H1" s="116"/>
      <c r="I1" s="116"/>
      <c r="J1" s="41"/>
    </row>
    <row r="2" spans="1:10" x14ac:dyDescent="0.25">
      <c r="A2" s="117" t="s">
        <v>13</v>
      </c>
      <c r="B2" s="118">
        <v>5000000</v>
      </c>
      <c r="C2" s="56"/>
      <c r="D2" s="119"/>
      <c r="E2" s="120">
        <v>0</v>
      </c>
      <c r="F2" s="121">
        <v>1</v>
      </c>
      <c r="G2" s="121">
        <f>F2+1</f>
        <v>2</v>
      </c>
      <c r="H2" s="121">
        <f>G2+1</f>
        <v>3</v>
      </c>
      <c r="I2" s="121">
        <f>H2+1</f>
        <v>4</v>
      </c>
      <c r="J2" s="122">
        <f>I2+1</f>
        <v>5</v>
      </c>
    </row>
    <row r="3" spans="1:10" x14ac:dyDescent="0.25">
      <c r="A3" s="123" t="s">
        <v>213</v>
      </c>
      <c r="B3" s="124">
        <v>0.01</v>
      </c>
      <c r="D3" s="123" t="s">
        <v>79</v>
      </c>
      <c r="E3" s="376">
        <v>0</v>
      </c>
      <c r="F3" s="71">
        <f>B2*B4</f>
        <v>300000</v>
      </c>
      <c r="G3" s="71">
        <f>F3*(1+$B$6)</f>
        <v>312000</v>
      </c>
      <c r="H3" s="71">
        <f>G3*(1+$B$6)</f>
        <v>324480</v>
      </c>
      <c r="I3" s="71">
        <f>H3*(1+$B$6)</f>
        <v>337459.20000000001</v>
      </c>
      <c r="J3" s="65">
        <f>I3*(1+$B$6)</f>
        <v>350957.56800000003</v>
      </c>
    </row>
    <row r="4" spans="1:10" x14ac:dyDescent="0.25">
      <c r="A4" s="123" t="s">
        <v>36</v>
      </c>
      <c r="B4" s="127">
        <v>0.06</v>
      </c>
      <c r="D4" s="123" t="s">
        <v>186</v>
      </c>
      <c r="E4" s="376">
        <v>0</v>
      </c>
      <c r="F4" s="71">
        <f>-B5</f>
        <v>-5000</v>
      </c>
      <c r="G4" s="71">
        <f>F4*(1+$B$7)</f>
        <v>-5150</v>
      </c>
      <c r="H4" s="71">
        <f>G4*(1+$B$7)</f>
        <v>-5304.5</v>
      </c>
      <c r="I4" s="71">
        <f>H4*(1+$B$7)</f>
        <v>-5463.6350000000002</v>
      </c>
      <c r="J4" s="65">
        <f>I4*(1+$B$7)</f>
        <v>-5627.5440500000004</v>
      </c>
    </row>
    <row r="5" spans="1:10" x14ac:dyDescent="0.25">
      <c r="A5" s="123" t="s">
        <v>196</v>
      </c>
      <c r="B5" s="125">
        <v>5000</v>
      </c>
      <c r="D5" s="126" t="s">
        <v>4</v>
      </c>
      <c r="E5" s="377">
        <v>0</v>
      </c>
      <c r="F5" s="72">
        <f>SUM(F3:F4)</f>
        <v>295000</v>
      </c>
      <c r="G5" s="72">
        <f t="shared" ref="G5:J5" si="0">SUM(G3:G4)</f>
        <v>306850</v>
      </c>
      <c r="H5" s="72">
        <f t="shared" si="0"/>
        <v>319175.5</v>
      </c>
      <c r="I5" s="72">
        <f t="shared" si="0"/>
        <v>331995.565</v>
      </c>
      <c r="J5" s="66">
        <f t="shared" si="0"/>
        <v>345330.02395</v>
      </c>
    </row>
    <row r="6" spans="1:10" x14ac:dyDescent="0.25">
      <c r="A6" s="123" t="s">
        <v>195</v>
      </c>
      <c r="B6" s="127">
        <v>0.04</v>
      </c>
      <c r="D6" s="123" t="s">
        <v>189</v>
      </c>
      <c r="E6" s="376">
        <v>0</v>
      </c>
      <c r="F6" s="71">
        <f>CUMPRINC($B$14/12,$B$15*12,$B$12,F$2*12-11,F$2*12,0)</f>
        <v>-52831.092997561711</v>
      </c>
      <c r="G6" s="71">
        <f>CUMPRINC($B$14/12,$B$15*12,$B$12,G$2*12-11,G$2*12,0)</f>
        <v>-54983.513240421256</v>
      </c>
      <c r="H6" s="71">
        <f>CUMPRINC($B$14/12,$B$15*12,$B$12,H$2*12-11,H$2*12,0)</f>
        <v>-57223.62640498671</v>
      </c>
      <c r="I6" s="71">
        <f>CUMPRINC($B$14/12,$B$15*12,$B$12,I$2*12-11,I$2*12,0)</f>
        <v>-59555.005236191486</v>
      </c>
      <c r="J6" s="65">
        <f>CUMPRINC($B$14/12,$B$15*12,$B$12,J$2*12-11,J$2*12,0)</f>
        <v>-61981.368038110064</v>
      </c>
    </row>
    <row r="7" spans="1:10" x14ac:dyDescent="0.25">
      <c r="A7" s="123" t="s">
        <v>197</v>
      </c>
      <c r="B7" s="127">
        <v>0.03</v>
      </c>
      <c r="D7" s="123" t="s">
        <v>190</v>
      </c>
      <c r="E7" s="80">
        <v>0</v>
      </c>
      <c r="F7" s="71">
        <f>CUMIPMT($B$14/12,$B$15*12,$B$12,F$2*12-11,F$2*12,0)</f>
        <v>-119038.41337000372</v>
      </c>
      <c r="G7" s="71">
        <f>CUMIPMT($B$14/12,$B$15*12,$B$12,G$2*12-11,G$2*12,0)</f>
        <v>-116885.99312714417</v>
      </c>
      <c r="H7" s="71">
        <f>CUMIPMT($B$14/12,$B$15*12,$B$12,H$2*12-11,H$2*12,0)</f>
        <v>-114645.87996257871</v>
      </c>
      <c r="I7" s="71">
        <f>CUMIPMT($B$14/12,$B$15*12,$B$12,I$2*12-11,I$2*12,0)</f>
        <v>-112314.50113137394</v>
      </c>
      <c r="J7" s="65">
        <f>CUMIPMT($B$14/12,$B$15*12,$B$12,J$2*12-11,J$2*12,0)</f>
        <v>-109888.13832945537</v>
      </c>
    </row>
    <row r="8" spans="1:10" x14ac:dyDescent="0.25">
      <c r="A8" s="123" t="s">
        <v>82</v>
      </c>
      <c r="B8" s="127">
        <v>6.5000000000000002E-2</v>
      </c>
      <c r="D8" s="126" t="s">
        <v>5</v>
      </c>
      <c r="E8" s="377">
        <v>0</v>
      </c>
      <c r="F8" s="72">
        <f>SUM(F5:F7)</f>
        <v>123130.49363243458</v>
      </c>
      <c r="G8" s="72">
        <f t="shared" ref="G8:J8" si="1">SUM(G5:G7)</f>
        <v>134980.49363243458</v>
      </c>
      <c r="H8" s="72">
        <f t="shared" si="1"/>
        <v>147305.99363243458</v>
      </c>
      <c r="I8" s="72">
        <f t="shared" si="1"/>
        <v>160126.05863243458</v>
      </c>
      <c r="J8" s="66">
        <f t="shared" si="1"/>
        <v>173460.51758243455</v>
      </c>
    </row>
    <row r="9" spans="1:10" x14ac:dyDescent="0.25">
      <c r="A9" s="128" t="s">
        <v>212</v>
      </c>
      <c r="B9" s="129">
        <v>2.5000000000000001E-2</v>
      </c>
      <c r="D9" s="117" t="s">
        <v>13</v>
      </c>
      <c r="E9" s="378">
        <f>-B2</f>
        <v>-5000000</v>
      </c>
      <c r="F9" s="379">
        <v>0</v>
      </c>
      <c r="G9" s="379">
        <v>0</v>
      </c>
      <c r="H9" s="379">
        <v>0</v>
      </c>
      <c r="I9" s="379">
        <v>0</v>
      </c>
      <c r="J9" s="380">
        <v>0</v>
      </c>
    </row>
    <row r="10" spans="1:10" x14ac:dyDescent="0.25">
      <c r="D10" s="123" t="s">
        <v>21</v>
      </c>
      <c r="E10" s="80">
        <f>E9*B3</f>
        <v>-50000</v>
      </c>
      <c r="F10" s="71">
        <v>0</v>
      </c>
      <c r="G10" s="71">
        <v>0</v>
      </c>
      <c r="H10" s="71">
        <v>0</v>
      </c>
      <c r="I10" s="71">
        <v>0</v>
      </c>
      <c r="J10" s="65">
        <v>0</v>
      </c>
    </row>
    <row r="11" spans="1:10" x14ac:dyDescent="0.25">
      <c r="A11" s="115" t="s">
        <v>198</v>
      </c>
      <c r="B11" s="116"/>
      <c r="D11" s="123" t="s">
        <v>125</v>
      </c>
      <c r="E11" s="80">
        <v>0</v>
      </c>
      <c r="F11" s="71">
        <v>0</v>
      </c>
      <c r="G11" s="71">
        <v>0</v>
      </c>
      <c r="H11" s="71">
        <v>0</v>
      </c>
      <c r="I11" s="71">
        <v>0</v>
      </c>
      <c r="J11" s="65">
        <f>(J3*(1+B6))/B8</f>
        <v>5615321.0880000005</v>
      </c>
    </row>
    <row r="12" spans="1:10" x14ac:dyDescent="0.25">
      <c r="A12" s="117" t="s">
        <v>18</v>
      </c>
      <c r="B12" s="118">
        <v>3000000</v>
      </c>
      <c r="D12" s="123" t="s">
        <v>126</v>
      </c>
      <c r="E12" s="80">
        <v>0</v>
      </c>
      <c r="F12" s="71">
        <v>0</v>
      </c>
      <c r="G12" s="71">
        <v>0</v>
      </c>
      <c r="H12" s="71">
        <v>0</v>
      </c>
      <c r="I12" s="71">
        <v>0</v>
      </c>
      <c r="J12" s="65">
        <f>J11*-B9</f>
        <v>-140383.02720000001</v>
      </c>
    </row>
    <row r="13" spans="1:10" x14ac:dyDescent="0.25">
      <c r="A13" s="123" t="s">
        <v>194</v>
      </c>
      <c r="B13" s="420">
        <f>B12/B2</f>
        <v>0.6</v>
      </c>
      <c r="D13" s="126" t="s">
        <v>199</v>
      </c>
      <c r="E13" s="381">
        <f>SUM(E9:E11,E5)</f>
        <v>-5050000</v>
      </c>
      <c r="F13" s="72">
        <f t="shared" ref="F13:I13" si="2">SUM(F9:F12,F5)</f>
        <v>295000</v>
      </c>
      <c r="G13" s="72">
        <f t="shared" si="2"/>
        <v>306850</v>
      </c>
      <c r="H13" s="72">
        <f t="shared" si="2"/>
        <v>319175.5</v>
      </c>
      <c r="I13" s="72">
        <f t="shared" si="2"/>
        <v>331995.565</v>
      </c>
      <c r="J13" s="66">
        <f>SUM(J9:J12,J5)</f>
        <v>5820268.0847500004</v>
      </c>
    </row>
    <row r="14" spans="1:10" x14ac:dyDescent="0.25">
      <c r="A14" s="123" t="s">
        <v>25</v>
      </c>
      <c r="B14" s="127">
        <v>0.04</v>
      </c>
      <c r="D14" s="123" t="s">
        <v>124</v>
      </c>
      <c r="E14" s="80">
        <f>B12</f>
        <v>3000000</v>
      </c>
      <c r="F14" s="71">
        <v>0</v>
      </c>
      <c r="G14" s="71">
        <v>0</v>
      </c>
      <c r="H14" s="71">
        <v>0</v>
      </c>
      <c r="I14" s="71">
        <v>0</v>
      </c>
      <c r="J14" s="65">
        <v>0</v>
      </c>
    </row>
    <row r="15" spans="1:10" x14ac:dyDescent="0.25">
      <c r="A15" s="128" t="s">
        <v>12</v>
      </c>
      <c r="B15" s="130">
        <v>30</v>
      </c>
      <c r="D15" s="123" t="s">
        <v>127</v>
      </c>
      <c r="E15" s="80">
        <v>0</v>
      </c>
      <c r="F15" s="71">
        <v>0</v>
      </c>
      <c r="G15" s="71">
        <v>0</v>
      </c>
      <c r="H15" s="71">
        <v>0</v>
      </c>
      <c r="I15" s="71">
        <v>0</v>
      </c>
      <c r="J15" s="65">
        <f>-SUM(B12,F6:J6)</f>
        <v>-2713425.3940827288</v>
      </c>
    </row>
    <row r="16" spans="1:10" x14ac:dyDescent="0.25">
      <c r="C16" s="56"/>
      <c r="D16" s="126" t="s">
        <v>201</v>
      </c>
      <c r="E16" s="381">
        <f t="shared" ref="E16:J16" si="3">SUM(E13:E15,E6:E7)</f>
        <v>-2050000</v>
      </c>
      <c r="F16" s="72">
        <f t="shared" si="3"/>
        <v>123130.49363243458</v>
      </c>
      <c r="G16" s="72">
        <f t="shared" si="3"/>
        <v>134980.49363243458</v>
      </c>
      <c r="H16" s="72">
        <f t="shared" si="3"/>
        <v>147305.99363243458</v>
      </c>
      <c r="I16" s="72">
        <f t="shared" si="3"/>
        <v>160126.05863243458</v>
      </c>
      <c r="J16" s="66">
        <f t="shared" si="3"/>
        <v>2934973.1842997065</v>
      </c>
    </row>
    <row r="17" spans="1:10" x14ac:dyDescent="0.25">
      <c r="A17" s="115" t="s">
        <v>203</v>
      </c>
      <c r="B17" s="116"/>
    </row>
    <row r="18" spans="1:10" x14ac:dyDescent="0.25">
      <c r="A18" s="123" t="s">
        <v>15</v>
      </c>
      <c r="B18" s="31">
        <v>7.0000000000000007E-2</v>
      </c>
      <c r="D18" s="115" t="s">
        <v>216</v>
      </c>
      <c r="E18" s="116"/>
      <c r="F18" s="116"/>
      <c r="G18" s="116"/>
      <c r="H18" s="116"/>
      <c r="I18" s="116"/>
      <c r="J18" s="41"/>
    </row>
    <row r="19" spans="1:10" x14ac:dyDescent="0.25">
      <c r="A19" s="123" t="s">
        <v>204</v>
      </c>
      <c r="B19" s="132"/>
      <c r="D19" s="117" t="s">
        <v>139</v>
      </c>
      <c r="E19" s="131"/>
      <c r="F19" s="160"/>
      <c r="G19" s="160"/>
      <c r="H19" s="160"/>
      <c r="I19" s="160"/>
      <c r="J19" s="161"/>
    </row>
    <row r="20" spans="1:10" x14ac:dyDescent="0.25">
      <c r="A20" s="123" t="s">
        <v>205</v>
      </c>
      <c r="B20" s="132"/>
      <c r="D20" s="128" t="s">
        <v>140</v>
      </c>
      <c r="E20" s="133"/>
      <c r="F20" s="162"/>
      <c r="G20" s="162"/>
      <c r="H20" s="162"/>
      <c r="I20" s="162"/>
      <c r="J20" s="163"/>
    </row>
    <row r="21" spans="1:10" x14ac:dyDescent="0.25">
      <c r="A21" s="123" t="s">
        <v>206</v>
      </c>
      <c r="B21" s="134"/>
      <c r="D21" s="157" t="s">
        <v>141</v>
      </c>
      <c r="E21" s="133"/>
      <c r="F21" s="162"/>
      <c r="G21" s="162"/>
      <c r="H21" s="162"/>
      <c r="I21" s="162"/>
      <c r="J21" s="163"/>
    </row>
    <row r="22" spans="1:10" x14ac:dyDescent="0.25">
      <c r="A22" s="123" t="s">
        <v>207</v>
      </c>
      <c r="B22" s="135"/>
    </row>
    <row r="23" spans="1:10" x14ac:dyDescent="0.25">
      <c r="A23" s="123" t="s">
        <v>136</v>
      </c>
      <c r="B23" s="136"/>
      <c r="F23" s="159"/>
    </row>
    <row r="24" spans="1:10" x14ac:dyDescent="0.25">
      <c r="A24" s="123" t="s">
        <v>137</v>
      </c>
      <c r="B24" s="136"/>
    </row>
    <row r="25" spans="1:10" x14ac:dyDescent="0.25">
      <c r="A25" s="123" t="s">
        <v>214</v>
      </c>
      <c r="B25" s="134"/>
    </row>
    <row r="26" spans="1:10" x14ac:dyDescent="0.25">
      <c r="A26" s="128" t="s">
        <v>215</v>
      </c>
      <c r="B26" s="137"/>
    </row>
  </sheetData>
  <conditionalFormatting sqref="F21:J21">
    <cfRule type="containsText" dxfId="6" priority="1" operator="containsText" text="Negative">
      <formula>NOT(ISERROR(SEARCH("Negative",F21)))</formula>
    </cfRule>
    <cfRule type="containsText" dxfId="5" priority="2" operator="containsText" text="Positive">
      <formula>NOT(ISERROR(SEARCH("Positive",F21)))</formula>
    </cfRule>
  </conditionalFormatting>
  <pageMargins left="0.75" right="0.75" top="1" bottom="1" header="0.5" footer="0.5"/>
  <pageSetup scale="77" orientation="portrait" horizontalDpi="4294967292" verticalDpi="4294967292"/>
  <colBreaks count="1" manualBreakCount="1">
    <brk id="10" max="1048575"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zoomScale="130" zoomScaleNormal="130" zoomScalePageLayoutView="150" workbookViewId="0"/>
  </sheetViews>
  <sheetFormatPr defaultColWidth="10.875" defaultRowHeight="13.5" x14ac:dyDescent="0.25"/>
  <cols>
    <col min="1" max="1" width="27.875" style="23" bestFit="1" customWidth="1"/>
    <col min="2" max="2" width="9.75" style="23" bestFit="1" customWidth="1"/>
    <col min="3" max="3" width="8.875" style="23" customWidth="1"/>
    <col min="4" max="4" width="23.5" style="23" bestFit="1" customWidth="1"/>
    <col min="5" max="5" width="10.625" style="23" bestFit="1" customWidth="1"/>
    <col min="6" max="9" width="8.75" style="23" bestFit="1" customWidth="1"/>
    <col min="10" max="10" width="10.25" style="23" bestFit="1" customWidth="1"/>
    <col min="11" max="16384" width="10.875" style="23"/>
  </cols>
  <sheetData>
    <row r="1" spans="1:10" x14ac:dyDescent="0.25">
      <c r="A1" s="115" t="s">
        <v>200</v>
      </c>
      <c r="B1" s="116"/>
      <c r="D1" s="115" t="s">
        <v>202</v>
      </c>
      <c r="E1" s="116"/>
      <c r="F1" s="116"/>
      <c r="G1" s="116"/>
      <c r="H1" s="116"/>
      <c r="I1" s="116"/>
      <c r="J1" s="41"/>
    </row>
    <row r="2" spans="1:10" x14ac:dyDescent="0.25">
      <c r="A2" s="117" t="s">
        <v>13</v>
      </c>
      <c r="B2" s="118">
        <v>5000000</v>
      </c>
      <c r="C2" s="56"/>
      <c r="D2" s="119"/>
      <c r="E2" s="120">
        <v>0</v>
      </c>
      <c r="F2" s="121">
        <v>1</v>
      </c>
      <c r="G2" s="121">
        <f>F2+1</f>
        <v>2</v>
      </c>
      <c r="H2" s="121">
        <f>G2+1</f>
        <v>3</v>
      </c>
      <c r="I2" s="121">
        <f>H2+1</f>
        <v>4</v>
      </c>
      <c r="J2" s="122">
        <f>I2+1</f>
        <v>5</v>
      </c>
    </row>
    <row r="3" spans="1:10" x14ac:dyDescent="0.25">
      <c r="A3" s="123" t="s">
        <v>213</v>
      </c>
      <c r="B3" s="124">
        <v>0.01</v>
      </c>
      <c r="D3" s="123" t="s">
        <v>79</v>
      </c>
      <c r="E3" s="376">
        <v>0</v>
      </c>
      <c r="F3" s="71">
        <f>B2*B4</f>
        <v>300000</v>
      </c>
      <c r="G3" s="71">
        <f>F3*(1+$B$6)</f>
        <v>312000</v>
      </c>
      <c r="H3" s="71">
        <f>G3*(1+$B$6)</f>
        <v>324480</v>
      </c>
      <c r="I3" s="71">
        <f>H3*(1+$B$6)</f>
        <v>337459.20000000001</v>
      </c>
      <c r="J3" s="65">
        <f>I3*(1+$B$6)</f>
        <v>350957.56800000003</v>
      </c>
    </row>
    <row r="4" spans="1:10" x14ac:dyDescent="0.25">
      <c r="A4" s="123" t="s">
        <v>36</v>
      </c>
      <c r="B4" s="127">
        <v>0.06</v>
      </c>
      <c r="D4" s="123" t="s">
        <v>186</v>
      </c>
      <c r="E4" s="376">
        <v>0</v>
      </c>
      <c r="F4" s="71">
        <f>-B5</f>
        <v>-5000</v>
      </c>
      <c r="G4" s="71">
        <f>F4*(1+$B$7)</f>
        <v>-5150</v>
      </c>
      <c r="H4" s="71">
        <f>G4*(1+$B$7)</f>
        <v>-5304.5</v>
      </c>
      <c r="I4" s="71">
        <f>H4*(1+$B$7)</f>
        <v>-5463.6350000000002</v>
      </c>
      <c r="J4" s="65">
        <f>I4*(1+$B$7)</f>
        <v>-5627.5440500000004</v>
      </c>
    </row>
    <row r="5" spans="1:10" x14ac:dyDescent="0.25">
      <c r="A5" s="123" t="s">
        <v>196</v>
      </c>
      <c r="B5" s="125">
        <v>5000</v>
      </c>
      <c r="D5" s="126" t="s">
        <v>4</v>
      </c>
      <c r="E5" s="377">
        <v>0</v>
      </c>
      <c r="F5" s="72">
        <f>SUM(F3:F4)</f>
        <v>295000</v>
      </c>
      <c r="G5" s="72">
        <f t="shared" ref="G5:J5" si="0">SUM(G3:G4)</f>
        <v>306850</v>
      </c>
      <c r="H5" s="72">
        <f t="shared" si="0"/>
        <v>319175.5</v>
      </c>
      <c r="I5" s="72">
        <f t="shared" si="0"/>
        <v>331995.565</v>
      </c>
      <c r="J5" s="66">
        <f t="shared" si="0"/>
        <v>345330.02395</v>
      </c>
    </row>
    <row r="6" spans="1:10" x14ac:dyDescent="0.25">
      <c r="A6" s="123" t="s">
        <v>195</v>
      </c>
      <c r="B6" s="127">
        <v>0.04</v>
      </c>
      <c r="D6" s="123" t="s">
        <v>189</v>
      </c>
      <c r="E6" s="376">
        <v>0</v>
      </c>
      <c r="F6" s="71">
        <f>CUMPRINC($B$14/12,$B$15*12,$B$12,F$2*12-11,F$2*12,0)</f>
        <v>-52831.092997561711</v>
      </c>
      <c r="G6" s="71">
        <f>CUMPRINC($B$14/12,$B$15*12,$B$12,G$2*12-11,G$2*12,0)</f>
        <v>-54983.513240421256</v>
      </c>
      <c r="H6" s="71">
        <f>CUMPRINC($B$14/12,$B$15*12,$B$12,H$2*12-11,H$2*12,0)</f>
        <v>-57223.62640498671</v>
      </c>
      <c r="I6" s="71">
        <f>CUMPRINC($B$14/12,$B$15*12,$B$12,I$2*12-11,I$2*12,0)</f>
        <v>-59555.005236191486</v>
      </c>
      <c r="J6" s="65">
        <f>CUMPRINC($B$14/12,$B$15*12,$B$12,J$2*12-11,J$2*12,0)</f>
        <v>-61981.368038110064</v>
      </c>
    </row>
    <row r="7" spans="1:10" x14ac:dyDescent="0.25">
      <c r="A7" s="123" t="s">
        <v>197</v>
      </c>
      <c r="B7" s="127">
        <v>0.03</v>
      </c>
      <c r="D7" s="123" t="s">
        <v>190</v>
      </c>
      <c r="E7" s="80">
        <v>0</v>
      </c>
      <c r="F7" s="71">
        <f>CUMIPMT($B$14/12,$B$15*12,$B$12,F$2*12-11,F$2*12,0)</f>
        <v>-119038.41337000372</v>
      </c>
      <c r="G7" s="71">
        <f>CUMIPMT($B$14/12,$B$15*12,$B$12,G$2*12-11,G$2*12,0)</f>
        <v>-116885.99312714417</v>
      </c>
      <c r="H7" s="71">
        <f>CUMIPMT($B$14/12,$B$15*12,$B$12,H$2*12-11,H$2*12,0)</f>
        <v>-114645.87996257871</v>
      </c>
      <c r="I7" s="71">
        <f>CUMIPMT($B$14/12,$B$15*12,$B$12,I$2*12-11,I$2*12,0)</f>
        <v>-112314.50113137394</v>
      </c>
      <c r="J7" s="65">
        <f>CUMIPMT($B$14/12,$B$15*12,$B$12,J$2*12-11,J$2*12,0)</f>
        <v>-109888.13832945537</v>
      </c>
    </row>
    <row r="8" spans="1:10" x14ac:dyDescent="0.25">
      <c r="A8" s="123" t="s">
        <v>82</v>
      </c>
      <c r="B8" s="127">
        <v>6.5000000000000002E-2</v>
      </c>
      <c r="D8" s="126" t="s">
        <v>5</v>
      </c>
      <c r="E8" s="377">
        <v>0</v>
      </c>
      <c r="F8" s="72">
        <f>SUM(F5:F7)</f>
        <v>123130.49363243458</v>
      </c>
      <c r="G8" s="72">
        <f t="shared" ref="G8:J8" si="1">SUM(G5:G7)</f>
        <v>134980.49363243458</v>
      </c>
      <c r="H8" s="72">
        <f t="shared" si="1"/>
        <v>147305.99363243458</v>
      </c>
      <c r="I8" s="72">
        <f t="shared" si="1"/>
        <v>160126.05863243458</v>
      </c>
      <c r="J8" s="66">
        <f t="shared" si="1"/>
        <v>173460.51758243455</v>
      </c>
    </row>
    <row r="9" spans="1:10" x14ac:dyDescent="0.25">
      <c r="A9" s="128" t="s">
        <v>212</v>
      </c>
      <c r="B9" s="129">
        <v>2.5000000000000001E-2</v>
      </c>
      <c r="D9" s="117" t="s">
        <v>13</v>
      </c>
      <c r="E9" s="378">
        <f>-B2</f>
        <v>-5000000</v>
      </c>
      <c r="F9" s="379">
        <v>0</v>
      </c>
      <c r="G9" s="379">
        <v>0</v>
      </c>
      <c r="H9" s="379">
        <v>0</v>
      </c>
      <c r="I9" s="379">
        <v>0</v>
      </c>
      <c r="J9" s="380">
        <v>0</v>
      </c>
    </row>
    <row r="10" spans="1:10" x14ac:dyDescent="0.25">
      <c r="D10" s="123" t="s">
        <v>21</v>
      </c>
      <c r="E10" s="80">
        <f>E9*B3</f>
        <v>-50000</v>
      </c>
      <c r="F10" s="71">
        <v>0</v>
      </c>
      <c r="G10" s="71">
        <v>0</v>
      </c>
      <c r="H10" s="71">
        <v>0</v>
      </c>
      <c r="I10" s="71">
        <v>0</v>
      </c>
      <c r="J10" s="65">
        <v>0</v>
      </c>
    </row>
    <row r="11" spans="1:10" x14ac:dyDescent="0.25">
      <c r="A11" s="115" t="s">
        <v>198</v>
      </c>
      <c r="B11" s="116"/>
      <c r="D11" s="123" t="s">
        <v>125</v>
      </c>
      <c r="E11" s="80">
        <v>0</v>
      </c>
      <c r="F11" s="71">
        <v>0</v>
      </c>
      <c r="G11" s="71">
        <v>0</v>
      </c>
      <c r="H11" s="71">
        <v>0</v>
      </c>
      <c r="I11" s="71">
        <v>0</v>
      </c>
      <c r="J11" s="65">
        <f>(J3*(1+B6))/B8</f>
        <v>5615321.0880000005</v>
      </c>
    </row>
    <row r="12" spans="1:10" x14ac:dyDescent="0.25">
      <c r="A12" s="117" t="s">
        <v>18</v>
      </c>
      <c r="B12" s="118">
        <v>3000000</v>
      </c>
      <c r="D12" s="123" t="s">
        <v>126</v>
      </c>
      <c r="E12" s="80">
        <v>0</v>
      </c>
      <c r="F12" s="71">
        <v>0</v>
      </c>
      <c r="G12" s="71">
        <v>0</v>
      </c>
      <c r="H12" s="71">
        <v>0</v>
      </c>
      <c r="I12" s="71">
        <v>0</v>
      </c>
      <c r="J12" s="65">
        <f>J11*-B9</f>
        <v>-140383.02720000001</v>
      </c>
    </row>
    <row r="13" spans="1:10" x14ac:dyDescent="0.25">
      <c r="A13" s="123" t="s">
        <v>194</v>
      </c>
      <c r="B13" s="420">
        <f>B12/B2</f>
        <v>0.6</v>
      </c>
      <c r="D13" s="126" t="s">
        <v>199</v>
      </c>
      <c r="E13" s="381">
        <f>SUM(E9:E11,E5)</f>
        <v>-5050000</v>
      </c>
      <c r="F13" s="72">
        <f t="shared" ref="F13:I13" si="2">SUM(F9:F12,F5)</f>
        <v>295000</v>
      </c>
      <c r="G13" s="72">
        <f t="shared" si="2"/>
        <v>306850</v>
      </c>
      <c r="H13" s="72">
        <f t="shared" si="2"/>
        <v>319175.5</v>
      </c>
      <c r="I13" s="72">
        <f t="shared" si="2"/>
        <v>331995.565</v>
      </c>
      <c r="J13" s="66">
        <f>SUM(J9:J12,J5)</f>
        <v>5820268.0847500004</v>
      </c>
    </row>
    <row r="14" spans="1:10" x14ac:dyDescent="0.25">
      <c r="A14" s="123" t="s">
        <v>25</v>
      </c>
      <c r="B14" s="127">
        <v>0.04</v>
      </c>
      <c r="D14" s="123" t="s">
        <v>124</v>
      </c>
      <c r="E14" s="80">
        <f>B12</f>
        <v>3000000</v>
      </c>
      <c r="F14" s="71">
        <v>0</v>
      </c>
      <c r="G14" s="71">
        <v>0</v>
      </c>
      <c r="H14" s="71">
        <v>0</v>
      </c>
      <c r="I14" s="71">
        <v>0</v>
      </c>
      <c r="J14" s="65">
        <v>0</v>
      </c>
    </row>
    <row r="15" spans="1:10" x14ac:dyDescent="0.25">
      <c r="A15" s="128" t="s">
        <v>12</v>
      </c>
      <c r="B15" s="130">
        <v>30</v>
      </c>
      <c r="D15" s="123" t="s">
        <v>127</v>
      </c>
      <c r="E15" s="80">
        <v>0</v>
      </c>
      <c r="F15" s="71">
        <v>0</v>
      </c>
      <c r="G15" s="71">
        <v>0</v>
      </c>
      <c r="H15" s="71">
        <v>0</v>
      </c>
      <c r="I15" s="71">
        <v>0</v>
      </c>
      <c r="J15" s="65">
        <f>-SUM(B12,F6:J6)</f>
        <v>-2713425.3940827288</v>
      </c>
    </row>
    <row r="16" spans="1:10" x14ac:dyDescent="0.25">
      <c r="C16" s="56"/>
      <c r="D16" s="126" t="s">
        <v>201</v>
      </c>
      <c r="E16" s="381">
        <f t="shared" ref="E16:J16" si="3">SUM(E13:E15,E6:E7)</f>
        <v>-2050000</v>
      </c>
      <c r="F16" s="72">
        <f t="shared" si="3"/>
        <v>123130.49363243458</v>
      </c>
      <c r="G16" s="72">
        <f t="shared" si="3"/>
        <v>134980.49363243458</v>
      </c>
      <c r="H16" s="72">
        <f t="shared" si="3"/>
        <v>147305.99363243458</v>
      </c>
      <c r="I16" s="72">
        <f t="shared" si="3"/>
        <v>160126.05863243458</v>
      </c>
      <c r="J16" s="66">
        <f t="shared" si="3"/>
        <v>2934973.1842997065</v>
      </c>
    </row>
    <row r="17" spans="1:10" x14ac:dyDescent="0.25">
      <c r="A17" s="115" t="s">
        <v>203</v>
      </c>
      <c r="B17" s="116"/>
    </row>
    <row r="18" spans="1:10" x14ac:dyDescent="0.25">
      <c r="A18" s="123" t="s">
        <v>15</v>
      </c>
      <c r="B18" s="31">
        <v>7.0000000000000007E-2</v>
      </c>
      <c r="D18" s="115" t="s">
        <v>216</v>
      </c>
      <c r="E18" s="116"/>
      <c r="F18" s="116"/>
      <c r="G18" s="116"/>
      <c r="H18" s="116"/>
      <c r="I18" s="116"/>
      <c r="J18" s="41"/>
    </row>
    <row r="19" spans="1:10" x14ac:dyDescent="0.25">
      <c r="A19" s="123" t="s">
        <v>204</v>
      </c>
      <c r="B19" s="132">
        <f>NPV(B18,F13:J13)+E13</f>
        <v>157306.42363179289</v>
      </c>
      <c r="D19" s="117" t="s">
        <v>139</v>
      </c>
      <c r="E19" s="131"/>
      <c r="F19" s="160">
        <f>F5/ABS(SUMIF($E$13:E13,"&lt;0",$E$13:E13))</f>
        <v>5.8415841584158419E-2</v>
      </c>
      <c r="G19" s="160">
        <f>G5/ABS(SUMIF($E$13:F13,"&lt;0",$E$13:F13))</f>
        <v>6.0762376237623761E-2</v>
      </c>
      <c r="H19" s="160">
        <f>H5/ABS(SUMIF($E$13:G13,"&lt;0",$E$13:G13))</f>
        <v>6.320306930693069E-2</v>
      </c>
      <c r="I19" s="160">
        <f>I5/ABS(SUMIF($E$13:H13,"&lt;0",$E$13:H13))</f>
        <v>6.5741696039603961E-2</v>
      </c>
      <c r="J19" s="161">
        <f>J5/ABS(SUMIF($E$13:I13,"&lt;0",$E$13:I13))</f>
        <v>6.838218296039604E-2</v>
      </c>
    </row>
    <row r="20" spans="1:10" x14ac:dyDescent="0.25">
      <c r="A20" s="123" t="s">
        <v>205</v>
      </c>
      <c r="B20" s="132">
        <f>NPV(B18,F16:J16)+E16</f>
        <v>517972.70926491125</v>
      </c>
      <c r="D20" s="128" t="s">
        <v>140</v>
      </c>
      <c r="E20" s="133"/>
      <c r="F20" s="162">
        <f>F8/ABS(SUMIF($E$16:E16,"&lt;0",$E$16:E16))</f>
        <v>6.0063655430455894E-2</v>
      </c>
      <c r="G20" s="162">
        <f>G8/ABS(SUMIF($E$16:F16,"&lt;0",$E$16:F16))</f>
        <v>6.5844143235333941E-2</v>
      </c>
      <c r="H20" s="162">
        <f>H8/ABS(SUMIF($E$16:G16,"&lt;0",$E$16:G16))</f>
        <v>7.1856582259724189E-2</v>
      </c>
      <c r="I20" s="162">
        <f>I8/ABS(SUMIF($E$16:H16,"&lt;0",$E$16:H16))</f>
        <v>7.8110272503626621E-2</v>
      </c>
      <c r="J20" s="163">
        <f>J8/ABS(SUMIF($E$16:I16,"&lt;0",$E$16:I16))</f>
        <v>8.4614886625577826E-2</v>
      </c>
    </row>
    <row r="21" spans="1:10" x14ac:dyDescent="0.25">
      <c r="A21" s="123" t="s">
        <v>206</v>
      </c>
      <c r="B21" s="134">
        <f>IRR(E13:J13)</f>
        <v>7.7350334746597582E-2</v>
      </c>
      <c r="D21" s="157" t="s">
        <v>141</v>
      </c>
      <c r="E21" s="133"/>
      <c r="F21" s="162" t="str">
        <f>IF(F19&lt;F20,"POSITIVE","NEGATIVE")</f>
        <v>POSITIVE</v>
      </c>
      <c r="G21" s="162" t="str">
        <f t="shared" ref="G21:J21" si="4">IF(G19&lt;G20,"POSITIVE","NEGATIVE")</f>
        <v>POSITIVE</v>
      </c>
      <c r="H21" s="162" t="str">
        <f t="shared" si="4"/>
        <v>POSITIVE</v>
      </c>
      <c r="I21" s="162" t="str">
        <f t="shared" si="4"/>
        <v>POSITIVE</v>
      </c>
      <c r="J21" s="163" t="str">
        <f t="shared" si="4"/>
        <v>POSITIVE</v>
      </c>
    </row>
    <row r="22" spans="1:10" x14ac:dyDescent="0.25">
      <c r="A22" s="123" t="s">
        <v>207</v>
      </c>
      <c r="B22" s="135">
        <f>IRR(E16:J16)</f>
        <v>0.12478261281507463</v>
      </c>
    </row>
    <row r="23" spans="1:10" x14ac:dyDescent="0.25">
      <c r="A23" s="123" t="s">
        <v>136</v>
      </c>
      <c r="B23" s="136">
        <f>SUMIF(E13:J13,"&gt;0",E13:J13)/ABS(SUMIF(E13:J13,"&lt;0",E13:J13))</f>
        <v>1.4006513167821781</v>
      </c>
      <c r="F23" s="159"/>
    </row>
    <row r="24" spans="1:10" x14ac:dyDescent="0.25">
      <c r="A24" s="123" t="s">
        <v>137</v>
      </c>
      <c r="B24" s="136">
        <f>SUMIF(E16:J16,"&gt;0",E16:J16)/ABS(SUMIF(E16:J16,"&lt;0",E16:J16))</f>
        <v>1.7075688896728998</v>
      </c>
    </row>
    <row r="25" spans="1:10" x14ac:dyDescent="0.25">
      <c r="A25" s="123" t="s">
        <v>214</v>
      </c>
      <c r="B25" s="134">
        <f>AVERAGE(F19:J19)</f>
        <v>6.330103322574257E-2</v>
      </c>
    </row>
    <row r="26" spans="1:10" x14ac:dyDescent="0.25">
      <c r="A26" s="128" t="s">
        <v>215</v>
      </c>
      <c r="B26" s="137">
        <f>AVERAGE(F20:J20)</f>
        <v>7.2097908010943693E-2</v>
      </c>
    </row>
  </sheetData>
  <conditionalFormatting sqref="F21:J21">
    <cfRule type="containsText" dxfId="4" priority="1" operator="containsText" text="Negative">
      <formula>NOT(ISERROR(SEARCH("Negative",F21)))</formula>
    </cfRule>
    <cfRule type="containsText" dxfId="3" priority="2" operator="containsText" text="Positive">
      <formula>NOT(ISERROR(SEARCH("Positive",F21)))</formula>
    </cfRule>
  </conditionalFormatting>
  <pageMargins left="0.75" right="0.75" top="1" bottom="1" header="0.5" footer="0.5"/>
  <pageSetup scale="77" orientation="portrait" horizontalDpi="4294967292" verticalDpi="4294967292"/>
  <colBreaks count="1" manualBreakCount="1">
    <brk id="10" max="1048575"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zoomScale="130" zoomScaleNormal="130" zoomScalePageLayoutView="150" workbookViewId="0"/>
  </sheetViews>
  <sheetFormatPr defaultColWidth="10.875" defaultRowHeight="13.5" x14ac:dyDescent="0.25"/>
  <cols>
    <col min="1" max="1" width="27.375" style="23" bestFit="1" customWidth="1"/>
    <col min="2" max="2" width="9.75" style="23" bestFit="1" customWidth="1"/>
    <col min="3" max="3" width="8.875" style="23" customWidth="1"/>
    <col min="4" max="4" width="23.5" style="23" bestFit="1" customWidth="1"/>
    <col min="5" max="5" width="10.625" style="23" bestFit="1" customWidth="1"/>
    <col min="6" max="6" width="9.25" style="23" bestFit="1" customWidth="1"/>
    <col min="7" max="7" width="10.25" style="23" bestFit="1" customWidth="1"/>
    <col min="8" max="9" width="9.25" style="23" bestFit="1" customWidth="1"/>
    <col min="10" max="10" width="10.25" style="23" bestFit="1" customWidth="1"/>
    <col min="11" max="16384" width="10.875" style="23"/>
  </cols>
  <sheetData>
    <row r="1" spans="1:10" x14ac:dyDescent="0.25">
      <c r="A1" s="115" t="s">
        <v>200</v>
      </c>
      <c r="B1" s="116"/>
      <c r="D1" s="115" t="s">
        <v>202</v>
      </c>
      <c r="E1" s="116"/>
      <c r="F1" s="116"/>
      <c r="G1" s="116"/>
      <c r="H1" s="116"/>
      <c r="I1" s="116"/>
      <c r="J1" s="41"/>
    </row>
    <row r="2" spans="1:10" x14ac:dyDescent="0.25">
      <c r="A2" s="117" t="s">
        <v>13</v>
      </c>
      <c r="B2" s="118">
        <v>5000000</v>
      </c>
      <c r="C2" s="56"/>
      <c r="D2" s="149"/>
      <c r="E2" s="150">
        <v>44561</v>
      </c>
      <c r="F2" s="150">
        <f>EOMONTH(E2,6)</f>
        <v>44742</v>
      </c>
      <c r="G2" s="150">
        <f>EOMONTH(F2,18)</f>
        <v>45291</v>
      </c>
      <c r="H2" s="150">
        <f>EOMONTH(G2,9)</f>
        <v>45565</v>
      </c>
      <c r="I2" s="150">
        <f>EOMONTH(H2,6)</f>
        <v>45747</v>
      </c>
      <c r="J2" s="151">
        <f>EOMONTH(I2,18)</f>
        <v>46295</v>
      </c>
    </row>
    <row r="3" spans="1:10" x14ac:dyDescent="0.25">
      <c r="A3" s="123" t="s">
        <v>213</v>
      </c>
      <c r="B3" s="124">
        <v>0.01</v>
      </c>
      <c r="D3" s="152"/>
      <c r="E3" s="153">
        <v>0</v>
      </c>
      <c r="F3" s="154">
        <v>1</v>
      </c>
      <c r="G3" s="154">
        <f>F3+1</f>
        <v>2</v>
      </c>
      <c r="H3" s="154">
        <f>G3+1</f>
        <v>3</v>
      </c>
      <c r="I3" s="154">
        <f>H3+1</f>
        <v>4</v>
      </c>
      <c r="J3" s="155">
        <f>I3+1</f>
        <v>5</v>
      </c>
    </row>
    <row r="4" spans="1:10" x14ac:dyDescent="0.25">
      <c r="A4" s="123" t="s">
        <v>36</v>
      </c>
      <c r="B4" s="124">
        <v>0.06</v>
      </c>
      <c r="D4" s="123" t="s">
        <v>79</v>
      </c>
      <c r="E4" s="376">
        <v>0</v>
      </c>
      <c r="F4" s="71">
        <f>B2*B4</f>
        <v>300000</v>
      </c>
      <c r="G4" s="71">
        <f>F4*(1+$B$6)</f>
        <v>312000</v>
      </c>
      <c r="H4" s="71">
        <f>G4*(1+$B$6)</f>
        <v>324480</v>
      </c>
      <c r="I4" s="71">
        <f>H4*(1+$B$6)</f>
        <v>337459.20000000001</v>
      </c>
      <c r="J4" s="65">
        <f>I4*(1+$B$6)</f>
        <v>350957.56800000003</v>
      </c>
    </row>
    <row r="5" spans="1:10" x14ac:dyDescent="0.25">
      <c r="A5" s="123" t="s">
        <v>196</v>
      </c>
      <c r="B5" s="125">
        <v>5000</v>
      </c>
      <c r="D5" s="123" t="s">
        <v>186</v>
      </c>
      <c r="E5" s="376">
        <v>0</v>
      </c>
      <c r="F5" s="71">
        <f>-B5</f>
        <v>-5000</v>
      </c>
      <c r="G5" s="71">
        <f>F5*(1+$B$7)</f>
        <v>-5150</v>
      </c>
      <c r="H5" s="71">
        <f>G5*(1+$B$7)</f>
        <v>-5304.5</v>
      </c>
      <c r="I5" s="71">
        <f>H5*(1+$B$7)</f>
        <v>-5463.6350000000002</v>
      </c>
      <c r="J5" s="65">
        <f>I5*(1+$B$7)</f>
        <v>-5627.5440500000004</v>
      </c>
    </row>
    <row r="6" spans="1:10" x14ac:dyDescent="0.25">
      <c r="A6" s="123" t="s">
        <v>195</v>
      </c>
      <c r="B6" s="127">
        <v>0.04</v>
      </c>
      <c r="D6" s="126" t="s">
        <v>4</v>
      </c>
      <c r="E6" s="377">
        <v>0</v>
      </c>
      <c r="F6" s="72">
        <f>SUM(F4:F5)</f>
        <v>295000</v>
      </c>
      <c r="G6" s="72">
        <f t="shared" ref="G6:J6" si="0">SUM(G4:G5)</f>
        <v>306850</v>
      </c>
      <c r="H6" s="72">
        <f t="shared" si="0"/>
        <v>319175.5</v>
      </c>
      <c r="I6" s="72">
        <f t="shared" si="0"/>
        <v>331995.565</v>
      </c>
      <c r="J6" s="66">
        <f t="shared" si="0"/>
        <v>345330.02395</v>
      </c>
    </row>
    <row r="7" spans="1:10" x14ac:dyDescent="0.25">
      <c r="A7" s="123" t="s">
        <v>197</v>
      </c>
      <c r="B7" s="127">
        <v>0.03</v>
      </c>
      <c r="D7" s="123" t="s">
        <v>189</v>
      </c>
      <c r="E7" s="376">
        <v>0</v>
      </c>
      <c r="F7" s="382">
        <f>CUMPRINC($B$14/12,$B$15*12,$B$12,F$3*12-11,F$3*12,0)</f>
        <v>-52831.092997561711</v>
      </c>
      <c r="G7" s="382">
        <f>CUMPRINC($B$14/12,$B$15*12,$B$12,G$3*12-11,G$3*12,0)</f>
        <v>-54983.513240421256</v>
      </c>
      <c r="H7" s="382">
        <f>CUMPRINC($B$14/12,$B$15*12,$B$12,H$3*12-11,H$3*12,0)</f>
        <v>-57223.62640498671</v>
      </c>
      <c r="I7" s="382">
        <f>CUMPRINC($B$14/12,$B$15*12,$B$12,I$3*12-11,I$3*12,0)</f>
        <v>-59555.005236191486</v>
      </c>
      <c r="J7" s="383">
        <f>CUMPRINC($B$14/12,$B$15*12,$B$12,J$3*12-11,J$3*12,0)</f>
        <v>-61981.368038110064</v>
      </c>
    </row>
    <row r="8" spans="1:10" x14ac:dyDescent="0.25">
      <c r="A8" s="123" t="s">
        <v>82</v>
      </c>
      <c r="B8" s="127">
        <v>6.5000000000000002E-2</v>
      </c>
      <c r="D8" s="123" t="s">
        <v>190</v>
      </c>
      <c r="E8" s="80">
        <v>0</v>
      </c>
      <c r="F8" s="382">
        <f>CUMIPMT($B$14/12,$B$15*12,$B$12,F$3*12-11,F$3*12,0)</f>
        <v>-119038.41337000372</v>
      </c>
      <c r="G8" s="382">
        <f>CUMIPMT($B$14/12,$B$15*12,$B$12,G$3*12-11,G$3*12,0)</f>
        <v>-116885.99312714417</v>
      </c>
      <c r="H8" s="382">
        <f>CUMIPMT($B$14/12,$B$15*12,$B$12,H$3*12-11,H$3*12,0)</f>
        <v>-114645.87996257871</v>
      </c>
      <c r="I8" s="382">
        <f>CUMIPMT($B$14/12,$B$15*12,$B$12,I$3*12-11,I$3*12,0)</f>
        <v>-112314.50113137394</v>
      </c>
      <c r="J8" s="383">
        <f>CUMIPMT($B$14/12,$B$15*12,$B$12,J$3*12-11,J$3*12,0)</f>
        <v>-109888.13832945537</v>
      </c>
    </row>
    <row r="9" spans="1:10" x14ac:dyDescent="0.25">
      <c r="A9" s="128" t="s">
        <v>212</v>
      </c>
      <c r="B9" s="129">
        <v>2.5000000000000001E-2</v>
      </c>
      <c r="D9" s="126" t="s">
        <v>5</v>
      </c>
      <c r="E9" s="377">
        <v>0</v>
      </c>
      <c r="F9" s="72">
        <f>SUM(F6:F8)</f>
        <v>123130.49363243458</v>
      </c>
      <c r="G9" s="72">
        <f t="shared" ref="G9:J9" si="1">SUM(G6:G8)</f>
        <v>134980.49363243458</v>
      </c>
      <c r="H9" s="72">
        <f t="shared" si="1"/>
        <v>147305.99363243458</v>
      </c>
      <c r="I9" s="72">
        <f t="shared" si="1"/>
        <v>160126.05863243458</v>
      </c>
      <c r="J9" s="66">
        <f t="shared" si="1"/>
        <v>173460.51758243455</v>
      </c>
    </row>
    <row r="10" spans="1:10" x14ac:dyDescent="0.25">
      <c r="D10" s="117" t="s">
        <v>13</v>
      </c>
      <c r="E10" s="378">
        <f>-B2</f>
        <v>-5000000</v>
      </c>
      <c r="F10" s="379">
        <v>0</v>
      </c>
      <c r="G10" s="379">
        <v>0</v>
      </c>
      <c r="H10" s="379">
        <v>0</v>
      </c>
      <c r="I10" s="379">
        <v>0</v>
      </c>
      <c r="J10" s="380">
        <v>0</v>
      </c>
    </row>
    <row r="11" spans="1:10" x14ac:dyDescent="0.25">
      <c r="A11" s="115" t="s">
        <v>198</v>
      </c>
      <c r="B11" s="116"/>
      <c r="D11" s="123" t="s">
        <v>21</v>
      </c>
      <c r="E11" s="80">
        <f>E10*B3</f>
        <v>-50000</v>
      </c>
      <c r="F11" s="71">
        <v>0</v>
      </c>
      <c r="G11" s="71">
        <v>0</v>
      </c>
      <c r="H11" s="71">
        <v>0</v>
      </c>
      <c r="I11" s="71">
        <v>0</v>
      </c>
      <c r="J11" s="65">
        <v>0</v>
      </c>
    </row>
    <row r="12" spans="1:10" x14ac:dyDescent="0.25">
      <c r="A12" s="117" t="s">
        <v>18</v>
      </c>
      <c r="B12" s="118">
        <v>3000000</v>
      </c>
      <c r="D12" s="123" t="s">
        <v>125</v>
      </c>
      <c r="E12" s="80">
        <v>0</v>
      </c>
      <c r="F12" s="71">
        <v>0</v>
      </c>
      <c r="G12" s="71">
        <v>0</v>
      </c>
      <c r="H12" s="71">
        <v>0</v>
      </c>
      <c r="I12" s="71">
        <v>0</v>
      </c>
      <c r="J12" s="65">
        <f>(J4*(1+B6))/B8</f>
        <v>5615321.0880000005</v>
      </c>
    </row>
    <row r="13" spans="1:10" x14ac:dyDescent="0.25">
      <c r="A13" s="123" t="s">
        <v>194</v>
      </c>
      <c r="B13" s="420">
        <f>B12/B2</f>
        <v>0.6</v>
      </c>
      <c r="D13" s="123" t="s">
        <v>126</v>
      </c>
      <c r="E13" s="80">
        <v>0</v>
      </c>
      <c r="F13" s="71">
        <v>0</v>
      </c>
      <c r="G13" s="71">
        <v>0</v>
      </c>
      <c r="H13" s="71">
        <v>0</v>
      </c>
      <c r="I13" s="71">
        <v>0</v>
      </c>
      <c r="J13" s="65">
        <f>J12*-B9</f>
        <v>-140383.02720000001</v>
      </c>
    </row>
    <row r="14" spans="1:10" x14ac:dyDescent="0.25">
      <c r="A14" s="123" t="s">
        <v>25</v>
      </c>
      <c r="B14" s="127">
        <v>0.04</v>
      </c>
      <c r="D14" s="126" t="s">
        <v>199</v>
      </c>
      <c r="E14" s="381">
        <f>SUM(E10:E12,E6)</f>
        <v>-5050000</v>
      </c>
      <c r="F14" s="72">
        <f t="shared" ref="F14:I14" si="2">SUM(F10:F13,F6)</f>
        <v>295000</v>
      </c>
      <c r="G14" s="72">
        <f t="shared" si="2"/>
        <v>306850</v>
      </c>
      <c r="H14" s="72">
        <f t="shared" si="2"/>
        <v>319175.5</v>
      </c>
      <c r="I14" s="72">
        <f t="shared" si="2"/>
        <v>331995.565</v>
      </c>
      <c r="J14" s="66">
        <f>SUM(J10:J13,J6)</f>
        <v>5820268.0847500004</v>
      </c>
    </row>
    <row r="15" spans="1:10" x14ac:dyDescent="0.25">
      <c r="A15" s="128" t="s">
        <v>12</v>
      </c>
      <c r="B15" s="130">
        <v>30</v>
      </c>
      <c r="D15" s="123" t="s">
        <v>124</v>
      </c>
      <c r="E15" s="80">
        <f>B12</f>
        <v>3000000</v>
      </c>
      <c r="F15" s="71">
        <v>0</v>
      </c>
      <c r="G15" s="71">
        <v>0</v>
      </c>
      <c r="H15" s="71">
        <v>0</v>
      </c>
      <c r="I15" s="71">
        <v>0</v>
      </c>
      <c r="J15" s="65">
        <v>0</v>
      </c>
    </row>
    <row r="16" spans="1:10" x14ac:dyDescent="0.25">
      <c r="C16" s="56"/>
      <c r="D16" s="123" t="s">
        <v>127</v>
      </c>
      <c r="E16" s="80">
        <v>0</v>
      </c>
      <c r="F16" s="71">
        <v>0</v>
      </c>
      <c r="G16" s="71">
        <v>0</v>
      </c>
      <c r="H16" s="71">
        <v>0</v>
      </c>
      <c r="I16" s="71">
        <v>0</v>
      </c>
      <c r="J16" s="65">
        <f>-SUM(B12,F7:J7)</f>
        <v>-2713425.3940827288</v>
      </c>
    </row>
    <row r="17" spans="1:10" x14ac:dyDescent="0.25">
      <c r="A17" s="115" t="s">
        <v>203</v>
      </c>
      <c r="B17" s="116"/>
      <c r="D17" s="126" t="s">
        <v>201</v>
      </c>
      <c r="E17" s="381">
        <f t="shared" ref="E17:J17" si="3">SUM(E14:E16,E7:E8)</f>
        <v>-2050000</v>
      </c>
      <c r="F17" s="72">
        <f t="shared" si="3"/>
        <v>123130.49363243458</v>
      </c>
      <c r="G17" s="72">
        <f t="shared" si="3"/>
        <v>134980.49363243458</v>
      </c>
      <c r="H17" s="72">
        <f t="shared" si="3"/>
        <v>147305.99363243458</v>
      </c>
      <c r="I17" s="72">
        <f t="shared" si="3"/>
        <v>160126.05863243458</v>
      </c>
      <c r="J17" s="66">
        <f t="shared" si="3"/>
        <v>2934973.1842997065</v>
      </c>
    </row>
    <row r="18" spans="1:10" x14ac:dyDescent="0.25">
      <c r="A18" s="123" t="s">
        <v>15</v>
      </c>
      <c r="B18" s="31">
        <v>7.0000000000000007E-2</v>
      </c>
      <c r="D18" s="142"/>
      <c r="F18" s="147"/>
      <c r="G18" s="147"/>
      <c r="H18" s="147"/>
      <c r="I18" s="147"/>
      <c r="J18" s="147"/>
    </row>
    <row r="19" spans="1:10" x14ac:dyDescent="0.25">
      <c r="A19" s="123" t="s">
        <v>205</v>
      </c>
      <c r="B19" s="132"/>
    </row>
    <row r="20" spans="1:10" x14ac:dyDescent="0.25">
      <c r="A20" s="123" t="s">
        <v>207</v>
      </c>
      <c r="B20" s="135"/>
    </row>
    <row r="21" spans="1:10" x14ac:dyDescent="0.25">
      <c r="A21" s="123" t="s">
        <v>219</v>
      </c>
      <c r="B21" s="132"/>
    </row>
    <row r="22" spans="1:10" x14ac:dyDescent="0.25">
      <c r="A22" s="128" t="s">
        <v>220</v>
      </c>
      <c r="B22" s="148"/>
    </row>
  </sheetData>
  <pageMargins left="0.75" right="0.75" top="1" bottom="1" header="0.5" footer="0.5"/>
  <pageSetup scale="77" orientation="portrait" horizontalDpi="4294967292" verticalDpi="4294967292"/>
  <colBreaks count="1" manualBreakCount="1">
    <brk id="10" max="1048575"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zoomScale="130" zoomScaleNormal="130" zoomScalePageLayoutView="150" workbookViewId="0"/>
  </sheetViews>
  <sheetFormatPr defaultColWidth="10.875" defaultRowHeight="13.5" x14ac:dyDescent="0.25"/>
  <cols>
    <col min="1" max="1" width="27.375" style="23" bestFit="1" customWidth="1"/>
    <col min="2" max="2" width="9.75" style="23" bestFit="1" customWidth="1"/>
    <col min="3" max="3" width="8.875" style="23" customWidth="1"/>
    <col min="4" max="4" width="23.5" style="23" bestFit="1" customWidth="1"/>
    <col min="5" max="5" width="10.625" style="23" bestFit="1" customWidth="1"/>
    <col min="6" max="6" width="9.25" style="23" bestFit="1" customWidth="1"/>
    <col min="7" max="7" width="10.25" style="23" bestFit="1" customWidth="1"/>
    <col min="8" max="9" width="9.25" style="23" bestFit="1" customWidth="1"/>
    <col min="10" max="10" width="10.25" style="23" bestFit="1" customWidth="1"/>
    <col min="11" max="16384" width="10.875" style="23"/>
  </cols>
  <sheetData>
    <row r="1" spans="1:10" x14ac:dyDescent="0.25">
      <c r="A1" s="115" t="s">
        <v>200</v>
      </c>
      <c r="B1" s="116"/>
      <c r="D1" s="115" t="s">
        <v>202</v>
      </c>
      <c r="E1" s="116"/>
      <c r="F1" s="116"/>
      <c r="G1" s="116"/>
      <c r="H1" s="116"/>
      <c r="I1" s="116"/>
      <c r="J1" s="41"/>
    </row>
    <row r="2" spans="1:10" x14ac:dyDescent="0.25">
      <c r="A2" s="117" t="s">
        <v>13</v>
      </c>
      <c r="B2" s="118">
        <v>5000000</v>
      </c>
      <c r="C2" s="56"/>
      <c r="D2" s="149"/>
      <c r="E2" s="150">
        <v>44561</v>
      </c>
      <c r="F2" s="150">
        <f>EOMONTH(E2,6)</f>
        <v>44742</v>
      </c>
      <c r="G2" s="150">
        <f>EOMONTH(F2,18)</f>
        <v>45291</v>
      </c>
      <c r="H2" s="150">
        <f>EOMONTH(G2,9)</f>
        <v>45565</v>
      </c>
      <c r="I2" s="150">
        <f>EOMONTH(H2,6)</f>
        <v>45747</v>
      </c>
      <c r="J2" s="151">
        <f>EOMONTH(I2,18)</f>
        <v>46295</v>
      </c>
    </row>
    <row r="3" spans="1:10" x14ac:dyDescent="0.25">
      <c r="A3" s="123" t="s">
        <v>213</v>
      </c>
      <c r="B3" s="124">
        <v>0.01</v>
      </c>
      <c r="D3" s="152"/>
      <c r="E3" s="153">
        <v>0</v>
      </c>
      <c r="F3" s="154">
        <v>1</v>
      </c>
      <c r="G3" s="154">
        <f>F3+1</f>
        <v>2</v>
      </c>
      <c r="H3" s="154">
        <f>G3+1</f>
        <v>3</v>
      </c>
      <c r="I3" s="154">
        <f>H3+1</f>
        <v>4</v>
      </c>
      <c r="J3" s="155">
        <f>I3+1</f>
        <v>5</v>
      </c>
    </row>
    <row r="4" spans="1:10" x14ac:dyDescent="0.25">
      <c r="A4" s="123" t="s">
        <v>36</v>
      </c>
      <c r="B4" s="124">
        <v>0.06</v>
      </c>
      <c r="D4" s="123" t="s">
        <v>79</v>
      </c>
      <c r="E4" s="376">
        <v>0</v>
      </c>
      <c r="F4" s="71">
        <f>B2*B4</f>
        <v>300000</v>
      </c>
      <c r="G4" s="71">
        <f>F4*(1+$B$6)</f>
        <v>312000</v>
      </c>
      <c r="H4" s="71">
        <f>G4*(1+$B$6)</f>
        <v>324480</v>
      </c>
      <c r="I4" s="71">
        <f>H4*(1+$B$6)</f>
        <v>337459.20000000001</v>
      </c>
      <c r="J4" s="65">
        <f>I4*(1+$B$6)</f>
        <v>350957.56800000003</v>
      </c>
    </row>
    <row r="5" spans="1:10" x14ac:dyDescent="0.25">
      <c r="A5" s="123" t="s">
        <v>196</v>
      </c>
      <c r="B5" s="125">
        <v>5000</v>
      </c>
      <c r="D5" s="123" t="s">
        <v>186</v>
      </c>
      <c r="E5" s="376">
        <v>0</v>
      </c>
      <c r="F5" s="71">
        <f>-B5</f>
        <v>-5000</v>
      </c>
      <c r="G5" s="71">
        <f>F5*(1+$B$7)</f>
        <v>-5150</v>
      </c>
      <c r="H5" s="71">
        <f>G5*(1+$B$7)</f>
        <v>-5304.5</v>
      </c>
      <c r="I5" s="71">
        <f>H5*(1+$B$7)</f>
        <v>-5463.6350000000002</v>
      </c>
      <c r="J5" s="65">
        <f>I5*(1+$B$7)</f>
        <v>-5627.5440500000004</v>
      </c>
    </row>
    <row r="6" spans="1:10" x14ac:dyDescent="0.25">
      <c r="A6" s="123" t="s">
        <v>195</v>
      </c>
      <c r="B6" s="127">
        <v>0.04</v>
      </c>
      <c r="D6" s="126" t="s">
        <v>4</v>
      </c>
      <c r="E6" s="377">
        <v>0</v>
      </c>
      <c r="F6" s="72">
        <f>SUM(F4:F5)</f>
        <v>295000</v>
      </c>
      <c r="G6" s="72">
        <f t="shared" ref="G6:J6" si="0">SUM(G4:G5)</f>
        <v>306850</v>
      </c>
      <c r="H6" s="72">
        <f t="shared" si="0"/>
        <v>319175.5</v>
      </c>
      <c r="I6" s="72">
        <f t="shared" si="0"/>
        <v>331995.565</v>
      </c>
      <c r="J6" s="66">
        <f t="shared" si="0"/>
        <v>345330.02395</v>
      </c>
    </row>
    <row r="7" spans="1:10" x14ac:dyDescent="0.25">
      <c r="A7" s="123" t="s">
        <v>197</v>
      </c>
      <c r="B7" s="127">
        <v>0.03</v>
      </c>
      <c r="D7" s="123" t="s">
        <v>189</v>
      </c>
      <c r="E7" s="376">
        <v>0</v>
      </c>
      <c r="F7" s="382">
        <f>CUMPRINC($B$14/12,$B$15*12,$B$12,F$3*12-11,F$3*12,0)</f>
        <v>-52831.092997561711</v>
      </c>
      <c r="G7" s="382">
        <f>CUMPRINC($B$14/12,$B$15*12,$B$12,G$3*12-11,G$3*12,0)</f>
        <v>-54983.513240421256</v>
      </c>
      <c r="H7" s="382">
        <f>CUMPRINC($B$14/12,$B$15*12,$B$12,H$3*12-11,H$3*12,0)</f>
        <v>-57223.62640498671</v>
      </c>
      <c r="I7" s="382">
        <f>CUMPRINC($B$14/12,$B$15*12,$B$12,I$3*12-11,I$3*12,0)</f>
        <v>-59555.005236191486</v>
      </c>
      <c r="J7" s="383">
        <f>CUMPRINC($B$14/12,$B$15*12,$B$12,J$3*12-11,J$3*12,0)</f>
        <v>-61981.368038110064</v>
      </c>
    </row>
    <row r="8" spans="1:10" x14ac:dyDescent="0.25">
      <c r="A8" s="123" t="s">
        <v>82</v>
      </c>
      <c r="B8" s="127">
        <v>6.5000000000000002E-2</v>
      </c>
      <c r="D8" s="123" t="s">
        <v>190</v>
      </c>
      <c r="E8" s="80">
        <v>0</v>
      </c>
      <c r="F8" s="382">
        <f>CUMIPMT($B$14/12,$B$15*12,$B$12,F$3*12-11,F$3*12,0)</f>
        <v>-119038.41337000372</v>
      </c>
      <c r="G8" s="382">
        <f>CUMIPMT($B$14/12,$B$15*12,$B$12,G$3*12-11,G$3*12,0)</f>
        <v>-116885.99312714417</v>
      </c>
      <c r="H8" s="382">
        <f>CUMIPMT($B$14/12,$B$15*12,$B$12,H$3*12-11,H$3*12,0)</f>
        <v>-114645.87996257871</v>
      </c>
      <c r="I8" s="382">
        <f>CUMIPMT($B$14/12,$B$15*12,$B$12,I$3*12-11,I$3*12,0)</f>
        <v>-112314.50113137394</v>
      </c>
      <c r="J8" s="383">
        <f>CUMIPMT($B$14/12,$B$15*12,$B$12,J$3*12-11,J$3*12,0)</f>
        <v>-109888.13832945537</v>
      </c>
    </row>
    <row r="9" spans="1:10" x14ac:dyDescent="0.25">
      <c r="A9" s="128" t="s">
        <v>212</v>
      </c>
      <c r="B9" s="129">
        <v>2.5000000000000001E-2</v>
      </c>
      <c r="D9" s="126" t="s">
        <v>5</v>
      </c>
      <c r="E9" s="377">
        <v>0</v>
      </c>
      <c r="F9" s="72">
        <f>SUM(F6:F8)</f>
        <v>123130.49363243458</v>
      </c>
      <c r="G9" s="72">
        <f t="shared" ref="G9:J9" si="1">SUM(G6:G8)</f>
        <v>134980.49363243458</v>
      </c>
      <c r="H9" s="72">
        <f t="shared" si="1"/>
        <v>147305.99363243458</v>
      </c>
      <c r="I9" s="72">
        <f t="shared" si="1"/>
        <v>160126.05863243458</v>
      </c>
      <c r="J9" s="66">
        <f t="shared" si="1"/>
        <v>173460.51758243455</v>
      </c>
    </row>
    <row r="10" spans="1:10" x14ac:dyDescent="0.25">
      <c r="D10" s="117" t="s">
        <v>13</v>
      </c>
      <c r="E10" s="378">
        <f>-B2</f>
        <v>-5000000</v>
      </c>
      <c r="F10" s="379">
        <v>0</v>
      </c>
      <c r="G10" s="379">
        <v>0</v>
      </c>
      <c r="H10" s="379">
        <v>0</v>
      </c>
      <c r="I10" s="379">
        <v>0</v>
      </c>
      <c r="J10" s="380">
        <v>0</v>
      </c>
    </row>
    <row r="11" spans="1:10" x14ac:dyDescent="0.25">
      <c r="A11" s="115" t="s">
        <v>198</v>
      </c>
      <c r="B11" s="116"/>
      <c r="D11" s="123" t="s">
        <v>21</v>
      </c>
      <c r="E11" s="80">
        <f>E10*B3</f>
        <v>-50000</v>
      </c>
      <c r="F11" s="71">
        <v>0</v>
      </c>
      <c r="G11" s="71">
        <v>0</v>
      </c>
      <c r="H11" s="71">
        <v>0</v>
      </c>
      <c r="I11" s="71">
        <v>0</v>
      </c>
      <c r="J11" s="65">
        <v>0</v>
      </c>
    </row>
    <row r="12" spans="1:10" x14ac:dyDescent="0.25">
      <c r="A12" s="117" t="s">
        <v>18</v>
      </c>
      <c r="B12" s="118">
        <v>3000000</v>
      </c>
      <c r="D12" s="123" t="s">
        <v>125</v>
      </c>
      <c r="E12" s="80">
        <v>0</v>
      </c>
      <c r="F12" s="71">
        <v>0</v>
      </c>
      <c r="G12" s="71">
        <v>0</v>
      </c>
      <c r="H12" s="71">
        <v>0</v>
      </c>
      <c r="I12" s="71">
        <v>0</v>
      </c>
      <c r="J12" s="65">
        <f>(J4*(1+B6))/B8</f>
        <v>5615321.0880000005</v>
      </c>
    </row>
    <row r="13" spans="1:10" x14ac:dyDescent="0.25">
      <c r="A13" s="123" t="s">
        <v>194</v>
      </c>
      <c r="B13" s="420">
        <f>B12/B2</f>
        <v>0.6</v>
      </c>
      <c r="D13" s="123" t="s">
        <v>126</v>
      </c>
      <c r="E13" s="80">
        <v>0</v>
      </c>
      <c r="F13" s="71">
        <v>0</v>
      </c>
      <c r="G13" s="71">
        <v>0</v>
      </c>
      <c r="H13" s="71">
        <v>0</v>
      </c>
      <c r="I13" s="71">
        <v>0</v>
      </c>
      <c r="J13" s="65">
        <f>J12*-B9</f>
        <v>-140383.02720000001</v>
      </c>
    </row>
    <row r="14" spans="1:10" x14ac:dyDescent="0.25">
      <c r="A14" s="123" t="s">
        <v>25</v>
      </c>
      <c r="B14" s="127">
        <v>0.04</v>
      </c>
      <c r="D14" s="126" t="s">
        <v>199</v>
      </c>
      <c r="E14" s="381">
        <f>SUM(E10:E12,E6)</f>
        <v>-5050000</v>
      </c>
      <c r="F14" s="72">
        <f t="shared" ref="F14:I14" si="2">SUM(F10:F13,F6)</f>
        <v>295000</v>
      </c>
      <c r="G14" s="72">
        <f t="shared" si="2"/>
        <v>306850</v>
      </c>
      <c r="H14" s="72">
        <f t="shared" si="2"/>
        <v>319175.5</v>
      </c>
      <c r="I14" s="72">
        <f t="shared" si="2"/>
        <v>331995.565</v>
      </c>
      <c r="J14" s="66">
        <f>SUM(J10:J13,J6)</f>
        <v>5820268.0847500004</v>
      </c>
    </row>
    <row r="15" spans="1:10" x14ac:dyDescent="0.25">
      <c r="A15" s="128" t="s">
        <v>12</v>
      </c>
      <c r="B15" s="130">
        <v>30</v>
      </c>
      <c r="D15" s="123" t="s">
        <v>124</v>
      </c>
      <c r="E15" s="80">
        <f>B12</f>
        <v>3000000</v>
      </c>
      <c r="F15" s="71">
        <v>0</v>
      </c>
      <c r="G15" s="71">
        <v>0</v>
      </c>
      <c r="H15" s="71">
        <v>0</v>
      </c>
      <c r="I15" s="71">
        <v>0</v>
      </c>
      <c r="J15" s="65">
        <v>0</v>
      </c>
    </row>
    <row r="16" spans="1:10" x14ac:dyDescent="0.25">
      <c r="C16" s="56"/>
      <c r="D16" s="123" t="s">
        <v>127</v>
      </c>
      <c r="E16" s="80">
        <v>0</v>
      </c>
      <c r="F16" s="71">
        <v>0</v>
      </c>
      <c r="G16" s="71">
        <v>0</v>
      </c>
      <c r="H16" s="71">
        <v>0</v>
      </c>
      <c r="I16" s="71">
        <v>0</v>
      </c>
      <c r="J16" s="65">
        <f>-SUM(B12,F7:J7)</f>
        <v>-2713425.3940827288</v>
      </c>
    </row>
    <row r="17" spans="1:10" x14ac:dyDescent="0.25">
      <c r="A17" s="115" t="s">
        <v>203</v>
      </c>
      <c r="B17" s="116"/>
      <c r="D17" s="126" t="s">
        <v>201</v>
      </c>
      <c r="E17" s="381">
        <f t="shared" ref="E17:J17" si="3">SUM(E14:E16,E7:E8)</f>
        <v>-2050000</v>
      </c>
      <c r="F17" s="72">
        <f t="shared" si="3"/>
        <v>123130.49363243458</v>
      </c>
      <c r="G17" s="72">
        <f t="shared" si="3"/>
        <v>134980.49363243458</v>
      </c>
      <c r="H17" s="72">
        <f t="shared" si="3"/>
        <v>147305.99363243458</v>
      </c>
      <c r="I17" s="72">
        <f t="shared" si="3"/>
        <v>160126.05863243458</v>
      </c>
      <c r="J17" s="66">
        <f t="shared" si="3"/>
        <v>2934973.1842997065</v>
      </c>
    </row>
    <row r="18" spans="1:10" x14ac:dyDescent="0.25">
      <c r="A18" s="123" t="s">
        <v>15</v>
      </c>
      <c r="B18" s="31">
        <v>7.0000000000000007E-2</v>
      </c>
      <c r="D18" s="142"/>
      <c r="F18" s="147"/>
      <c r="G18" s="147"/>
      <c r="H18" s="147"/>
      <c r="I18" s="147"/>
      <c r="J18" s="147"/>
    </row>
    <row r="19" spans="1:10" x14ac:dyDescent="0.25">
      <c r="A19" s="123" t="s">
        <v>205</v>
      </c>
      <c r="B19" s="132">
        <f>NPV(B18,F17:J17)+E17</f>
        <v>517972.70926491125</v>
      </c>
    </row>
    <row r="20" spans="1:10" x14ac:dyDescent="0.25">
      <c r="A20" s="123" t="s">
        <v>207</v>
      </c>
      <c r="B20" s="135">
        <f>IRR(E17:J17)</f>
        <v>0.12478261281507463</v>
      </c>
    </row>
    <row r="21" spans="1:10" x14ac:dyDescent="0.25">
      <c r="A21" s="123" t="s">
        <v>219</v>
      </c>
      <c r="B21" s="132">
        <f>XNPV(B18,E17:J17,E2:J2)</f>
        <v>565973.61574317864</v>
      </c>
    </row>
    <row r="22" spans="1:10" x14ac:dyDescent="0.25">
      <c r="A22" s="128" t="s">
        <v>220</v>
      </c>
      <c r="B22" s="148">
        <f>XIRR(E17:J17,E2:J2)</f>
        <v>0.13350221514701843</v>
      </c>
    </row>
  </sheetData>
  <pageMargins left="0.75" right="0.75" top="1" bottom="1" header="0.5" footer="0.5"/>
  <pageSetup scale="77" orientation="portrait" horizontalDpi="4294967292" verticalDpi="4294967292"/>
  <colBreaks count="1" manualBreakCount="1">
    <brk id="10" max="1048575"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5"/>
  <sheetViews>
    <sheetView showGridLines="0" zoomScale="120" zoomScaleNormal="120" zoomScalePageLayoutView="150" workbookViewId="0"/>
  </sheetViews>
  <sheetFormatPr defaultColWidth="10.875" defaultRowHeight="13.5" x14ac:dyDescent="0.25"/>
  <cols>
    <col min="1" max="1" width="27.75" style="23" bestFit="1" customWidth="1"/>
    <col min="2" max="2" width="10" style="23" bestFit="1" customWidth="1"/>
    <col min="3" max="3" width="8.875" style="23" customWidth="1"/>
    <col min="4" max="4" width="23.75" style="23" bestFit="1" customWidth="1"/>
    <col min="5" max="5" width="11" style="417" bestFit="1" customWidth="1"/>
    <col min="6" max="6" width="9.625" style="417" bestFit="1" customWidth="1"/>
    <col min="7" max="7" width="10.75" style="417" bestFit="1" customWidth="1"/>
    <col min="8" max="9" width="9.625" style="417" bestFit="1" customWidth="1"/>
    <col min="10" max="10" width="10.5" style="417" bestFit="1" customWidth="1"/>
    <col min="11" max="16384" width="10.875" style="417"/>
  </cols>
  <sheetData>
    <row r="1" spans="1:77" s="23" customFormat="1" x14ac:dyDescent="0.25">
      <c r="A1" s="115" t="s">
        <v>200</v>
      </c>
      <c r="B1" s="116"/>
      <c r="D1" s="97" t="s">
        <v>202</v>
      </c>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41"/>
    </row>
    <row r="2" spans="1:77" x14ac:dyDescent="0.25">
      <c r="A2" s="117" t="s">
        <v>13</v>
      </c>
      <c r="B2" s="118">
        <v>5000000</v>
      </c>
      <c r="C2" s="56"/>
      <c r="D2" s="311" t="s">
        <v>367</v>
      </c>
      <c r="E2" s="423"/>
      <c r="F2" s="423"/>
      <c r="G2" s="423"/>
      <c r="H2" s="423"/>
      <c r="I2" s="423"/>
      <c r="J2" s="423"/>
      <c r="K2" s="423"/>
      <c r="L2" s="423"/>
      <c r="M2" s="423"/>
      <c r="N2" s="423"/>
      <c r="O2" s="423"/>
      <c r="P2" s="423"/>
      <c r="Q2" s="423"/>
      <c r="R2" s="423"/>
      <c r="S2" s="423"/>
      <c r="T2" s="423"/>
      <c r="U2" s="423"/>
      <c r="V2" s="423"/>
      <c r="W2" s="423"/>
      <c r="X2" s="423"/>
      <c r="Y2" s="423"/>
      <c r="Z2" s="423"/>
      <c r="AA2" s="423"/>
      <c r="AB2" s="423"/>
      <c r="AC2" s="423"/>
      <c r="AD2" s="423"/>
      <c r="AE2" s="423"/>
      <c r="AF2" s="423"/>
      <c r="AG2" s="423"/>
      <c r="AH2" s="423"/>
      <c r="AI2" s="423"/>
      <c r="AJ2" s="423"/>
      <c r="AK2" s="423"/>
      <c r="AL2" s="423"/>
      <c r="AM2" s="423"/>
      <c r="AN2" s="423"/>
      <c r="AO2" s="423"/>
      <c r="AP2" s="423"/>
      <c r="AQ2" s="423"/>
      <c r="AR2" s="423"/>
      <c r="AS2" s="423"/>
      <c r="AT2" s="423"/>
      <c r="AU2" s="423"/>
      <c r="AV2" s="423"/>
      <c r="AW2" s="423"/>
      <c r="AX2" s="423"/>
      <c r="AY2" s="423"/>
      <c r="AZ2" s="423"/>
      <c r="BA2" s="423"/>
      <c r="BB2" s="423"/>
      <c r="BC2" s="423"/>
      <c r="BD2" s="423"/>
      <c r="BE2" s="423"/>
      <c r="BF2" s="423"/>
      <c r="BG2" s="423"/>
      <c r="BH2" s="423"/>
      <c r="BI2" s="423"/>
      <c r="BJ2" s="423"/>
      <c r="BK2" s="423"/>
      <c r="BL2" s="423"/>
      <c r="BM2" s="423"/>
      <c r="BN2" s="423"/>
      <c r="BO2" s="423"/>
      <c r="BP2" s="423"/>
      <c r="BQ2" s="423"/>
      <c r="BR2" s="423"/>
      <c r="BS2" s="423"/>
      <c r="BT2" s="423"/>
      <c r="BU2" s="423"/>
      <c r="BV2" s="423"/>
      <c r="BW2" s="423"/>
      <c r="BX2" s="423"/>
      <c r="BY2" s="424"/>
    </row>
    <row r="3" spans="1:77" x14ac:dyDescent="0.25">
      <c r="A3" s="123" t="s">
        <v>213</v>
      </c>
      <c r="B3" s="124">
        <v>0.01</v>
      </c>
      <c r="D3" s="312" t="s">
        <v>94</v>
      </c>
      <c r="E3" s="425"/>
      <c r="F3" s="425"/>
      <c r="G3" s="425"/>
      <c r="H3" s="425"/>
      <c r="I3" s="425"/>
      <c r="J3" s="425"/>
      <c r="K3" s="425"/>
      <c r="L3" s="425"/>
      <c r="M3" s="425"/>
      <c r="N3" s="425"/>
      <c r="O3" s="425"/>
      <c r="P3" s="425"/>
      <c r="Q3" s="425"/>
      <c r="R3" s="425"/>
      <c r="S3" s="425"/>
      <c r="T3" s="425"/>
      <c r="U3" s="425"/>
      <c r="V3" s="425"/>
      <c r="W3" s="425"/>
      <c r="X3" s="425"/>
      <c r="Y3" s="425"/>
      <c r="Z3" s="425"/>
      <c r="AA3" s="425"/>
      <c r="AB3" s="425"/>
      <c r="AC3" s="425"/>
      <c r="AD3" s="425"/>
      <c r="AE3" s="425"/>
      <c r="AF3" s="425"/>
      <c r="AG3" s="425"/>
      <c r="AH3" s="425"/>
      <c r="AI3" s="425"/>
      <c r="AJ3" s="425"/>
      <c r="AK3" s="425"/>
      <c r="AL3" s="425"/>
      <c r="AM3" s="425"/>
      <c r="AN3" s="425"/>
      <c r="AO3" s="425"/>
      <c r="AP3" s="425"/>
      <c r="AQ3" s="425"/>
      <c r="AR3" s="425"/>
      <c r="AS3" s="425"/>
      <c r="AT3" s="425"/>
      <c r="AU3" s="425"/>
      <c r="AV3" s="425"/>
      <c r="AW3" s="425"/>
      <c r="AX3" s="425"/>
      <c r="AY3" s="425"/>
      <c r="AZ3" s="425"/>
      <c r="BA3" s="425"/>
      <c r="BB3" s="425"/>
      <c r="BC3" s="425"/>
      <c r="BD3" s="425"/>
      <c r="BE3" s="425"/>
      <c r="BF3" s="425"/>
      <c r="BG3" s="425"/>
      <c r="BH3" s="425"/>
      <c r="BI3" s="425"/>
      <c r="BJ3" s="425"/>
      <c r="BK3" s="425"/>
      <c r="BL3" s="425"/>
      <c r="BM3" s="425"/>
      <c r="BN3" s="425"/>
      <c r="BO3" s="425"/>
      <c r="BP3" s="425"/>
      <c r="BQ3" s="425"/>
      <c r="BR3" s="425"/>
      <c r="BS3" s="425"/>
      <c r="BT3" s="425"/>
      <c r="BU3" s="425"/>
      <c r="BV3" s="425"/>
      <c r="BW3" s="425"/>
      <c r="BX3" s="425"/>
      <c r="BY3" s="426"/>
    </row>
    <row r="4" spans="1:77" x14ac:dyDescent="0.25">
      <c r="A4" s="123" t="s">
        <v>36</v>
      </c>
      <c r="B4" s="124">
        <v>0.06</v>
      </c>
      <c r="D4" s="313" t="s">
        <v>40</v>
      </c>
      <c r="E4" s="427"/>
      <c r="F4" s="427"/>
      <c r="G4" s="427"/>
      <c r="H4" s="427"/>
      <c r="I4" s="427"/>
      <c r="J4" s="427"/>
      <c r="K4" s="427"/>
      <c r="L4" s="427"/>
      <c r="M4" s="427"/>
      <c r="N4" s="427"/>
      <c r="O4" s="427"/>
      <c r="P4" s="427"/>
      <c r="Q4" s="427"/>
      <c r="R4" s="427"/>
      <c r="S4" s="427"/>
      <c r="T4" s="427"/>
      <c r="U4" s="427"/>
      <c r="V4" s="427"/>
      <c r="W4" s="427"/>
      <c r="X4" s="427"/>
      <c r="Y4" s="427"/>
      <c r="Z4" s="427"/>
      <c r="AA4" s="427"/>
      <c r="AB4" s="427"/>
      <c r="AC4" s="427"/>
      <c r="AD4" s="427"/>
      <c r="AE4" s="427"/>
      <c r="AF4" s="427"/>
      <c r="AG4" s="427"/>
      <c r="AH4" s="427"/>
      <c r="AI4" s="427"/>
      <c r="AJ4" s="427"/>
      <c r="AK4" s="427"/>
      <c r="AL4" s="427"/>
      <c r="AM4" s="427"/>
      <c r="AN4" s="427"/>
      <c r="AO4" s="427"/>
      <c r="AP4" s="427"/>
      <c r="AQ4" s="427"/>
      <c r="AR4" s="427"/>
      <c r="AS4" s="427"/>
      <c r="AT4" s="427"/>
      <c r="AU4" s="427"/>
      <c r="AV4" s="427"/>
      <c r="AW4" s="427"/>
      <c r="AX4" s="427"/>
      <c r="AY4" s="427"/>
      <c r="AZ4" s="427"/>
      <c r="BA4" s="427"/>
      <c r="BB4" s="427"/>
      <c r="BC4" s="427"/>
      <c r="BD4" s="427"/>
      <c r="BE4" s="427"/>
      <c r="BF4" s="427"/>
      <c r="BG4" s="427"/>
      <c r="BH4" s="427"/>
      <c r="BI4" s="427"/>
      <c r="BJ4" s="427"/>
      <c r="BK4" s="427"/>
      <c r="BL4" s="427"/>
      <c r="BM4" s="427"/>
      <c r="BN4" s="427"/>
      <c r="BO4" s="427"/>
      <c r="BP4" s="427"/>
      <c r="BQ4" s="427"/>
      <c r="BR4" s="427"/>
      <c r="BS4" s="427"/>
      <c r="BT4" s="427"/>
      <c r="BU4" s="427"/>
      <c r="BV4" s="427"/>
      <c r="BW4" s="427"/>
      <c r="BX4" s="427"/>
      <c r="BY4" s="428"/>
    </row>
    <row r="5" spans="1:77" x14ac:dyDescent="0.25">
      <c r="A5" s="123" t="s">
        <v>196</v>
      </c>
      <c r="B5" s="125">
        <v>5000</v>
      </c>
      <c r="D5" s="123" t="s">
        <v>79</v>
      </c>
      <c r="E5" s="316"/>
      <c r="F5" s="317"/>
      <c r="G5" s="317"/>
      <c r="H5" s="317"/>
      <c r="I5" s="317"/>
      <c r="J5" s="318"/>
      <c r="K5" s="318"/>
      <c r="L5" s="318"/>
      <c r="M5" s="318"/>
      <c r="N5" s="318"/>
      <c r="O5" s="318"/>
      <c r="P5" s="318"/>
      <c r="Q5" s="318"/>
      <c r="R5" s="318"/>
      <c r="S5" s="318"/>
      <c r="T5" s="318"/>
      <c r="U5" s="318"/>
      <c r="V5" s="318"/>
      <c r="W5" s="318"/>
      <c r="X5" s="318"/>
      <c r="Y5" s="318"/>
      <c r="Z5" s="318"/>
      <c r="AA5" s="318"/>
      <c r="AB5" s="318"/>
      <c r="AC5" s="318"/>
      <c r="AD5" s="318"/>
      <c r="AE5" s="318"/>
      <c r="AF5" s="318"/>
      <c r="AG5" s="318"/>
      <c r="AH5" s="318"/>
      <c r="AI5" s="318"/>
      <c r="AJ5" s="318"/>
      <c r="AK5" s="318"/>
      <c r="AL5" s="318"/>
      <c r="AM5" s="318"/>
      <c r="AN5" s="318"/>
      <c r="AO5" s="318"/>
      <c r="AP5" s="318"/>
      <c r="AQ5" s="318"/>
      <c r="AR5" s="318"/>
      <c r="AS5" s="318"/>
      <c r="AT5" s="318"/>
      <c r="AU5" s="318"/>
      <c r="AV5" s="318"/>
      <c r="AW5" s="318"/>
      <c r="AX5" s="318"/>
      <c r="AY5" s="318"/>
      <c r="AZ5" s="318"/>
      <c r="BA5" s="318"/>
      <c r="BB5" s="318"/>
      <c r="BC5" s="318"/>
      <c r="BD5" s="318"/>
      <c r="BE5" s="318"/>
      <c r="BF5" s="318"/>
      <c r="BG5" s="318"/>
      <c r="BH5" s="318"/>
      <c r="BI5" s="318"/>
      <c r="BJ5" s="318"/>
      <c r="BK5" s="318"/>
      <c r="BL5" s="318"/>
      <c r="BM5" s="318"/>
      <c r="BN5" s="318"/>
      <c r="BO5" s="318"/>
      <c r="BP5" s="318"/>
      <c r="BQ5" s="318"/>
      <c r="BR5" s="318"/>
      <c r="BS5" s="318"/>
      <c r="BT5" s="318"/>
      <c r="BU5" s="318"/>
      <c r="BV5" s="318"/>
      <c r="BW5" s="318"/>
      <c r="BX5" s="318"/>
      <c r="BY5" s="319"/>
    </row>
    <row r="6" spans="1:77" x14ac:dyDescent="0.25">
      <c r="A6" s="123" t="s">
        <v>195</v>
      </c>
      <c r="B6" s="127">
        <v>0.04</v>
      </c>
      <c r="D6" s="123" t="s">
        <v>186</v>
      </c>
      <c r="E6" s="316"/>
      <c r="F6" s="317"/>
      <c r="G6" s="317"/>
      <c r="H6" s="317"/>
      <c r="I6" s="317"/>
      <c r="J6" s="317"/>
      <c r="K6" s="317"/>
      <c r="L6" s="317"/>
      <c r="M6" s="317"/>
      <c r="N6" s="317"/>
      <c r="O6" s="317"/>
      <c r="P6" s="317"/>
      <c r="Q6" s="317"/>
      <c r="R6" s="317"/>
      <c r="S6" s="317"/>
      <c r="T6" s="317"/>
      <c r="U6" s="317"/>
      <c r="V6" s="317"/>
      <c r="W6" s="317"/>
      <c r="X6" s="317"/>
      <c r="Y6" s="317"/>
      <c r="Z6" s="317"/>
      <c r="AA6" s="317"/>
      <c r="AB6" s="317"/>
      <c r="AC6" s="317"/>
      <c r="AD6" s="317"/>
      <c r="AE6" s="317"/>
      <c r="AF6" s="317"/>
      <c r="AG6" s="317"/>
      <c r="AH6" s="317"/>
      <c r="AI6" s="317"/>
      <c r="AJ6" s="317"/>
      <c r="AK6" s="317"/>
      <c r="AL6" s="317"/>
      <c r="AM6" s="317"/>
      <c r="AN6" s="317"/>
      <c r="AO6" s="317"/>
      <c r="AP6" s="317"/>
      <c r="AQ6" s="317"/>
      <c r="AR6" s="317"/>
      <c r="AS6" s="317"/>
      <c r="AT6" s="317"/>
      <c r="AU6" s="317"/>
      <c r="AV6" s="317"/>
      <c r="AW6" s="317"/>
      <c r="AX6" s="317"/>
      <c r="AY6" s="317"/>
      <c r="AZ6" s="317"/>
      <c r="BA6" s="317"/>
      <c r="BB6" s="317"/>
      <c r="BC6" s="317"/>
      <c r="BD6" s="317"/>
      <c r="BE6" s="317"/>
      <c r="BF6" s="317"/>
      <c r="BG6" s="317"/>
      <c r="BH6" s="317"/>
      <c r="BI6" s="317"/>
      <c r="BJ6" s="317"/>
      <c r="BK6" s="317"/>
      <c r="BL6" s="317"/>
      <c r="BM6" s="317"/>
      <c r="BN6" s="317"/>
      <c r="BO6" s="317"/>
      <c r="BP6" s="317"/>
      <c r="BQ6" s="317"/>
      <c r="BR6" s="317"/>
      <c r="BS6" s="317"/>
      <c r="BT6" s="317"/>
      <c r="BU6" s="317"/>
      <c r="BV6" s="317"/>
      <c r="BW6" s="317"/>
      <c r="BX6" s="317"/>
      <c r="BY6" s="320"/>
    </row>
    <row r="7" spans="1:77" x14ac:dyDescent="0.25">
      <c r="A7" s="123" t="s">
        <v>368</v>
      </c>
      <c r="B7" s="127" t="s">
        <v>369</v>
      </c>
      <c r="D7" s="126" t="s">
        <v>4</v>
      </c>
      <c r="E7" s="258"/>
      <c r="F7" s="321"/>
      <c r="G7" s="321"/>
      <c r="H7" s="321"/>
      <c r="I7" s="321"/>
      <c r="J7" s="321"/>
      <c r="K7" s="321"/>
      <c r="L7" s="321"/>
      <c r="M7" s="321"/>
      <c r="N7" s="321"/>
      <c r="O7" s="321"/>
      <c r="P7" s="321"/>
      <c r="Q7" s="321"/>
      <c r="R7" s="321"/>
      <c r="S7" s="321"/>
      <c r="T7" s="321"/>
      <c r="U7" s="321"/>
      <c r="V7" s="321"/>
      <c r="W7" s="321"/>
      <c r="X7" s="321"/>
      <c r="Y7" s="321"/>
      <c r="Z7" s="321"/>
      <c r="AA7" s="321"/>
      <c r="AB7" s="321"/>
      <c r="AC7" s="321"/>
      <c r="AD7" s="321"/>
      <c r="AE7" s="321"/>
      <c r="AF7" s="321"/>
      <c r="AG7" s="321"/>
      <c r="AH7" s="321"/>
      <c r="AI7" s="321"/>
      <c r="AJ7" s="321"/>
      <c r="AK7" s="321"/>
      <c r="AL7" s="321"/>
      <c r="AM7" s="321"/>
      <c r="AN7" s="321"/>
      <c r="AO7" s="321"/>
      <c r="AP7" s="321"/>
      <c r="AQ7" s="321"/>
      <c r="AR7" s="321"/>
      <c r="AS7" s="321"/>
      <c r="AT7" s="321"/>
      <c r="AU7" s="321"/>
      <c r="AV7" s="321"/>
      <c r="AW7" s="321"/>
      <c r="AX7" s="321"/>
      <c r="AY7" s="321"/>
      <c r="AZ7" s="321"/>
      <c r="BA7" s="321"/>
      <c r="BB7" s="321"/>
      <c r="BC7" s="321"/>
      <c r="BD7" s="321"/>
      <c r="BE7" s="321"/>
      <c r="BF7" s="321"/>
      <c r="BG7" s="321"/>
      <c r="BH7" s="321"/>
      <c r="BI7" s="321"/>
      <c r="BJ7" s="321"/>
      <c r="BK7" s="321"/>
      <c r="BL7" s="321"/>
      <c r="BM7" s="321"/>
      <c r="BN7" s="321"/>
      <c r="BO7" s="321"/>
      <c r="BP7" s="321"/>
      <c r="BQ7" s="321"/>
      <c r="BR7" s="321"/>
      <c r="BS7" s="321"/>
      <c r="BT7" s="321"/>
      <c r="BU7" s="321"/>
      <c r="BV7" s="321"/>
      <c r="BW7" s="321"/>
      <c r="BX7" s="321"/>
      <c r="BY7" s="322"/>
    </row>
    <row r="8" spans="1:77" x14ac:dyDescent="0.25">
      <c r="A8" s="123" t="s">
        <v>197</v>
      </c>
      <c r="B8" s="127">
        <v>0.03</v>
      </c>
      <c r="D8" s="123" t="s">
        <v>189</v>
      </c>
      <c r="E8" s="316"/>
      <c r="F8" s="317"/>
      <c r="G8" s="317"/>
      <c r="H8" s="317"/>
      <c r="I8" s="317"/>
      <c r="J8" s="317"/>
      <c r="K8" s="317"/>
      <c r="L8" s="317"/>
      <c r="M8" s="317"/>
      <c r="N8" s="317"/>
      <c r="O8" s="317"/>
      <c r="P8" s="317"/>
      <c r="Q8" s="317"/>
      <c r="R8" s="317"/>
      <c r="S8" s="317"/>
      <c r="T8" s="317"/>
      <c r="U8" s="317"/>
      <c r="V8" s="317"/>
      <c r="W8" s="317"/>
      <c r="X8" s="317"/>
      <c r="Y8" s="317"/>
      <c r="Z8" s="317"/>
      <c r="AA8" s="317"/>
      <c r="AB8" s="317"/>
      <c r="AC8" s="317"/>
      <c r="AD8" s="317"/>
      <c r="AE8" s="317"/>
      <c r="AF8" s="317"/>
      <c r="AG8" s="317"/>
      <c r="AH8" s="317"/>
      <c r="AI8" s="317"/>
      <c r="AJ8" s="317"/>
      <c r="AK8" s="317"/>
      <c r="AL8" s="317"/>
      <c r="AM8" s="317"/>
      <c r="AN8" s="317"/>
      <c r="AO8" s="317"/>
      <c r="AP8" s="317"/>
      <c r="AQ8" s="317"/>
      <c r="AR8" s="317"/>
      <c r="AS8" s="317"/>
      <c r="AT8" s="317"/>
      <c r="AU8" s="317"/>
      <c r="AV8" s="317"/>
      <c r="AW8" s="317"/>
      <c r="AX8" s="317"/>
      <c r="AY8" s="317"/>
      <c r="AZ8" s="317"/>
      <c r="BA8" s="317"/>
      <c r="BB8" s="317"/>
      <c r="BC8" s="317"/>
      <c r="BD8" s="317"/>
      <c r="BE8" s="317"/>
      <c r="BF8" s="317"/>
      <c r="BG8" s="317"/>
      <c r="BH8" s="317"/>
      <c r="BI8" s="317"/>
      <c r="BJ8" s="317"/>
      <c r="BK8" s="317"/>
      <c r="BL8" s="317"/>
      <c r="BM8" s="317"/>
      <c r="BN8" s="317"/>
      <c r="BO8" s="317"/>
      <c r="BP8" s="317"/>
      <c r="BQ8" s="317"/>
      <c r="BR8" s="317"/>
      <c r="BS8" s="317"/>
      <c r="BT8" s="317"/>
      <c r="BU8" s="317"/>
      <c r="BV8" s="317"/>
      <c r="BW8" s="317"/>
      <c r="BX8" s="317"/>
      <c r="BY8" s="320"/>
    </row>
    <row r="9" spans="1:77" x14ac:dyDescent="0.25">
      <c r="A9" s="123" t="s">
        <v>370</v>
      </c>
      <c r="B9" s="127" t="s">
        <v>369</v>
      </c>
      <c r="D9" s="123" t="s">
        <v>190</v>
      </c>
      <c r="E9" s="251"/>
      <c r="F9" s="317"/>
      <c r="G9" s="317"/>
      <c r="H9" s="317"/>
      <c r="I9" s="317"/>
      <c r="J9" s="317"/>
      <c r="K9" s="317"/>
      <c r="L9" s="317"/>
      <c r="M9" s="317"/>
      <c r="N9" s="317"/>
      <c r="O9" s="317"/>
      <c r="P9" s="317"/>
      <c r="Q9" s="317"/>
      <c r="R9" s="317"/>
      <c r="S9" s="317"/>
      <c r="T9" s="317"/>
      <c r="U9" s="317"/>
      <c r="V9" s="317"/>
      <c r="W9" s="317"/>
      <c r="X9" s="317"/>
      <c r="Y9" s="317"/>
      <c r="Z9" s="317"/>
      <c r="AA9" s="317"/>
      <c r="AB9" s="317"/>
      <c r="AC9" s="317"/>
      <c r="AD9" s="317"/>
      <c r="AE9" s="317"/>
      <c r="AF9" s="317"/>
      <c r="AG9" s="317"/>
      <c r="AH9" s="317"/>
      <c r="AI9" s="317"/>
      <c r="AJ9" s="317"/>
      <c r="AK9" s="317"/>
      <c r="AL9" s="317"/>
      <c r="AM9" s="317"/>
      <c r="AN9" s="317"/>
      <c r="AO9" s="317"/>
      <c r="AP9" s="317"/>
      <c r="AQ9" s="317"/>
      <c r="AR9" s="317"/>
      <c r="AS9" s="317"/>
      <c r="AT9" s="317"/>
      <c r="AU9" s="317"/>
      <c r="AV9" s="317"/>
      <c r="AW9" s="317"/>
      <c r="AX9" s="317"/>
      <c r="AY9" s="317"/>
      <c r="AZ9" s="317"/>
      <c r="BA9" s="317"/>
      <c r="BB9" s="317"/>
      <c r="BC9" s="317"/>
      <c r="BD9" s="317"/>
      <c r="BE9" s="317"/>
      <c r="BF9" s="317"/>
      <c r="BG9" s="317"/>
      <c r="BH9" s="317"/>
      <c r="BI9" s="317"/>
      <c r="BJ9" s="317"/>
      <c r="BK9" s="317"/>
      <c r="BL9" s="317"/>
      <c r="BM9" s="317"/>
      <c r="BN9" s="317"/>
      <c r="BO9" s="317"/>
      <c r="BP9" s="317"/>
      <c r="BQ9" s="317"/>
      <c r="BR9" s="317"/>
      <c r="BS9" s="317"/>
      <c r="BT9" s="317"/>
      <c r="BU9" s="317"/>
      <c r="BV9" s="317"/>
      <c r="BW9" s="317"/>
      <c r="BX9" s="317"/>
      <c r="BY9" s="320"/>
    </row>
    <row r="10" spans="1:77" x14ac:dyDescent="0.25">
      <c r="A10" s="123" t="s">
        <v>405</v>
      </c>
      <c r="B10" s="419">
        <v>44561</v>
      </c>
      <c r="D10" s="126" t="s">
        <v>5</v>
      </c>
      <c r="E10" s="258"/>
      <c r="F10" s="321"/>
      <c r="G10" s="321"/>
      <c r="H10" s="321"/>
      <c r="I10" s="321"/>
      <c r="J10" s="321"/>
      <c r="K10" s="321"/>
      <c r="L10" s="321"/>
      <c r="M10" s="321"/>
      <c r="N10" s="321"/>
      <c r="O10" s="321"/>
      <c r="P10" s="321"/>
      <c r="Q10" s="321"/>
      <c r="R10" s="321"/>
      <c r="S10" s="321"/>
      <c r="T10" s="321"/>
      <c r="U10" s="321"/>
      <c r="V10" s="321"/>
      <c r="W10" s="321"/>
      <c r="X10" s="321"/>
      <c r="Y10" s="321"/>
      <c r="Z10" s="321"/>
      <c r="AA10" s="321"/>
      <c r="AB10" s="321"/>
      <c r="AC10" s="321"/>
      <c r="AD10" s="321"/>
      <c r="AE10" s="321"/>
      <c r="AF10" s="321"/>
      <c r="AG10" s="321"/>
      <c r="AH10" s="321"/>
      <c r="AI10" s="321"/>
      <c r="AJ10" s="321"/>
      <c r="AK10" s="321"/>
      <c r="AL10" s="321"/>
      <c r="AM10" s="321"/>
      <c r="AN10" s="321"/>
      <c r="AO10" s="321"/>
      <c r="AP10" s="321"/>
      <c r="AQ10" s="321"/>
      <c r="AR10" s="321"/>
      <c r="AS10" s="321"/>
      <c r="AT10" s="321"/>
      <c r="AU10" s="321"/>
      <c r="AV10" s="321"/>
      <c r="AW10" s="321"/>
      <c r="AX10" s="321"/>
      <c r="AY10" s="321"/>
      <c r="AZ10" s="321"/>
      <c r="BA10" s="321"/>
      <c r="BB10" s="321"/>
      <c r="BC10" s="321"/>
      <c r="BD10" s="321"/>
      <c r="BE10" s="321"/>
      <c r="BF10" s="321"/>
      <c r="BG10" s="321"/>
      <c r="BH10" s="321"/>
      <c r="BI10" s="321"/>
      <c r="BJ10" s="321"/>
      <c r="BK10" s="321"/>
      <c r="BL10" s="321"/>
      <c r="BM10" s="321"/>
      <c r="BN10" s="321"/>
      <c r="BO10" s="321"/>
      <c r="BP10" s="321"/>
      <c r="BQ10" s="321"/>
      <c r="BR10" s="321"/>
      <c r="BS10" s="321"/>
      <c r="BT10" s="321"/>
      <c r="BU10" s="321"/>
      <c r="BV10" s="321"/>
      <c r="BW10" s="321"/>
      <c r="BX10" s="321"/>
      <c r="BY10" s="322"/>
    </row>
    <row r="11" spans="1:77" x14ac:dyDescent="0.25">
      <c r="A11" s="123" t="s">
        <v>371</v>
      </c>
      <c r="B11" s="324">
        <v>60</v>
      </c>
      <c r="D11" s="117" t="s">
        <v>13</v>
      </c>
      <c r="E11" s="323"/>
      <c r="F11" s="318"/>
      <c r="G11" s="318"/>
      <c r="H11" s="318"/>
      <c r="I11" s="318"/>
      <c r="J11" s="318"/>
      <c r="K11" s="318"/>
      <c r="L11" s="318"/>
      <c r="M11" s="318"/>
      <c r="N11" s="318"/>
      <c r="O11" s="318"/>
      <c r="P11" s="318"/>
      <c r="Q11" s="318"/>
      <c r="R11" s="318"/>
      <c r="S11" s="318"/>
      <c r="T11" s="318"/>
      <c r="U11" s="318"/>
      <c r="V11" s="318"/>
      <c r="W11" s="318"/>
      <c r="X11" s="318"/>
      <c r="Y11" s="318"/>
      <c r="Z11" s="318"/>
      <c r="AA11" s="318"/>
      <c r="AB11" s="318"/>
      <c r="AC11" s="318"/>
      <c r="AD11" s="318"/>
      <c r="AE11" s="318"/>
      <c r="AF11" s="318"/>
      <c r="AG11" s="318"/>
      <c r="AH11" s="318"/>
      <c r="AI11" s="318"/>
      <c r="AJ11" s="318"/>
      <c r="AK11" s="318"/>
      <c r="AL11" s="318"/>
      <c r="AM11" s="318"/>
      <c r="AN11" s="318"/>
      <c r="AO11" s="318"/>
      <c r="AP11" s="318"/>
      <c r="AQ11" s="318"/>
      <c r="AR11" s="318"/>
      <c r="AS11" s="318"/>
      <c r="AT11" s="318"/>
      <c r="AU11" s="318"/>
      <c r="AV11" s="318"/>
      <c r="AW11" s="318"/>
      <c r="AX11" s="318"/>
      <c r="AY11" s="318"/>
      <c r="AZ11" s="318"/>
      <c r="BA11" s="318"/>
      <c r="BB11" s="318"/>
      <c r="BC11" s="318"/>
      <c r="BD11" s="318"/>
      <c r="BE11" s="318"/>
      <c r="BF11" s="318"/>
      <c r="BG11" s="318"/>
      <c r="BH11" s="318"/>
      <c r="BI11" s="318"/>
      <c r="BJ11" s="318"/>
      <c r="BK11" s="318"/>
      <c r="BL11" s="318"/>
      <c r="BM11" s="318"/>
      <c r="BN11" s="318"/>
      <c r="BO11" s="318"/>
      <c r="BP11" s="318"/>
      <c r="BQ11" s="318"/>
      <c r="BR11" s="318"/>
      <c r="BS11" s="318"/>
      <c r="BT11" s="318"/>
      <c r="BU11" s="318"/>
      <c r="BV11" s="318"/>
      <c r="BW11" s="318"/>
      <c r="BX11" s="318"/>
      <c r="BY11" s="319"/>
    </row>
    <row r="12" spans="1:77" x14ac:dyDescent="0.25">
      <c r="A12" s="123" t="s">
        <v>82</v>
      </c>
      <c r="B12" s="127">
        <v>6.5000000000000002E-2</v>
      </c>
      <c r="D12" s="123" t="s">
        <v>21</v>
      </c>
      <c r="E12" s="251"/>
      <c r="F12" s="317"/>
      <c r="G12" s="317"/>
      <c r="H12" s="317"/>
      <c r="I12" s="317"/>
      <c r="J12" s="317"/>
      <c r="K12" s="317"/>
      <c r="L12" s="317"/>
      <c r="M12" s="317"/>
      <c r="N12" s="317"/>
      <c r="O12" s="317"/>
      <c r="P12" s="317"/>
      <c r="Q12" s="317"/>
      <c r="R12" s="317"/>
      <c r="S12" s="317"/>
      <c r="T12" s="317"/>
      <c r="U12" s="317"/>
      <c r="V12" s="317"/>
      <c r="W12" s="317"/>
      <c r="X12" s="317"/>
      <c r="Y12" s="317"/>
      <c r="Z12" s="317"/>
      <c r="AA12" s="317"/>
      <c r="AB12" s="317"/>
      <c r="AC12" s="317"/>
      <c r="AD12" s="317"/>
      <c r="AE12" s="317"/>
      <c r="AF12" s="317"/>
      <c r="AG12" s="317"/>
      <c r="AH12" s="317"/>
      <c r="AI12" s="317"/>
      <c r="AJ12" s="317"/>
      <c r="AK12" s="317"/>
      <c r="AL12" s="317"/>
      <c r="AM12" s="317"/>
      <c r="AN12" s="317"/>
      <c r="AO12" s="317"/>
      <c r="AP12" s="317"/>
      <c r="AQ12" s="317"/>
      <c r="AR12" s="317"/>
      <c r="AS12" s="317"/>
      <c r="AT12" s="317"/>
      <c r="AU12" s="317"/>
      <c r="AV12" s="317"/>
      <c r="AW12" s="317"/>
      <c r="AX12" s="317"/>
      <c r="AY12" s="317"/>
      <c r="AZ12" s="317"/>
      <c r="BA12" s="317"/>
      <c r="BB12" s="317"/>
      <c r="BC12" s="317"/>
      <c r="BD12" s="317"/>
      <c r="BE12" s="317"/>
      <c r="BF12" s="317"/>
      <c r="BG12" s="317"/>
      <c r="BH12" s="317"/>
      <c r="BI12" s="317"/>
      <c r="BJ12" s="317"/>
      <c r="BK12" s="317"/>
      <c r="BL12" s="317"/>
      <c r="BM12" s="317"/>
      <c r="BN12" s="317"/>
      <c r="BO12" s="317"/>
      <c r="BP12" s="317"/>
      <c r="BQ12" s="317"/>
      <c r="BR12" s="317"/>
      <c r="BS12" s="317"/>
      <c r="BT12" s="317"/>
      <c r="BU12" s="317"/>
      <c r="BV12" s="317"/>
      <c r="BW12" s="317"/>
      <c r="BX12" s="317"/>
      <c r="BY12" s="320"/>
    </row>
    <row r="13" spans="1:77" x14ac:dyDescent="0.25">
      <c r="A13" s="128" t="s">
        <v>212</v>
      </c>
      <c r="B13" s="129">
        <v>2.5000000000000001E-2</v>
      </c>
      <c r="D13" s="123" t="s">
        <v>125</v>
      </c>
      <c r="E13" s="251"/>
      <c r="F13" s="317"/>
      <c r="G13" s="317"/>
      <c r="H13" s="317"/>
      <c r="I13" s="317"/>
      <c r="J13" s="317"/>
      <c r="K13" s="317"/>
      <c r="L13" s="317"/>
      <c r="M13" s="317"/>
      <c r="N13" s="317"/>
      <c r="O13" s="317"/>
      <c r="P13" s="317"/>
      <c r="Q13" s="317"/>
      <c r="R13" s="317"/>
      <c r="S13" s="317"/>
      <c r="T13" s="317"/>
      <c r="U13" s="317"/>
      <c r="V13" s="317"/>
      <c r="W13" s="317"/>
      <c r="X13" s="317"/>
      <c r="Y13" s="317"/>
      <c r="Z13" s="317"/>
      <c r="AA13" s="317"/>
      <c r="AB13" s="317"/>
      <c r="AC13" s="317"/>
      <c r="AD13" s="317"/>
      <c r="AE13" s="317"/>
      <c r="AF13" s="317"/>
      <c r="AG13" s="317"/>
      <c r="AH13" s="317"/>
      <c r="AI13" s="317"/>
      <c r="AJ13" s="317"/>
      <c r="AK13" s="317"/>
      <c r="AL13" s="317"/>
      <c r="AM13" s="317"/>
      <c r="AN13" s="317"/>
      <c r="AO13" s="317"/>
      <c r="AP13" s="317"/>
      <c r="AQ13" s="317"/>
      <c r="AR13" s="317"/>
      <c r="AS13" s="317"/>
      <c r="AT13" s="317"/>
      <c r="AU13" s="317"/>
      <c r="AV13" s="317"/>
      <c r="AW13" s="317"/>
      <c r="AX13" s="317"/>
      <c r="AY13" s="317"/>
      <c r="AZ13" s="317"/>
      <c r="BA13" s="317"/>
      <c r="BB13" s="317"/>
      <c r="BC13" s="317"/>
      <c r="BD13" s="317"/>
      <c r="BE13" s="317"/>
      <c r="BF13" s="317"/>
      <c r="BG13" s="317"/>
      <c r="BH13" s="317"/>
      <c r="BI13" s="317"/>
      <c r="BJ13" s="317"/>
      <c r="BK13" s="317"/>
      <c r="BL13" s="317"/>
      <c r="BM13" s="317"/>
      <c r="BN13" s="317"/>
      <c r="BO13" s="317"/>
      <c r="BP13" s="317"/>
      <c r="BQ13" s="317"/>
      <c r="BR13" s="317"/>
      <c r="BS13" s="317"/>
      <c r="BT13" s="317"/>
      <c r="BU13" s="317"/>
      <c r="BV13" s="317"/>
      <c r="BW13" s="317"/>
      <c r="BX13" s="317"/>
      <c r="BY13" s="320"/>
    </row>
    <row r="14" spans="1:77" x14ac:dyDescent="0.25">
      <c r="D14" s="123" t="s">
        <v>126</v>
      </c>
      <c r="E14" s="251"/>
      <c r="F14" s="317"/>
      <c r="G14" s="317"/>
      <c r="H14" s="317"/>
      <c r="I14" s="317"/>
      <c r="J14" s="317"/>
      <c r="K14" s="317"/>
      <c r="L14" s="317"/>
      <c r="M14" s="317"/>
      <c r="N14" s="317"/>
      <c r="O14" s="317"/>
      <c r="P14" s="317"/>
      <c r="Q14" s="317"/>
      <c r="R14" s="317"/>
      <c r="S14" s="317"/>
      <c r="T14" s="317"/>
      <c r="U14" s="317"/>
      <c r="V14" s="317"/>
      <c r="W14" s="317"/>
      <c r="X14" s="317"/>
      <c r="Y14" s="317"/>
      <c r="Z14" s="317"/>
      <c r="AA14" s="317"/>
      <c r="AB14" s="317"/>
      <c r="AC14" s="317"/>
      <c r="AD14" s="317"/>
      <c r="AE14" s="317"/>
      <c r="AF14" s="317"/>
      <c r="AG14" s="317"/>
      <c r="AH14" s="317"/>
      <c r="AI14" s="317"/>
      <c r="AJ14" s="317"/>
      <c r="AK14" s="317"/>
      <c r="AL14" s="317"/>
      <c r="AM14" s="317"/>
      <c r="AN14" s="317"/>
      <c r="AO14" s="317"/>
      <c r="AP14" s="317"/>
      <c r="AQ14" s="317"/>
      <c r="AR14" s="317"/>
      <c r="AS14" s="317"/>
      <c r="AT14" s="317"/>
      <c r="AU14" s="317"/>
      <c r="AV14" s="317"/>
      <c r="AW14" s="317"/>
      <c r="AX14" s="317"/>
      <c r="AY14" s="317"/>
      <c r="AZ14" s="317"/>
      <c r="BA14" s="317"/>
      <c r="BB14" s="317"/>
      <c r="BC14" s="317"/>
      <c r="BD14" s="317"/>
      <c r="BE14" s="317"/>
      <c r="BF14" s="317"/>
      <c r="BG14" s="317"/>
      <c r="BH14" s="317"/>
      <c r="BI14" s="317"/>
      <c r="BJ14" s="317"/>
      <c r="BK14" s="317"/>
      <c r="BL14" s="317"/>
      <c r="BM14" s="317"/>
      <c r="BN14" s="317"/>
      <c r="BO14" s="317"/>
      <c r="BP14" s="317"/>
      <c r="BQ14" s="317"/>
      <c r="BR14" s="317"/>
      <c r="BS14" s="317"/>
      <c r="BT14" s="317"/>
      <c r="BU14" s="317"/>
      <c r="BV14" s="317"/>
      <c r="BW14" s="317"/>
      <c r="BX14" s="317"/>
      <c r="BY14" s="320"/>
    </row>
    <row r="15" spans="1:77" x14ac:dyDescent="0.25">
      <c r="A15" s="115" t="s">
        <v>198</v>
      </c>
      <c r="B15" s="116"/>
      <c r="D15" s="126" t="s">
        <v>199</v>
      </c>
      <c r="E15" s="259"/>
      <c r="F15" s="321"/>
      <c r="G15" s="321"/>
      <c r="H15" s="321"/>
      <c r="I15" s="321"/>
      <c r="J15" s="321"/>
      <c r="K15" s="321"/>
      <c r="L15" s="321"/>
      <c r="M15" s="321"/>
      <c r="N15" s="321"/>
      <c r="O15" s="321"/>
      <c r="P15" s="321"/>
      <c r="Q15" s="321"/>
      <c r="R15" s="321"/>
      <c r="S15" s="321"/>
      <c r="T15" s="321"/>
      <c r="U15" s="321"/>
      <c r="V15" s="321"/>
      <c r="W15" s="321"/>
      <c r="X15" s="321"/>
      <c r="Y15" s="321"/>
      <c r="Z15" s="321"/>
      <c r="AA15" s="321"/>
      <c r="AB15" s="321"/>
      <c r="AC15" s="321"/>
      <c r="AD15" s="321"/>
      <c r="AE15" s="321"/>
      <c r="AF15" s="321"/>
      <c r="AG15" s="321"/>
      <c r="AH15" s="321"/>
      <c r="AI15" s="321"/>
      <c r="AJ15" s="321"/>
      <c r="AK15" s="321"/>
      <c r="AL15" s="321"/>
      <c r="AM15" s="321"/>
      <c r="AN15" s="321"/>
      <c r="AO15" s="321"/>
      <c r="AP15" s="321"/>
      <c r="AQ15" s="321"/>
      <c r="AR15" s="321"/>
      <c r="AS15" s="321"/>
      <c r="AT15" s="321"/>
      <c r="AU15" s="321"/>
      <c r="AV15" s="321"/>
      <c r="AW15" s="321"/>
      <c r="AX15" s="321"/>
      <c r="AY15" s="321"/>
      <c r="AZ15" s="321"/>
      <c r="BA15" s="321"/>
      <c r="BB15" s="321"/>
      <c r="BC15" s="321"/>
      <c r="BD15" s="321"/>
      <c r="BE15" s="321"/>
      <c r="BF15" s="321"/>
      <c r="BG15" s="321"/>
      <c r="BH15" s="321"/>
      <c r="BI15" s="321"/>
      <c r="BJ15" s="321"/>
      <c r="BK15" s="321"/>
      <c r="BL15" s="321"/>
      <c r="BM15" s="321"/>
      <c r="BN15" s="321"/>
      <c r="BO15" s="321"/>
      <c r="BP15" s="321"/>
      <c r="BQ15" s="321"/>
      <c r="BR15" s="321"/>
      <c r="BS15" s="321"/>
      <c r="BT15" s="321"/>
      <c r="BU15" s="321"/>
      <c r="BV15" s="321"/>
      <c r="BW15" s="321"/>
      <c r="BX15" s="321"/>
      <c r="BY15" s="322"/>
    </row>
    <row r="16" spans="1:77" x14ac:dyDescent="0.25">
      <c r="A16" s="117" t="s">
        <v>18</v>
      </c>
      <c r="B16" s="118">
        <v>3000000</v>
      </c>
      <c r="C16" s="56"/>
      <c r="D16" s="123" t="s">
        <v>124</v>
      </c>
      <c r="E16" s="251"/>
      <c r="F16" s="317"/>
      <c r="G16" s="317"/>
      <c r="H16" s="317"/>
      <c r="I16" s="317"/>
      <c r="J16" s="317"/>
      <c r="K16" s="317"/>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7"/>
      <c r="AP16" s="317"/>
      <c r="AQ16" s="317"/>
      <c r="AR16" s="317"/>
      <c r="AS16" s="317"/>
      <c r="AT16" s="317"/>
      <c r="AU16" s="317"/>
      <c r="AV16" s="317"/>
      <c r="AW16" s="317"/>
      <c r="AX16" s="317"/>
      <c r="AY16" s="317"/>
      <c r="AZ16" s="317"/>
      <c r="BA16" s="317"/>
      <c r="BB16" s="317"/>
      <c r="BC16" s="317"/>
      <c r="BD16" s="317"/>
      <c r="BE16" s="317"/>
      <c r="BF16" s="317"/>
      <c r="BG16" s="317"/>
      <c r="BH16" s="317"/>
      <c r="BI16" s="317"/>
      <c r="BJ16" s="317"/>
      <c r="BK16" s="317"/>
      <c r="BL16" s="317"/>
      <c r="BM16" s="317"/>
      <c r="BN16" s="317"/>
      <c r="BO16" s="317"/>
      <c r="BP16" s="317"/>
      <c r="BQ16" s="317"/>
      <c r="BR16" s="317"/>
      <c r="BS16" s="317"/>
      <c r="BT16" s="317"/>
      <c r="BU16" s="317"/>
      <c r="BV16" s="317"/>
      <c r="BW16" s="317"/>
      <c r="BX16" s="317"/>
      <c r="BY16" s="320"/>
    </row>
    <row r="17" spans="1:77" x14ac:dyDescent="0.25">
      <c r="A17" s="123" t="s">
        <v>194</v>
      </c>
      <c r="B17" s="420">
        <f>B16/B2</f>
        <v>0.6</v>
      </c>
      <c r="D17" s="123" t="s">
        <v>127</v>
      </c>
      <c r="E17" s="251"/>
      <c r="F17" s="317"/>
      <c r="G17" s="317"/>
      <c r="H17" s="317"/>
      <c r="I17" s="317"/>
      <c r="J17" s="317"/>
      <c r="K17" s="317"/>
      <c r="L17" s="317"/>
      <c r="M17" s="317"/>
      <c r="N17" s="317"/>
      <c r="O17" s="317"/>
      <c r="P17" s="317"/>
      <c r="Q17" s="317"/>
      <c r="R17" s="317"/>
      <c r="S17" s="317"/>
      <c r="T17" s="317"/>
      <c r="U17" s="317"/>
      <c r="V17" s="317"/>
      <c r="W17" s="317"/>
      <c r="X17" s="317"/>
      <c r="Y17" s="317"/>
      <c r="Z17" s="317"/>
      <c r="AA17" s="317"/>
      <c r="AB17" s="317"/>
      <c r="AC17" s="317"/>
      <c r="AD17" s="317"/>
      <c r="AE17" s="317"/>
      <c r="AF17" s="317"/>
      <c r="AG17" s="317"/>
      <c r="AH17" s="317"/>
      <c r="AI17" s="317"/>
      <c r="AJ17" s="317"/>
      <c r="AK17" s="317"/>
      <c r="AL17" s="317"/>
      <c r="AM17" s="317"/>
      <c r="AN17" s="317"/>
      <c r="AO17" s="317"/>
      <c r="AP17" s="317"/>
      <c r="AQ17" s="317"/>
      <c r="AR17" s="317"/>
      <c r="AS17" s="317"/>
      <c r="AT17" s="317"/>
      <c r="AU17" s="317"/>
      <c r="AV17" s="317"/>
      <c r="AW17" s="317"/>
      <c r="AX17" s="317"/>
      <c r="AY17" s="317"/>
      <c r="AZ17" s="317"/>
      <c r="BA17" s="317"/>
      <c r="BB17" s="317"/>
      <c r="BC17" s="317"/>
      <c r="BD17" s="317"/>
      <c r="BE17" s="317"/>
      <c r="BF17" s="317"/>
      <c r="BG17" s="317"/>
      <c r="BH17" s="317"/>
      <c r="BI17" s="317"/>
      <c r="BJ17" s="317"/>
      <c r="BK17" s="317"/>
      <c r="BL17" s="317"/>
      <c r="BM17" s="317"/>
      <c r="BN17" s="317"/>
      <c r="BO17" s="317"/>
      <c r="BP17" s="317"/>
      <c r="BQ17" s="317"/>
      <c r="BR17" s="317"/>
      <c r="BS17" s="317"/>
      <c r="BT17" s="317"/>
      <c r="BU17" s="317"/>
      <c r="BV17" s="317"/>
      <c r="BW17" s="317"/>
      <c r="BX17" s="317"/>
      <c r="BY17" s="320"/>
    </row>
    <row r="18" spans="1:77" x14ac:dyDescent="0.25">
      <c r="A18" s="123" t="s">
        <v>25</v>
      </c>
      <c r="B18" s="127">
        <v>0.04</v>
      </c>
      <c r="D18" s="126" t="s">
        <v>201</v>
      </c>
      <c r="E18" s="259"/>
      <c r="F18" s="321"/>
      <c r="G18" s="321"/>
      <c r="H18" s="321"/>
      <c r="I18" s="321"/>
      <c r="J18" s="321"/>
      <c r="K18" s="321"/>
      <c r="L18" s="321"/>
      <c r="M18" s="321"/>
      <c r="N18" s="321"/>
      <c r="O18" s="321"/>
      <c r="P18" s="321"/>
      <c r="Q18" s="321"/>
      <c r="R18" s="321"/>
      <c r="S18" s="321"/>
      <c r="T18" s="321"/>
      <c r="U18" s="321"/>
      <c r="V18" s="321"/>
      <c r="W18" s="321"/>
      <c r="X18" s="321"/>
      <c r="Y18" s="321"/>
      <c r="Z18" s="321"/>
      <c r="AA18" s="321"/>
      <c r="AB18" s="321"/>
      <c r="AC18" s="321"/>
      <c r="AD18" s="321"/>
      <c r="AE18" s="321"/>
      <c r="AF18" s="321"/>
      <c r="AG18" s="321"/>
      <c r="AH18" s="321"/>
      <c r="AI18" s="321"/>
      <c r="AJ18" s="321"/>
      <c r="AK18" s="321"/>
      <c r="AL18" s="321"/>
      <c r="AM18" s="321"/>
      <c r="AN18" s="321"/>
      <c r="AO18" s="321"/>
      <c r="AP18" s="321"/>
      <c r="AQ18" s="321"/>
      <c r="AR18" s="321"/>
      <c r="AS18" s="321"/>
      <c r="AT18" s="321"/>
      <c r="AU18" s="321"/>
      <c r="AV18" s="321"/>
      <c r="AW18" s="321"/>
      <c r="AX18" s="321"/>
      <c r="AY18" s="321"/>
      <c r="AZ18" s="321"/>
      <c r="BA18" s="321"/>
      <c r="BB18" s="321"/>
      <c r="BC18" s="321"/>
      <c r="BD18" s="321"/>
      <c r="BE18" s="321"/>
      <c r="BF18" s="321"/>
      <c r="BG18" s="321"/>
      <c r="BH18" s="321"/>
      <c r="BI18" s="321"/>
      <c r="BJ18" s="321"/>
      <c r="BK18" s="321"/>
      <c r="BL18" s="321"/>
      <c r="BM18" s="321"/>
      <c r="BN18" s="321"/>
      <c r="BO18" s="321"/>
      <c r="BP18" s="321"/>
      <c r="BQ18" s="321"/>
      <c r="BR18" s="321"/>
      <c r="BS18" s="321"/>
      <c r="BT18" s="321"/>
      <c r="BU18" s="321"/>
      <c r="BV18" s="321"/>
      <c r="BW18" s="321"/>
      <c r="BX18" s="321"/>
      <c r="BY18" s="322"/>
    </row>
    <row r="19" spans="1:77" x14ac:dyDescent="0.25">
      <c r="A19" s="128" t="s">
        <v>12</v>
      </c>
      <c r="B19" s="130">
        <v>30</v>
      </c>
    </row>
    <row r="20" spans="1:77" x14ac:dyDescent="0.25">
      <c r="Q20" s="418"/>
      <c r="R20" s="418"/>
    </row>
    <row r="21" spans="1:77" x14ac:dyDescent="0.25">
      <c r="A21" s="115" t="s">
        <v>203</v>
      </c>
      <c r="B21" s="116"/>
    </row>
    <row r="22" spans="1:77" x14ac:dyDescent="0.25">
      <c r="A22" s="123" t="s">
        <v>15</v>
      </c>
      <c r="B22" s="31">
        <v>7.0000000000000007E-2</v>
      </c>
    </row>
    <row r="23" spans="1:77" x14ac:dyDescent="0.25">
      <c r="A23" s="123" t="s">
        <v>219</v>
      </c>
      <c r="B23" s="132"/>
    </row>
    <row r="24" spans="1:77" x14ac:dyDescent="0.25">
      <c r="A24" s="123" t="s">
        <v>220</v>
      </c>
      <c r="B24" s="135"/>
    </row>
    <row r="25" spans="1:77" x14ac:dyDescent="0.25">
      <c r="A25" s="128" t="s">
        <v>137</v>
      </c>
      <c r="B25" s="325"/>
    </row>
  </sheetData>
  <dataValidations count="1">
    <dataValidation type="list" allowBlank="1" showInputMessage="1" showErrorMessage="1" sqref="B7 B9">
      <formula1>"Monthly,Annually"</formula1>
    </dataValidation>
  </dataValidations>
  <pageMargins left="0.75" right="0.75" top="1" bottom="1" header="0.5" footer="0.5"/>
  <pageSetup scale="77" orientation="portrait" horizontalDpi="4294967292" verticalDpi="4294967292"/>
  <colBreaks count="1" manualBreakCount="1">
    <brk id="10" max="1048575"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5"/>
  <sheetViews>
    <sheetView showGridLines="0" zoomScale="120" zoomScaleNormal="120" zoomScalePageLayoutView="150" workbookViewId="0"/>
  </sheetViews>
  <sheetFormatPr defaultColWidth="10.875" defaultRowHeight="13.5" x14ac:dyDescent="0.25"/>
  <cols>
    <col min="1" max="1" width="27.75" style="23" bestFit="1" customWidth="1"/>
    <col min="2" max="2" width="10" style="23" bestFit="1" customWidth="1"/>
    <col min="3" max="3" width="8.875" style="23" customWidth="1"/>
    <col min="4" max="4" width="23.75" style="23" bestFit="1" customWidth="1"/>
    <col min="5" max="5" width="11" style="417" bestFit="1" customWidth="1"/>
    <col min="6" max="6" width="9.625" style="417" bestFit="1" customWidth="1"/>
    <col min="7" max="7" width="10.75" style="417" bestFit="1" customWidth="1"/>
    <col min="8" max="9" width="9.625" style="417" bestFit="1" customWidth="1"/>
    <col min="10" max="10" width="10.5" style="417" bestFit="1" customWidth="1"/>
    <col min="11" max="16384" width="10.875" style="417"/>
  </cols>
  <sheetData>
    <row r="1" spans="1:77" s="23" customFormat="1" x14ac:dyDescent="0.25">
      <c r="A1" s="115" t="s">
        <v>200</v>
      </c>
      <c r="B1" s="116"/>
      <c r="D1" s="97" t="s">
        <v>202</v>
      </c>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41"/>
    </row>
    <row r="2" spans="1:77" x14ac:dyDescent="0.25">
      <c r="A2" s="117" t="s">
        <v>13</v>
      </c>
      <c r="B2" s="118">
        <v>5000000</v>
      </c>
      <c r="C2" s="56"/>
      <c r="D2" s="311" t="s">
        <v>367</v>
      </c>
      <c r="E2" s="150">
        <f>B10</f>
        <v>44561</v>
      </c>
      <c r="F2" s="150">
        <f>EOMONTH(E2,1)</f>
        <v>44592</v>
      </c>
      <c r="G2" s="150">
        <f t="shared" ref="G2:BR2" si="0">EOMONTH(F2,1)</f>
        <v>44620</v>
      </c>
      <c r="H2" s="150">
        <f t="shared" si="0"/>
        <v>44651</v>
      </c>
      <c r="I2" s="150">
        <f t="shared" si="0"/>
        <v>44681</v>
      </c>
      <c r="J2" s="150">
        <f t="shared" si="0"/>
        <v>44712</v>
      </c>
      <c r="K2" s="150">
        <f t="shared" si="0"/>
        <v>44742</v>
      </c>
      <c r="L2" s="150">
        <f t="shared" si="0"/>
        <v>44773</v>
      </c>
      <c r="M2" s="150">
        <f t="shared" si="0"/>
        <v>44804</v>
      </c>
      <c r="N2" s="150">
        <f t="shared" si="0"/>
        <v>44834</v>
      </c>
      <c r="O2" s="150">
        <f t="shared" si="0"/>
        <v>44865</v>
      </c>
      <c r="P2" s="150">
        <f t="shared" si="0"/>
        <v>44895</v>
      </c>
      <c r="Q2" s="150">
        <f t="shared" si="0"/>
        <v>44926</v>
      </c>
      <c r="R2" s="150">
        <f t="shared" si="0"/>
        <v>44957</v>
      </c>
      <c r="S2" s="150">
        <f t="shared" si="0"/>
        <v>44985</v>
      </c>
      <c r="T2" s="150">
        <f t="shared" si="0"/>
        <v>45016</v>
      </c>
      <c r="U2" s="150">
        <f t="shared" si="0"/>
        <v>45046</v>
      </c>
      <c r="V2" s="150">
        <f t="shared" si="0"/>
        <v>45077</v>
      </c>
      <c r="W2" s="150">
        <f t="shared" si="0"/>
        <v>45107</v>
      </c>
      <c r="X2" s="150">
        <f t="shared" si="0"/>
        <v>45138</v>
      </c>
      <c r="Y2" s="150">
        <f t="shared" si="0"/>
        <v>45169</v>
      </c>
      <c r="Z2" s="150">
        <f t="shared" si="0"/>
        <v>45199</v>
      </c>
      <c r="AA2" s="150">
        <f t="shared" si="0"/>
        <v>45230</v>
      </c>
      <c r="AB2" s="150">
        <f t="shared" si="0"/>
        <v>45260</v>
      </c>
      <c r="AC2" s="150">
        <f t="shared" si="0"/>
        <v>45291</v>
      </c>
      <c r="AD2" s="150">
        <f t="shared" si="0"/>
        <v>45322</v>
      </c>
      <c r="AE2" s="150">
        <f t="shared" si="0"/>
        <v>45351</v>
      </c>
      <c r="AF2" s="150">
        <f t="shared" si="0"/>
        <v>45382</v>
      </c>
      <c r="AG2" s="150">
        <f t="shared" si="0"/>
        <v>45412</v>
      </c>
      <c r="AH2" s="150">
        <f t="shared" si="0"/>
        <v>45443</v>
      </c>
      <c r="AI2" s="150">
        <f t="shared" si="0"/>
        <v>45473</v>
      </c>
      <c r="AJ2" s="150">
        <f t="shared" si="0"/>
        <v>45504</v>
      </c>
      <c r="AK2" s="150">
        <f t="shared" si="0"/>
        <v>45535</v>
      </c>
      <c r="AL2" s="150">
        <f t="shared" si="0"/>
        <v>45565</v>
      </c>
      <c r="AM2" s="150">
        <f t="shared" si="0"/>
        <v>45596</v>
      </c>
      <c r="AN2" s="150">
        <f t="shared" si="0"/>
        <v>45626</v>
      </c>
      <c r="AO2" s="150">
        <f t="shared" si="0"/>
        <v>45657</v>
      </c>
      <c r="AP2" s="150">
        <f t="shared" si="0"/>
        <v>45688</v>
      </c>
      <c r="AQ2" s="150">
        <f t="shared" si="0"/>
        <v>45716</v>
      </c>
      <c r="AR2" s="150">
        <f t="shared" si="0"/>
        <v>45747</v>
      </c>
      <c r="AS2" s="150">
        <f t="shared" si="0"/>
        <v>45777</v>
      </c>
      <c r="AT2" s="150">
        <f t="shared" si="0"/>
        <v>45808</v>
      </c>
      <c r="AU2" s="150">
        <f t="shared" si="0"/>
        <v>45838</v>
      </c>
      <c r="AV2" s="150">
        <f t="shared" si="0"/>
        <v>45869</v>
      </c>
      <c r="AW2" s="150">
        <f t="shared" si="0"/>
        <v>45900</v>
      </c>
      <c r="AX2" s="150">
        <f t="shared" si="0"/>
        <v>45930</v>
      </c>
      <c r="AY2" s="150">
        <f t="shared" si="0"/>
        <v>45961</v>
      </c>
      <c r="AZ2" s="150">
        <f t="shared" si="0"/>
        <v>45991</v>
      </c>
      <c r="BA2" s="150">
        <f t="shared" si="0"/>
        <v>46022</v>
      </c>
      <c r="BB2" s="150">
        <f t="shared" si="0"/>
        <v>46053</v>
      </c>
      <c r="BC2" s="150">
        <f t="shared" si="0"/>
        <v>46081</v>
      </c>
      <c r="BD2" s="150">
        <f t="shared" si="0"/>
        <v>46112</v>
      </c>
      <c r="BE2" s="150">
        <f t="shared" si="0"/>
        <v>46142</v>
      </c>
      <c r="BF2" s="150">
        <f t="shared" si="0"/>
        <v>46173</v>
      </c>
      <c r="BG2" s="150">
        <f t="shared" si="0"/>
        <v>46203</v>
      </c>
      <c r="BH2" s="150">
        <f t="shared" si="0"/>
        <v>46234</v>
      </c>
      <c r="BI2" s="150">
        <f t="shared" si="0"/>
        <v>46265</v>
      </c>
      <c r="BJ2" s="150">
        <f t="shared" si="0"/>
        <v>46295</v>
      </c>
      <c r="BK2" s="150">
        <f t="shared" si="0"/>
        <v>46326</v>
      </c>
      <c r="BL2" s="150">
        <f t="shared" si="0"/>
        <v>46356</v>
      </c>
      <c r="BM2" s="150">
        <f t="shared" si="0"/>
        <v>46387</v>
      </c>
      <c r="BN2" s="150">
        <f t="shared" si="0"/>
        <v>46418</v>
      </c>
      <c r="BO2" s="150">
        <f t="shared" si="0"/>
        <v>46446</v>
      </c>
      <c r="BP2" s="150">
        <f t="shared" si="0"/>
        <v>46477</v>
      </c>
      <c r="BQ2" s="150">
        <f t="shared" si="0"/>
        <v>46507</v>
      </c>
      <c r="BR2" s="150">
        <f t="shared" si="0"/>
        <v>46538</v>
      </c>
      <c r="BS2" s="150">
        <f t="shared" ref="BS2:BY2" si="1">EOMONTH(BR2,1)</f>
        <v>46568</v>
      </c>
      <c r="BT2" s="150">
        <f t="shared" si="1"/>
        <v>46599</v>
      </c>
      <c r="BU2" s="150">
        <f t="shared" si="1"/>
        <v>46630</v>
      </c>
      <c r="BV2" s="150">
        <f t="shared" si="1"/>
        <v>46660</v>
      </c>
      <c r="BW2" s="150">
        <f t="shared" si="1"/>
        <v>46691</v>
      </c>
      <c r="BX2" s="150">
        <f t="shared" si="1"/>
        <v>46721</v>
      </c>
      <c r="BY2" s="151">
        <f t="shared" si="1"/>
        <v>46752</v>
      </c>
    </row>
    <row r="3" spans="1:77" x14ac:dyDescent="0.25">
      <c r="A3" s="123" t="s">
        <v>213</v>
      </c>
      <c r="B3" s="124">
        <v>0.01</v>
      </c>
      <c r="D3" s="312" t="s">
        <v>94</v>
      </c>
      <c r="E3" s="310">
        <v>0</v>
      </c>
      <c r="F3" s="314">
        <f>E3+1</f>
        <v>1</v>
      </c>
      <c r="G3" s="314">
        <f>F3+1</f>
        <v>2</v>
      </c>
      <c r="H3" s="314">
        <f t="shared" ref="H3:BS3" si="2">G3+1</f>
        <v>3</v>
      </c>
      <c r="I3" s="314">
        <f t="shared" si="2"/>
        <v>4</v>
      </c>
      <c r="J3" s="314">
        <f t="shared" si="2"/>
        <v>5</v>
      </c>
      <c r="K3" s="314">
        <f t="shared" si="2"/>
        <v>6</v>
      </c>
      <c r="L3" s="314">
        <f t="shared" si="2"/>
        <v>7</v>
      </c>
      <c r="M3" s="314">
        <f t="shared" si="2"/>
        <v>8</v>
      </c>
      <c r="N3" s="314">
        <f t="shared" si="2"/>
        <v>9</v>
      </c>
      <c r="O3" s="314">
        <f t="shared" si="2"/>
        <v>10</v>
      </c>
      <c r="P3" s="314">
        <f t="shared" si="2"/>
        <v>11</v>
      </c>
      <c r="Q3" s="314">
        <f t="shared" si="2"/>
        <v>12</v>
      </c>
      <c r="R3" s="314">
        <f t="shared" si="2"/>
        <v>13</v>
      </c>
      <c r="S3" s="314">
        <f t="shared" si="2"/>
        <v>14</v>
      </c>
      <c r="T3" s="314">
        <f t="shared" si="2"/>
        <v>15</v>
      </c>
      <c r="U3" s="314">
        <f t="shared" si="2"/>
        <v>16</v>
      </c>
      <c r="V3" s="314">
        <f t="shared" si="2"/>
        <v>17</v>
      </c>
      <c r="W3" s="314">
        <f t="shared" si="2"/>
        <v>18</v>
      </c>
      <c r="X3" s="314">
        <f t="shared" si="2"/>
        <v>19</v>
      </c>
      <c r="Y3" s="314">
        <f t="shared" si="2"/>
        <v>20</v>
      </c>
      <c r="Z3" s="314">
        <f t="shared" si="2"/>
        <v>21</v>
      </c>
      <c r="AA3" s="314">
        <f t="shared" si="2"/>
        <v>22</v>
      </c>
      <c r="AB3" s="314">
        <f t="shared" si="2"/>
        <v>23</v>
      </c>
      <c r="AC3" s="314">
        <f t="shared" si="2"/>
        <v>24</v>
      </c>
      <c r="AD3" s="314">
        <f t="shared" si="2"/>
        <v>25</v>
      </c>
      <c r="AE3" s="314">
        <f t="shared" si="2"/>
        <v>26</v>
      </c>
      <c r="AF3" s="314">
        <f t="shared" si="2"/>
        <v>27</v>
      </c>
      <c r="AG3" s="314">
        <f t="shared" si="2"/>
        <v>28</v>
      </c>
      <c r="AH3" s="314">
        <f t="shared" si="2"/>
        <v>29</v>
      </c>
      <c r="AI3" s="314">
        <f t="shared" si="2"/>
        <v>30</v>
      </c>
      <c r="AJ3" s="314">
        <f t="shared" si="2"/>
        <v>31</v>
      </c>
      <c r="AK3" s="314">
        <f t="shared" si="2"/>
        <v>32</v>
      </c>
      <c r="AL3" s="314">
        <f t="shared" si="2"/>
        <v>33</v>
      </c>
      <c r="AM3" s="314">
        <f t="shared" si="2"/>
        <v>34</v>
      </c>
      <c r="AN3" s="314">
        <f t="shared" si="2"/>
        <v>35</v>
      </c>
      <c r="AO3" s="314">
        <f t="shared" si="2"/>
        <v>36</v>
      </c>
      <c r="AP3" s="314">
        <f t="shared" si="2"/>
        <v>37</v>
      </c>
      <c r="AQ3" s="314">
        <f t="shared" si="2"/>
        <v>38</v>
      </c>
      <c r="AR3" s="314">
        <f t="shared" si="2"/>
        <v>39</v>
      </c>
      <c r="AS3" s="314">
        <f t="shared" si="2"/>
        <v>40</v>
      </c>
      <c r="AT3" s="314">
        <f t="shared" si="2"/>
        <v>41</v>
      </c>
      <c r="AU3" s="314">
        <f t="shared" si="2"/>
        <v>42</v>
      </c>
      <c r="AV3" s="314">
        <f t="shared" si="2"/>
        <v>43</v>
      </c>
      <c r="AW3" s="314">
        <f t="shared" si="2"/>
        <v>44</v>
      </c>
      <c r="AX3" s="314">
        <f t="shared" si="2"/>
        <v>45</v>
      </c>
      <c r="AY3" s="314">
        <f t="shared" si="2"/>
        <v>46</v>
      </c>
      <c r="AZ3" s="314">
        <f t="shared" si="2"/>
        <v>47</v>
      </c>
      <c r="BA3" s="314">
        <f t="shared" si="2"/>
        <v>48</v>
      </c>
      <c r="BB3" s="314">
        <f t="shared" si="2"/>
        <v>49</v>
      </c>
      <c r="BC3" s="314">
        <f t="shared" si="2"/>
        <v>50</v>
      </c>
      <c r="BD3" s="314">
        <f t="shared" si="2"/>
        <v>51</v>
      </c>
      <c r="BE3" s="314">
        <f t="shared" si="2"/>
        <v>52</v>
      </c>
      <c r="BF3" s="314">
        <f t="shared" si="2"/>
        <v>53</v>
      </c>
      <c r="BG3" s="314">
        <f t="shared" si="2"/>
        <v>54</v>
      </c>
      <c r="BH3" s="314">
        <f t="shared" si="2"/>
        <v>55</v>
      </c>
      <c r="BI3" s="314">
        <f t="shared" si="2"/>
        <v>56</v>
      </c>
      <c r="BJ3" s="314">
        <f t="shared" si="2"/>
        <v>57</v>
      </c>
      <c r="BK3" s="314">
        <f t="shared" si="2"/>
        <v>58</v>
      </c>
      <c r="BL3" s="314">
        <f t="shared" si="2"/>
        <v>59</v>
      </c>
      <c r="BM3" s="314">
        <f t="shared" si="2"/>
        <v>60</v>
      </c>
      <c r="BN3" s="314">
        <f t="shared" si="2"/>
        <v>61</v>
      </c>
      <c r="BO3" s="314">
        <f t="shared" si="2"/>
        <v>62</v>
      </c>
      <c r="BP3" s="314">
        <f t="shared" si="2"/>
        <v>63</v>
      </c>
      <c r="BQ3" s="314">
        <f t="shared" si="2"/>
        <v>64</v>
      </c>
      <c r="BR3" s="314">
        <f t="shared" si="2"/>
        <v>65</v>
      </c>
      <c r="BS3" s="314">
        <f t="shared" si="2"/>
        <v>66</v>
      </c>
      <c r="BT3" s="314">
        <f t="shared" ref="BT3:BY3" si="3">BS3+1</f>
        <v>67</v>
      </c>
      <c r="BU3" s="314">
        <f t="shared" si="3"/>
        <v>68</v>
      </c>
      <c r="BV3" s="314">
        <f t="shared" si="3"/>
        <v>69</v>
      </c>
      <c r="BW3" s="314">
        <f t="shared" si="3"/>
        <v>70</v>
      </c>
      <c r="BX3" s="314">
        <f t="shared" si="3"/>
        <v>71</v>
      </c>
      <c r="BY3" s="315">
        <f t="shared" si="3"/>
        <v>72</v>
      </c>
    </row>
    <row r="4" spans="1:77" x14ac:dyDescent="0.25">
      <c r="A4" s="123" t="s">
        <v>36</v>
      </c>
      <c r="B4" s="124">
        <v>0.06</v>
      </c>
      <c r="D4" s="313" t="s">
        <v>40</v>
      </c>
      <c r="E4" s="153">
        <v>0</v>
      </c>
      <c r="F4" s="154">
        <f>ROUNDUP(F3/12,0)</f>
        <v>1</v>
      </c>
      <c r="G4" s="154">
        <f t="shared" ref="G4:BR4" si="4">ROUNDUP(G3/12,0)</f>
        <v>1</v>
      </c>
      <c r="H4" s="154">
        <f t="shared" si="4"/>
        <v>1</v>
      </c>
      <c r="I4" s="154">
        <f t="shared" si="4"/>
        <v>1</v>
      </c>
      <c r="J4" s="154">
        <f t="shared" si="4"/>
        <v>1</v>
      </c>
      <c r="K4" s="154">
        <f t="shared" si="4"/>
        <v>1</v>
      </c>
      <c r="L4" s="154">
        <f t="shared" si="4"/>
        <v>1</v>
      </c>
      <c r="M4" s="154">
        <f t="shared" si="4"/>
        <v>1</v>
      </c>
      <c r="N4" s="154">
        <f t="shared" si="4"/>
        <v>1</v>
      </c>
      <c r="O4" s="154">
        <f t="shared" si="4"/>
        <v>1</v>
      </c>
      <c r="P4" s="154">
        <f t="shared" si="4"/>
        <v>1</v>
      </c>
      <c r="Q4" s="154">
        <f t="shared" si="4"/>
        <v>1</v>
      </c>
      <c r="R4" s="154">
        <f t="shared" si="4"/>
        <v>2</v>
      </c>
      <c r="S4" s="154">
        <f t="shared" si="4"/>
        <v>2</v>
      </c>
      <c r="T4" s="154">
        <f t="shared" si="4"/>
        <v>2</v>
      </c>
      <c r="U4" s="154">
        <f t="shared" si="4"/>
        <v>2</v>
      </c>
      <c r="V4" s="154">
        <f t="shared" si="4"/>
        <v>2</v>
      </c>
      <c r="W4" s="154">
        <f t="shared" si="4"/>
        <v>2</v>
      </c>
      <c r="X4" s="154">
        <f t="shared" si="4"/>
        <v>2</v>
      </c>
      <c r="Y4" s="154">
        <f t="shared" si="4"/>
        <v>2</v>
      </c>
      <c r="Z4" s="154">
        <f t="shared" si="4"/>
        <v>2</v>
      </c>
      <c r="AA4" s="154">
        <f t="shared" si="4"/>
        <v>2</v>
      </c>
      <c r="AB4" s="154">
        <f t="shared" si="4"/>
        <v>2</v>
      </c>
      <c r="AC4" s="154">
        <f t="shared" si="4"/>
        <v>2</v>
      </c>
      <c r="AD4" s="154">
        <f t="shared" si="4"/>
        <v>3</v>
      </c>
      <c r="AE4" s="154">
        <f t="shared" si="4"/>
        <v>3</v>
      </c>
      <c r="AF4" s="154">
        <f t="shared" si="4"/>
        <v>3</v>
      </c>
      <c r="AG4" s="154">
        <f t="shared" si="4"/>
        <v>3</v>
      </c>
      <c r="AH4" s="154">
        <f t="shared" si="4"/>
        <v>3</v>
      </c>
      <c r="AI4" s="154">
        <f t="shared" si="4"/>
        <v>3</v>
      </c>
      <c r="AJ4" s="154">
        <f t="shared" si="4"/>
        <v>3</v>
      </c>
      <c r="AK4" s="154">
        <f t="shared" si="4"/>
        <v>3</v>
      </c>
      <c r="AL4" s="154">
        <f t="shared" si="4"/>
        <v>3</v>
      </c>
      <c r="AM4" s="154">
        <f t="shared" si="4"/>
        <v>3</v>
      </c>
      <c r="AN4" s="154">
        <f t="shared" si="4"/>
        <v>3</v>
      </c>
      <c r="AO4" s="154">
        <f t="shared" si="4"/>
        <v>3</v>
      </c>
      <c r="AP4" s="154">
        <f t="shared" si="4"/>
        <v>4</v>
      </c>
      <c r="AQ4" s="154">
        <f t="shared" si="4"/>
        <v>4</v>
      </c>
      <c r="AR4" s="154">
        <f t="shared" si="4"/>
        <v>4</v>
      </c>
      <c r="AS4" s="154">
        <f t="shared" si="4"/>
        <v>4</v>
      </c>
      <c r="AT4" s="154">
        <f t="shared" si="4"/>
        <v>4</v>
      </c>
      <c r="AU4" s="154">
        <f t="shared" si="4"/>
        <v>4</v>
      </c>
      <c r="AV4" s="154">
        <f t="shared" si="4"/>
        <v>4</v>
      </c>
      <c r="AW4" s="154">
        <f t="shared" si="4"/>
        <v>4</v>
      </c>
      <c r="AX4" s="154">
        <f t="shared" si="4"/>
        <v>4</v>
      </c>
      <c r="AY4" s="154">
        <f t="shared" si="4"/>
        <v>4</v>
      </c>
      <c r="AZ4" s="154">
        <f t="shared" si="4"/>
        <v>4</v>
      </c>
      <c r="BA4" s="154">
        <f t="shared" si="4"/>
        <v>4</v>
      </c>
      <c r="BB4" s="154">
        <f t="shared" si="4"/>
        <v>5</v>
      </c>
      <c r="BC4" s="154">
        <f t="shared" si="4"/>
        <v>5</v>
      </c>
      <c r="BD4" s="154">
        <f t="shared" si="4"/>
        <v>5</v>
      </c>
      <c r="BE4" s="154">
        <f t="shared" si="4"/>
        <v>5</v>
      </c>
      <c r="BF4" s="154">
        <f t="shared" si="4"/>
        <v>5</v>
      </c>
      <c r="BG4" s="154">
        <f t="shared" si="4"/>
        <v>5</v>
      </c>
      <c r="BH4" s="154">
        <f t="shared" si="4"/>
        <v>5</v>
      </c>
      <c r="BI4" s="154">
        <f t="shared" si="4"/>
        <v>5</v>
      </c>
      <c r="BJ4" s="154">
        <f t="shared" si="4"/>
        <v>5</v>
      </c>
      <c r="BK4" s="154">
        <f t="shared" si="4"/>
        <v>5</v>
      </c>
      <c r="BL4" s="154">
        <f t="shared" si="4"/>
        <v>5</v>
      </c>
      <c r="BM4" s="154">
        <f t="shared" si="4"/>
        <v>5</v>
      </c>
      <c r="BN4" s="154">
        <f t="shared" si="4"/>
        <v>6</v>
      </c>
      <c r="BO4" s="154">
        <f t="shared" si="4"/>
        <v>6</v>
      </c>
      <c r="BP4" s="154">
        <f t="shared" si="4"/>
        <v>6</v>
      </c>
      <c r="BQ4" s="154">
        <f t="shared" si="4"/>
        <v>6</v>
      </c>
      <c r="BR4" s="154">
        <f t="shared" si="4"/>
        <v>6</v>
      </c>
      <c r="BS4" s="154">
        <f t="shared" ref="BS4:BY4" si="5">ROUNDUP(BS3/12,0)</f>
        <v>6</v>
      </c>
      <c r="BT4" s="154">
        <f t="shared" si="5"/>
        <v>6</v>
      </c>
      <c r="BU4" s="154">
        <f t="shared" si="5"/>
        <v>6</v>
      </c>
      <c r="BV4" s="154">
        <f t="shared" si="5"/>
        <v>6</v>
      </c>
      <c r="BW4" s="154">
        <f t="shared" si="5"/>
        <v>6</v>
      </c>
      <c r="BX4" s="154">
        <f t="shared" si="5"/>
        <v>6</v>
      </c>
      <c r="BY4" s="155">
        <f t="shared" si="5"/>
        <v>6</v>
      </c>
    </row>
    <row r="5" spans="1:77" x14ac:dyDescent="0.25">
      <c r="A5" s="123" t="s">
        <v>196</v>
      </c>
      <c r="B5" s="125">
        <v>5000</v>
      </c>
      <c r="D5" s="123" t="s">
        <v>79</v>
      </c>
      <c r="E5" s="316">
        <v>0</v>
      </c>
      <c r="F5" s="317">
        <f>IF($B$7="Monthly",$B$2*$B$4/12*(1+$B$6)^((F3-1)/12),$B$2*$B$4/12*(1+$B$6)^(F4-1))</f>
        <v>25000</v>
      </c>
      <c r="G5" s="317">
        <f t="shared" ref="G5:BR5" si="6">IF($B$7="Monthly",$B$2*$B$4/12*(1+$B$6)^((G3-1)/12),$B$2*$B$4/12*(1+$B$6)^(G4-1))</f>
        <v>25000</v>
      </c>
      <c r="H5" s="317">
        <f t="shared" si="6"/>
        <v>25000</v>
      </c>
      <c r="I5" s="317">
        <f t="shared" si="6"/>
        <v>25000</v>
      </c>
      <c r="J5" s="318">
        <f t="shared" si="6"/>
        <v>25000</v>
      </c>
      <c r="K5" s="318">
        <f t="shared" si="6"/>
        <v>25000</v>
      </c>
      <c r="L5" s="318">
        <f t="shared" si="6"/>
        <v>25000</v>
      </c>
      <c r="M5" s="318">
        <f t="shared" si="6"/>
        <v>25000</v>
      </c>
      <c r="N5" s="318">
        <f t="shared" si="6"/>
        <v>25000</v>
      </c>
      <c r="O5" s="318">
        <f t="shared" si="6"/>
        <v>25000</v>
      </c>
      <c r="P5" s="318">
        <f t="shared" si="6"/>
        <v>25000</v>
      </c>
      <c r="Q5" s="318">
        <f t="shared" si="6"/>
        <v>25000</v>
      </c>
      <c r="R5" s="318">
        <f t="shared" si="6"/>
        <v>26000</v>
      </c>
      <c r="S5" s="318">
        <f t="shared" si="6"/>
        <v>26000</v>
      </c>
      <c r="T5" s="318">
        <f t="shared" si="6"/>
        <v>26000</v>
      </c>
      <c r="U5" s="318">
        <f t="shared" si="6"/>
        <v>26000</v>
      </c>
      <c r="V5" s="318">
        <f t="shared" si="6"/>
        <v>26000</v>
      </c>
      <c r="W5" s="318">
        <f t="shared" si="6"/>
        <v>26000</v>
      </c>
      <c r="X5" s="318">
        <f t="shared" si="6"/>
        <v>26000</v>
      </c>
      <c r="Y5" s="318">
        <f t="shared" si="6"/>
        <v>26000</v>
      </c>
      <c r="Z5" s="318">
        <f t="shared" si="6"/>
        <v>26000</v>
      </c>
      <c r="AA5" s="318">
        <f t="shared" si="6"/>
        <v>26000</v>
      </c>
      <c r="AB5" s="318">
        <f t="shared" si="6"/>
        <v>26000</v>
      </c>
      <c r="AC5" s="318">
        <f t="shared" si="6"/>
        <v>26000</v>
      </c>
      <c r="AD5" s="318">
        <f t="shared" si="6"/>
        <v>27040.000000000004</v>
      </c>
      <c r="AE5" s="318">
        <f t="shared" si="6"/>
        <v>27040.000000000004</v>
      </c>
      <c r="AF5" s="318">
        <f t="shared" si="6"/>
        <v>27040.000000000004</v>
      </c>
      <c r="AG5" s="318">
        <f t="shared" si="6"/>
        <v>27040.000000000004</v>
      </c>
      <c r="AH5" s="318">
        <f t="shared" si="6"/>
        <v>27040.000000000004</v>
      </c>
      <c r="AI5" s="318">
        <f t="shared" si="6"/>
        <v>27040.000000000004</v>
      </c>
      <c r="AJ5" s="318">
        <f t="shared" si="6"/>
        <v>27040.000000000004</v>
      </c>
      <c r="AK5" s="318">
        <f t="shared" si="6"/>
        <v>27040.000000000004</v>
      </c>
      <c r="AL5" s="318">
        <f t="shared" si="6"/>
        <v>27040.000000000004</v>
      </c>
      <c r="AM5" s="318">
        <f t="shared" si="6"/>
        <v>27040.000000000004</v>
      </c>
      <c r="AN5" s="318">
        <f t="shared" si="6"/>
        <v>27040.000000000004</v>
      </c>
      <c r="AO5" s="318">
        <f t="shared" si="6"/>
        <v>27040.000000000004</v>
      </c>
      <c r="AP5" s="318">
        <f t="shared" si="6"/>
        <v>28121.600000000002</v>
      </c>
      <c r="AQ5" s="318">
        <f t="shared" si="6"/>
        <v>28121.600000000002</v>
      </c>
      <c r="AR5" s="318">
        <f t="shared" si="6"/>
        <v>28121.600000000002</v>
      </c>
      <c r="AS5" s="318">
        <f t="shared" si="6"/>
        <v>28121.600000000002</v>
      </c>
      <c r="AT5" s="318">
        <f t="shared" si="6"/>
        <v>28121.600000000002</v>
      </c>
      <c r="AU5" s="318">
        <f t="shared" si="6"/>
        <v>28121.600000000002</v>
      </c>
      <c r="AV5" s="318">
        <f t="shared" si="6"/>
        <v>28121.600000000002</v>
      </c>
      <c r="AW5" s="318">
        <f t="shared" si="6"/>
        <v>28121.600000000002</v>
      </c>
      <c r="AX5" s="318">
        <f t="shared" si="6"/>
        <v>28121.600000000002</v>
      </c>
      <c r="AY5" s="318">
        <f t="shared" si="6"/>
        <v>28121.600000000002</v>
      </c>
      <c r="AZ5" s="318">
        <f t="shared" si="6"/>
        <v>28121.600000000002</v>
      </c>
      <c r="BA5" s="318">
        <f t="shared" si="6"/>
        <v>28121.600000000002</v>
      </c>
      <c r="BB5" s="318">
        <f t="shared" si="6"/>
        <v>29246.464000000004</v>
      </c>
      <c r="BC5" s="318">
        <f t="shared" si="6"/>
        <v>29246.464000000004</v>
      </c>
      <c r="BD5" s="318">
        <f t="shared" si="6"/>
        <v>29246.464000000004</v>
      </c>
      <c r="BE5" s="318">
        <f t="shared" si="6"/>
        <v>29246.464000000004</v>
      </c>
      <c r="BF5" s="318">
        <f t="shared" si="6"/>
        <v>29246.464000000004</v>
      </c>
      <c r="BG5" s="318">
        <f t="shared" si="6"/>
        <v>29246.464000000004</v>
      </c>
      <c r="BH5" s="318">
        <f t="shared" si="6"/>
        <v>29246.464000000004</v>
      </c>
      <c r="BI5" s="318">
        <f t="shared" si="6"/>
        <v>29246.464000000004</v>
      </c>
      <c r="BJ5" s="318">
        <f t="shared" si="6"/>
        <v>29246.464000000004</v>
      </c>
      <c r="BK5" s="318">
        <f t="shared" si="6"/>
        <v>29246.464000000004</v>
      </c>
      <c r="BL5" s="318">
        <f t="shared" si="6"/>
        <v>29246.464000000004</v>
      </c>
      <c r="BM5" s="318">
        <f t="shared" si="6"/>
        <v>29246.464000000004</v>
      </c>
      <c r="BN5" s="318">
        <f t="shared" si="6"/>
        <v>30416.322560000008</v>
      </c>
      <c r="BO5" s="318">
        <f t="shared" si="6"/>
        <v>30416.322560000008</v>
      </c>
      <c r="BP5" s="318">
        <f t="shared" si="6"/>
        <v>30416.322560000008</v>
      </c>
      <c r="BQ5" s="318">
        <f t="shared" si="6"/>
        <v>30416.322560000008</v>
      </c>
      <c r="BR5" s="318">
        <f t="shared" si="6"/>
        <v>30416.322560000008</v>
      </c>
      <c r="BS5" s="318">
        <f t="shared" ref="BS5:BY5" si="7">IF($B$7="Monthly",$B$2*$B$4/12*(1+$B$6)^((BS3-1)/12),$B$2*$B$4/12*(1+$B$6)^(BS4-1))</f>
        <v>30416.322560000008</v>
      </c>
      <c r="BT5" s="318">
        <f t="shared" si="7"/>
        <v>30416.322560000008</v>
      </c>
      <c r="BU5" s="318">
        <f t="shared" si="7"/>
        <v>30416.322560000008</v>
      </c>
      <c r="BV5" s="318">
        <f t="shared" si="7"/>
        <v>30416.322560000008</v>
      </c>
      <c r="BW5" s="318">
        <f t="shared" si="7"/>
        <v>30416.322560000008</v>
      </c>
      <c r="BX5" s="318">
        <f t="shared" si="7"/>
        <v>30416.322560000008</v>
      </c>
      <c r="BY5" s="319">
        <f t="shared" si="7"/>
        <v>30416.322560000008</v>
      </c>
    </row>
    <row r="6" spans="1:77" x14ac:dyDescent="0.25">
      <c r="A6" s="123" t="s">
        <v>195</v>
      </c>
      <c r="B6" s="127">
        <v>0.04</v>
      </c>
      <c r="D6" s="123" t="s">
        <v>186</v>
      </c>
      <c r="E6" s="316">
        <v>0</v>
      </c>
      <c r="F6" s="317">
        <f>IF($B$9="Monthly",-$B$5/12*(1+$B$8)^((F3-1)/12),-$B$5/12*(1+$B$8)^(F4-1))</f>
        <v>-416.66666666666669</v>
      </c>
      <c r="G6" s="317">
        <f t="shared" ref="G6:BR6" si="8">IF($B$9="Monthly",-$B$5/12*(1+$B$8)^((G3-1)/12),-$B$5/12*(1+$B$8)^(G4-1))</f>
        <v>-416.66666666666669</v>
      </c>
      <c r="H6" s="317">
        <f t="shared" si="8"/>
        <v>-416.66666666666669</v>
      </c>
      <c r="I6" s="317">
        <f t="shared" si="8"/>
        <v>-416.66666666666669</v>
      </c>
      <c r="J6" s="317">
        <f t="shared" si="8"/>
        <v>-416.66666666666669</v>
      </c>
      <c r="K6" s="317">
        <f t="shared" si="8"/>
        <v>-416.66666666666669</v>
      </c>
      <c r="L6" s="317">
        <f t="shared" si="8"/>
        <v>-416.66666666666669</v>
      </c>
      <c r="M6" s="317">
        <f t="shared" si="8"/>
        <v>-416.66666666666669</v>
      </c>
      <c r="N6" s="317">
        <f t="shared" si="8"/>
        <v>-416.66666666666669</v>
      </c>
      <c r="O6" s="317">
        <f t="shared" si="8"/>
        <v>-416.66666666666669</v>
      </c>
      <c r="P6" s="317">
        <f t="shared" si="8"/>
        <v>-416.66666666666669</v>
      </c>
      <c r="Q6" s="317">
        <f t="shared" si="8"/>
        <v>-416.66666666666669</v>
      </c>
      <c r="R6" s="317">
        <f t="shared" si="8"/>
        <v>-429.16666666666669</v>
      </c>
      <c r="S6" s="317">
        <f t="shared" si="8"/>
        <v>-429.16666666666669</v>
      </c>
      <c r="T6" s="317">
        <f t="shared" si="8"/>
        <v>-429.16666666666669</v>
      </c>
      <c r="U6" s="317">
        <f t="shared" si="8"/>
        <v>-429.16666666666669</v>
      </c>
      <c r="V6" s="317">
        <f t="shared" si="8"/>
        <v>-429.16666666666669</v>
      </c>
      <c r="W6" s="317">
        <f t="shared" si="8"/>
        <v>-429.16666666666669</v>
      </c>
      <c r="X6" s="317">
        <f t="shared" si="8"/>
        <v>-429.16666666666669</v>
      </c>
      <c r="Y6" s="317">
        <f t="shared" si="8"/>
        <v>-429.16666666666669</v>
      </c>
      <c r="Z6" s="317">
        <f t="shared" si="8"/>
        <v>-429.16666666666669</v>
      </c>
      <c r="AA6" s="317">
        <f t="shared" si="8"/>
        <v>-429.16666666666669</v>
      </c>
      <c r="AB6" s="317">
        <f t="shared" si="8"/>
        <v>-429.16666666666669</v>
      </c>
      <c r="AC6" s="317">
        <f t="shared" si="8"/>
        <v>-429.16666666666669</v>
      </c>
      <c r="AD6" s="317">
        <f t="shared" si="8"/>
        <v>-442.04166666666669</v>
      </c>
      <c r="AE6" s="317">
        <f t="shared" si="8"/>
        <v>-442.04166666666669</v>
      </c>
      <c r="AF6" s="317">
        <f t="shared" si="8"/>
        <v>-442.04166666666669</v>
      </c>
      <c r="AG6" s="317">
        <f t="shared" si="8"/>
        <v>-442.04166666666669</v>
      </c>
      <c r="AH6" s="317">
        <f t="shared" si="8"/>
        <v>-442.04166666666669</v>
      </c>
      <c r="AI6" s="317">
        <f t="shared" si="8"/>
        <v>-442.04166666666669</v>
      </c>
      <c r="AJ6" s="317">
        <f t="shared" si="8"/>
        <v>-442.04166666666669</v>
      </c>
      <c r="AK6" s="317">
        <f t="shared" si="8"/>
        <v>-442.04166666666669</v>
      </c>
      <c r="AL6" s="317">
        <f t="shared" si="8"/>
        <v>-442.04166666666669</v>
      </c>
      <c r="AM6" s="317">
        <f t="shared" si="8"/>
        <v>-442.04166666666669</v>
      </c>
      <c r="AN6" s="317">
        <f t="shared" si="8"/>
        <v>-442.04166666666669</v>
      </c>
      <c r="AO6" s="317">
        <f t="shared" si="8"/>
        <v>-442.04166666666669</v>
      </c>
      <c r="AP6" s="317">
        <f t="shared" si="8"/>
        <v>-455.3029166666667</v>
      </c>
      <c r="AQ6" s="317">
        <f t="shared" si="8"/>
        <v>-455.3029166666667</v>
      </c>
      <c r="AR6" s="317">
        <f t="shared" si="8"/>
        <v>-455.3029166666667</v>
      </c>
      <c r="AS6" s="317">
        <f t="shared" si="8"/>
        <v>-455.3029166666667</v>
      </c>
      <c r="AT6" s="317">
        <f t="shared" si="8"/>
        <v>-455.3029166666667</v>
      </c>
      <c r="AU6" s="317">
        <f t="shared" si="8"/>
        <v>-455.3029166666667</v>
      </c>
      <c r="AV6" s="317">
        <f t="shared" si="8"/>
        <v>-455.3029166666667</v>
      </c>
      <c r="AW6" s="317">
        <f t="shared" si="8"/>
        <v>-455.3029166666667</v>
      </c>
      <c r="AX6" s="317">
        <f t="shared" si="8"/>
        <v>-455.3029166666667</v>
      </c>
      <c r="AY6" s="317">
        <f t="shared" si="8"/>
        <v>-455.3029166666667</v>
      </c>
      <c r="AZ6" s="317">
        <f t="shared" si="8"/>
        <v>-455.3029166666667</v>
      </c>
      <c r="BA6" s="317">
        <f t="shared" si="8"/>
        <v>-455.3029166666667</v>
      </c>
      <c r="BB6" s="317">
        <f t="shared" si="8"/>
        <v>-468.96200416666665</v>
      </c>
      <c r="BC6" s="317">
        <f t="shared" si="8"/>
        <v>-468.96200416666665</v>
      </c>
      <c r="BD6" s="317">
        <f t="shared" si="8"/>
        <v>-468.96200416666665</v>
      </c>
      <c r="BE6" s="317">
        <f t="shared" si="8"/>
        <v>-468.96200416666665</v>
      </c>
      <c r="BF6" s="317">
        <f t="shared" si="8"/>
        <v>-468.96200416666665</v>
      </c>
      <c r="BG6" s="317">
        <f t="shared" si="8"/>
        <v>-468.96200416666665</v>
      </c>
      <c r="BH6" s="317">
        <f t="shared" si="8"/>
        <v>-468.96200416666665</v>
      </c>
      <c r="BI6" s="317">
        <f t="shared" si="8"/>
        <v>-468.96200416666665</v>
      </c>
      <c r="BJ6" s="317">
        <f t="shared" si="8"/>
        <v>-468.96200416666665</v>
      </c>
      <c r="BK6" s="317">
        <f t="shared" si="8"/>
        <v>-468.96200416666665</v>
      </c>
      <c r="BL6" s="317">
        <f t="shared" si="8"/>
        <v>-468.96200416666665</v>
      </c>
      <c r="BM6" s="317">
        <f t="shared" si="8"/>
        <v>-468.96200416666665</v>
      </c>
      <c r="BN6" s="317">
        <f t="shared" si="8"/>
        <v>-483.0308642916666</v>
      </c>
      <c r="BO6" s="317">
        <f t="shared" si="8"/>
        <v>-483.0308642916666</v>
      </c>
      <c r="BP6" s="317">
        <f t="shared" si="8"/>
        <v>-483.0308642916666</v>
      </c>
      <c r="BQ6" s="317">
        <f t="shared" si="8"/>
        <v>-483.0308642916666</v>
      </c>
      <c r="BR6" s="317">
        <f t="shared" si="8"/>
        <v>-483.0308642916666</v>
      </c>
      <c r="BS6" s="317">
        <f t="shared" ref="BS6:BY6" si="9">IF($B$9="Monthly",-$B$5/12*(1+$B$8)^((BS3-1)/12),-$B$5/12*(1+$B$8)^(BS4-1))</f>
        <v>-483.0308642916666</v>
      </c>
      <c r="BT6" s="317">
        <f t="shared" si="9"/>
        <v>-483.0308642916666</v>
      </c>
      <c r="BU6" s="317">
        <f t="shared" si="9"/>
        <v>-483.0308642916666</v>
      </c>
      <c r="BV6" s="317">
        <f t="shared" si="9"/>
        <v>-483.0308642916666</v>
      </c>
      <c r="BW6" s="317">
        <f t="shared" si="9"/>
        <v>-483.0308642916666</v>
      </c>
      <c r="BX6" s="317">
        <f t="shared" si="9"/>
        <v>-483.0308642916666</v>
      </c>
      <c r="BY6" s="320">
        <f t="shared" si="9"/>
        <v>-483.0308642916666</v>
      </c>
    </row>
    <row r="7" spans="1:77" x14ac:dyDescent="0.25">
      <c r="A7" s="123" t="s">
        <v>368</v>
      </c>
      <c r="B7" s="127" t="s">
        <v>369</v>
      </c>
      <c r="D7" s="126" t="s">
        <v>4</v>
      </c>
      <c r="E7" s="258">
        <f>SUM(E5:E6)</f>
        <v>0</v>
      </c>
      <c r="F7" s="321">
        <f t="shared" ref="F7:BQ7" si="10">SUM(F5:F6)</f>
        <v>24583.333333333332</v>
      </c>
      <c r="G7" s="321">
        <f t="shared" si="10"/>
        <v>24583.333333333332</v>
      </c>
      <c r="H7" s="321">
        <f t="shared" si="10"/>
        <v>24583.333333333332</v>
      </c>
      <c r="I7" s="321">
        <f t="shared" si="10"/>
        <v>24583.333333333332</v>
      </c>
      <c r="J7" s="321">
        <f t="shared" si="10"/>
        <v>24583.333333333332</v>
      </c>
      <c r="K7" s="321">
        <f t="shared" si="10"/>
        <v>24583.333333333332</v>
      </c>
      <c r="L7" s="321">
        <f t="shared" si="10"/>
        <v>24583.333333333332</v>
      </c>
      <c r="M7" s="321">
        <f t="shared" si="10"/>
        <v>24583.333333333332</v>
      </c>
      <c r="N7" s="321">
        <f t="shared" si="10"/>
        <v>24583.333333333332</v>
      </c>
      <c r="O7" s="321">
        <f t="shared" si="10"/>
        <v>24583.333333333332</v>
      </c>
      <c r="P7" s="321">
        <f t="shared" si="10"/>
        <v>24583.333333333332</v>
      </c>
      <c r="Q7" s="321">
        <f t="shared" si="10"/>
        <v>24583.333333333332</v>
      </c>
      <c r="R7" s="321">
        <f t="shared" si="10"/>
        <v>25570.833333333332</v>
      </c>
      <c r="S7" s="321">
        <f t="shared" si="10"/>
        <v>25570.833333333332</v>
      </c>
      <c r="T7" s="321">
        <f t="shared" si="10"/>
        <v>25570.833333333332</v>
      </c>
      <c r="U7" s="321">
        <f t="shared" si="10"/>
        <v>25570.833333333332</v>
      </c>
      <c r="V7" s="321">
        <f t="shared" si="10"/>
        <v>25570.833333333332</v>
      </c>
      <c r="W7" s="321">
        <f t="shared" si="10"/>
        <v>25570.833333333332</v>
      </c>
      <c r="X7" s="321">
        <f t="shared" si="10"/>
        <v>25570.833333333332</v>
      </c>
      <c r="Y7" s="321">
        <f t="shared" si="10"/>
        <v>25570.833333333332</v>
      </c>
      <c r="Z7" s="321">
        <f t="shared" si="10"/>
        <v>25570.833333333332</v>
      </c>
      <c r="AA7" s="321">
        <f t="shared" si="10"/>
        <v>25570.833333333332</v>
      </c>
      <c r="AB7" s="321">
        <f t="shared" si="10"/>
        <v>25570.833333333332</v>
      </c>
      <c r="AC7" s="321">
        <f t="shared" si="10"/>
        <v>25570.833333333332</v>
      </c>
      <c r="AD7" s="321">
        <f t="shared" si="10"/>
        <v>26597.958333333336</v>
      </c>
      <c r="AE7" s="321">
        <f t="shared" si="10"/>
        <v>26597.958333333336</v>
      </c>
      <c r="AF7" s="321">
        <f t="shared" si="10"/>
        <v>26597.958333333336</v>
      </c>
      <c r="AG7" s="321">
        <f t="shared" si="10"/>
        <v>26597.958333333336</v>
      </c>
      <c r="AH7" s="321">
        <f t="shared" si="10"/>
        <v>26597.958333333336</v>
      </c>
      <c r="AI7" s="321">
        <f t="shared" si="10"/>
        <v>26597.958333333336</v>
      </c>
      <c r="AJ7" s="321">
        <f t="shared" si="10"/>
        <v>26597.958333333336</v>
      </c>
      <c r="AK7" s="321">
        <f t="shared" si="10"/>
        <v>26597.958333333336</v>
      </c>
      <c r="AL7" s="321">
        <f t="shared" si="10"/>
        <v>26597.958333333336</v>
      </c>
      <c r="AM7" s="321">
        <f t="shared" si="10"/>
        <v>26597.958333333336</v>
      </c>
      <c r="AN7" s="321">
        <f t="shared" si="10"/>
        <v>26597.958333333336</v>
      </c>
      <c r="AO7" s="321">
        <f t="shared" si="10"/>
        <v>26597.958333333336</v>
      </c>
      <c r="AP7" s="321">
        <f t="shared" si="10"/>
        <v>27666.297083333335</v>
      </c>
      <c r="AQ7" s="321">
        <f t="shared" si="10"/>
        <v>27666.297083333335</v>
      </c>
      <c r="AR7" s="321">
        <f t="shared" si="10"/>
        <v>27666.297083333335</v>
      </c>
      <c r="AS7" s="321">
        <f t="shared" si="10"/>
        <v>27666.297083333335</v>
      </c>
      <c r="AT7" s="321">
        <f t="shared" si="10"/>
        <v>27666.297083333335</v>
      </c>
      <c r="AU7" s="321">
        <f t="shared" si="10"/>
        <v>27666.297083333335</v>
      </c>
      <c r="AV7" s="321">
        <f t="shared" si="10"/>
        <v>27666.297083333335</v>
      </c>
      <c r="AW7" s="321">
        <f t="shared" si="10"/>
        <v>27666.297083333335</v>
      </c>
      <c r="AX7" s="321">
        <f t="shared" si="10"/>
        <v>27666.297083333335</v>
      </c>
      <c r="AY7" s="321">
        <f t="shared" si="10"/>
        <v>27666.297083333335</v>
      </c>
      <c r="AZ7" s="321">
        <f t="shared" si="10"/>
        <v>27666.297083333335</v>
      </c>
      <c r="BA7" s="321">
        <f t="shared" si="10"/>
        <v>27666.297083333335</v>
      </c>
      <c r="BB7" s="321">
        <f t="shared" si="10"/>
        <v>28777.501995833336</v>
      </c>
      <c r="BC7" s="321">
        <f t="shared" si="10"/>
        <v>28777.501995833336</v>
      </c>
      <c r="BD7" s="321">
        <f t="shared" si="10"/>
        <v>28777.501995833336</v>
      </c>
      <c r="BE7" s="321">
        <f t="shared" si="10"/>
        <v>28777.501995833336</v>
      </c>
      <c r="BF7" s="321">
        <f t="shared" si="10"/>
        <v>28777.501995833336</v>
      </c>
      <c r="BG7" s="321">
        <f t="shared" si="10"/>
        <v>28777.501995833336</v>
      </c>
      <c r="BH7" s="321">
        <f t="shared" si="10"/>
        <v>28777.501995833336</v>
      </c>
      <c r="BI7" s="321">
        <f t="shared" si="10"/>
        <v>28777.501995833336</v>
      </c>
      <c r="BJ7" s="321">
        <f t="shared" si="10"/>
        <v>28777.501995833336</v>
      </c>
      <c r="BK7" s="321">
        <f t="shared" si="10"/>
        <v>28777.501995833336</v>
      </c>
      <c r="BL7" s="321">
        <f t="shared" si="10"/>
        <v>28777.501995833336</v>
      </c>
      <c r="BM7" s="321">
        <f t="shared" si="10"/>
        <v>28777.501995833336</v>
      </c>
      <c r="BN7" s="321">
        <f t="shared" si="10"/>
        <v>29933.29169570834</v>
      </c>
      <c r="BO7" s="321">
        <f t="shared" si="10"/>
        <v>29933.29169570834</v>
      </c>
      <c r="BP7" s="321">
        <f t="shared" si="10"/>
        <v>29933.29169570834</v>
      </c>
      <c r="BQ7" s="321">
        <f t="shared" si="10"/>
        <v>29933.29169570834</v>
      </c>
      <c r="BR7" s="321">
        <f t="shared" ref="BR7:BY7" si="11">SUM(BR5:BR6)</f>
        <v>29933.29169570834</v>
      </c>
      <c r="BS7" s="321">
        <f t="shared" si="11"/>
        <v>29933.29169570834</v>
      </c>
      <c r="BT7" s="321">
        <f t="shared" si="11"/>
        <v>29933.29169570834</v>
      </c>
      <c r="BU7" s="321">
        <f t="shared" si="11"/>
        <v>29933.29169570834</v>
      </c>
      <c r="BV7" s="321">
        <f t="shared" si="11"/>
        <v>29933.29169570834</v>
      </c>
      <c r="BW7" s="321">
        <f t="shared" si="11"/>
        <v>29933.29169570834</v>
      </c>
      <c r="BX7" s="321">
        <f t="shared" si="11"/>
        <v>29933.29169570834</v>
      </c>
      <c r="BY7" s="322">
        <f t="shared" si="11"/>
        <v>29933.29169570834</v>
      </c>
    </row>
    <row r="8" spans="1:77" x14ac:dyDescent="0.25">
      <c r="A8" s="123" t="s">
        <v>197</v>
      </c>
      <c r="B8" s="127">
        <v>0.03</v>
      </c>
      <c r="D8" s="123" t="s">
        <v>189</v>
      </c>
      <c r="E8" s="316">
        <v>0</v>
      </c>
      <c r="F8" s="317">
        <f>PPMT($B$18/12,F3,$B$19*12,$B$16,0,0)</f>
        <v>-4322.4588639637841</v>
      </c>
      <c r="G8" s="317">
        <f t="shared" ref="G8:BR8" si="12">PPMT($B$18/12,G3,$B$19*12,$B$16,0,0)</f>
        <v>-4336.8670601769973</v>
      </c>
      <c r="H8" s="317">
        <f t="shared" si="12"/>
        <v>-4351.3232837109199</v>
      </c>
      <c r="I8" s="317">
        <f t="shared" si="12"/>
        <v>-4365.827694656623</v>
      </c>
      <c r="J8" s="317">
        <f t="shared" si="12"/>
        <v>-4380.3804536388125</v>
      </c>
      <c r="K8" s="317">
        <f t="shared" si="12"/>
        <v>-4394.9817218176076</v>
      </c>
      <c r="L8" s="317">
        <f t="shared" si="12"/>
        <v>-4409.6316608903335</v>
      </c>
      <c r="M8" s="317">
        <f t="shared" si="12"/>
        <v>-4424.3304330933015</v>
      </c>
      <c r="N8" s="317">
        <f t="shared" si="12"/>
        <v>-4439.0782012036116</v>
      </c>
      <c r="O8" s="317">
        <f t="shared" si="12"/>
        <v>-4453.8751285409571</v>
      </c>
      <c r="P8" s="317">
        <f t="shared" si="12"/>
        <v>-4468.7213789694279</v>
      </c>
      <c r="Q8" s="317">
        <f t="shared" si="12"/>
        <v>-4483.6171168993251</v>
      </c>
      <c r="R8" s="317">
        <f t="shared" si="12"/>
        <v>-4498.5625072889898</v>
      </c>
      <c r="S8" s="317">
        <f t="shared" si="12"/>
        <v>-4513.5577156466197</v>
      </c>
      <c r="T8" s="317">
        <f t="shared" si="12"/>
        <v>-4528.6029080321077</v>
      </c>
      <c r="U8" s="317">
        <f t="shared" si="12"/>
        <v>-4543.6982510588814</v>
      </c>
      <c r="V8" s="317">
        <f t="shared" si="12"/>
        <v>-4558.8439118957449</v>
      </c>
      <c r="W8" s="317">
        <f t="shared" si="12"/>
        <v>-4574.0400582687307</v>
      </c>
      <c r="X8" s="317">
        <f t="shared" si="12"/>
        <v>-4589.2868584629605</v>
      </c>
      <c r="Y8" s="317">
        <f t="shared" si="12"/>
        <v>-4604.584481324503</v>
      </c>
      <c r="Z8" s="317">
        <f t="shared" si="12"/>
        <v>-4619.9330962622507</v>
      </c>
      <c r="AA8" s="317">
        <f t="shared" si="12"/>
        <v>-4635.3328732497912</v>
      </c>
      <c r="AB8" s="317">
        <f t="shared" si="12"/>
        <v>-4650.7839828272909</v>
      </c>
      <c r="AC8" s="317">
        <f t="shared" si="12"/>
        <v>-4666.2865961033822</v>
      </c>
      <c r="AD8" s="317">
        <f t="shared" si="12"/>
        <v>-4681.8408847570608</v>
      </c>
      <c r="AE8" s="317">
        <f t="shared" si="12"/>
        <v>-4697.4470210395839</v>
      </c>
      <c r="AF8" s="317">
        <f t="shared" si="12"/>
        <v>-4713.1051777763832</v>
      </c>
      <c r="AG8" s="317">
        <f t="shared" si="12"/>
        <v>-4728.8155283689712</v>
      </c>
      <c r="AH8" s="317">
        <f t="shared" si="12"/>
        <v>-4744.5782467968666</v>
      </c>
      <c r="AI8" s="317">
        <f t="shared" si="12"/>
        <v>-4760.3935076195239</v>
      </c>
      <c r="AJ8" s="317">
        <f t="shared" si="12"/>
        <v>-4776.2614859782552</v>
      </c>
      <c r="AK8" s="317">
        <f t="shared" si="12"/>
        <v>-4792.1823575981834</v>
      </c>
      <c r="AL8" s="317">
        <f t="shared" si="12"/>
        <v>-4808.1562987901762</v>
      </c>
      <c r="AM8" s="317">
        <f t="shared" si="12"/>
        <v>-4824.1834864528118</v>
      </c>
      <c r="AN8" s="317">
        <f t="shared" si="12"/>
        <v>-4840.2640980743199</v>
      </c>
      <c r="AO8" s="317">
        <f t="shared" si="12"/>
        <v>-4856.3983117345688</v>
      </c>
      <c r="AP8" s="317">
        <f t="shared" si="12"/>
        <v>-4872.5863061070158</v>
      </c>
      <c r="AQ8" s="317">
        <f t="shared" si="12"/>
        <v>-4888.8282604607057</v>
      </c>
      <c r="AR8" s="317">
        <f t="shared" si="12"/>
        <v>-4905.1243546622418</v>
      </c>
      <c r="AS8" s="317">
        <f t="shared" si="12"/>
        <v>-4921.4747691777829</v>
      </c>
      <c r="AT8" s="317">
        <f t="shared" si="12"/>
        <v>-4937.8796850750423</v>
      </c>
      <c r="AU8" s="317">
        <f t="shared" si="12"/>
        <v>-4954.3392840252927</v>
      </c>
      <c r="AV8" s="317">
        <f t="shared" si="12"/>
        <v>-4970.8537483053778</v>
      </c>
      <c r="AW8" s="317">
        <f t="shared" si="12"/>
        <v>-4987.4232607997274</v>
      </c>
      <c r="AX8" s="317">
        <f t="shared" si="12"/>
        <v>-5004.0480050023925</v>
      </c>
      <c r="AY8" s="317">
        <f t="shared" si="12"/>
        <v>-5020.728165019068</v>
      </c>
      <c r="AZ8" s="317">
        <f t="shared" si="12"/>
        <v>-5037.4639255691318</v>
      </c>
      <c r="BA8" s="317">
        <f t="shared" si="12"/>
        <v>-5054.2554719876962</v>
      </c>
      <c r="BB8" s="317">
        <f t="shared" si="12"/>
        <v>-5071.102990227655</v>
      </c>
      <c r="BC8" s="317">
        <f t="shared" si="12"/>
        <v>-5088.0066668617474</v>
      </c>
      <c r="BD8" s="317">
        <f t="shared" si="12"/>
        <v>-5104.9666890846192</v>
      </c>
      <c r="BE8" s="317">
        <f t="shared" si="12"/>
        <v>-5121.983244714901</v>
      </c>
      <c r="BF8" s="317">
        <f t="shared" si="12"/>
        <v>-5139.0565221972838</v>
      </c>
      <c r="BG8" s="317">
        <f t="shared" si="12"/>
        <v>-5156.1867106046084</v>
      </c>
      <c r="BH8" s="317">
        <f t="shared" si="12"/>
        <v>-5173.3739996399581</v>
      </c>
      <c r="BI8" s="317">
        <f t="shared" si="12"/>
        <v>-5190.6185796387572</v>
      </c>
      <c r="BJ8" s="317">
        <f t="shared" si="12"/>
        <v>-5207.9206415708868</v>
      </c>
      <c r="BK8" s="317">
        <f t="shared" si="12"/>
        <v>-5225.28037704279</v>
      </c>
      <c r="BL8" s="317">
        <f t="shared" si="12"/>
        <v>-5242.6979782995986</v>
      </c>
      <c r="BM8" s="317">
        <f t="shared" si="12"/>
        <v>-5260.1736382272629</v>
      </c>
      <c r="BN8" s="317">
        <f t="shared" si="12"/>
        <v>-5277.7075503546885</v>
      </c>
      <c r="BO8" s="317">
        <f t="shared" si="12"/>
        <v>-5295.2999088558709</v>
      </c>
      <c r="BP8" s="317">
        <f t="shared" si="12"/>
        <v>-5312.9509085520567</v>
      </c>
      <c r="BQ8" s="317">
        <f t="shared" si="12"/>
        <v>-5330.6607449138965</v>
      </c>
      <c r="BR8" s="317">
        <f t="shared" si="12"/>
        <v>-5348.4296140636097</v>
      </c>
      <c r="BS8" s="317">
        <f t="shared" ref="BS8:BY8" si="13">PPMT($B$18/12,BS3,$B$19*12,$B$16,0,0)</f>
        <v>-5366.2577127771556</v>
      </c>
      <c r="BT8" s="317">
        <f t="shared" si="13"/>
        <v>-5384.1452384864124</v>
      </c>
      <c r="BU8" s="317">
        <f t="shared" si="13"/>
        <v>-5402.0923892813671</v>
      </c>
      <c r="BV8" s="317">
        <f t="shared" si="13"/>
        <v>-5420.0993639123053</v>
      </c>
      <c r="BW8" s="317">
        <f t="shared" si="13"/>
        <v>-5438.166361792013</v>
      </c>
      <c r="BX8" s="317">
        <f t="shared" si="13"/>
        <v>-5456.293582997987</v>
      </c>
      <c r="BY8" s="320">
        <f t="shared" si="13"/>
        <v>-5474.4812282746461</v>
      </c>
    </row>
    <row r="9" spans="1:77" x14ac:dyDescent="0.25">
      <c r="A9" s="123" t="s">
        <v>370</v>
      </c>
      <c r="B9" s="127" t="s">
        <v>369</v>
      </c>
      <c r="D9" s="123" t="s">
        <v>190</v>
      </c>
      <c r="E9" s="251">
        <v>0</v>
      </c>
      <c r="F9" s="317">
        <f>IPMT($B$18/12,F3,$B$19*12,$B$16,0,0)</f>
        <v>-9999.9999999999982</v>
      </c>
      <c r="G9" s="317">
        <f t="shared" ref="G9:BR9" si="14">IPMT($B$18/12,G3,$B$19*12,$B$16,0,0)</f>
        <v>-9985.5918037867868</v>
      </c>
      <c r="H9" s="317">
        <f t="shared" si="14"/>
        <v>-9971.1355802528633</v>
      </c>
      <c r="I9" s="317">
        <f t="shared" si="14"/>
        <v>-9956.6311693071602</v>
      </c>
      <c r="J9" s="317">
        <f t="shared" si="14"/>
        <v>-9942.0784103249716</v>
      </c>
      <c r="K9" s="317">
        <f t="shared" si="14"/>
        <v>-9927.4771421461755</v>
      </c>
      <c r="L9" s="317">
        <f t="shared" si="14"/>
        <v>-9912.8272030734515</v>
      </c>
      <c r="M9" s="317">
        <f t="shared" si="14"/>
        <v>-9898.1284308704817</v>
      </c>
      <c r="N9" s="317">
        <f t="shared" si="14"/>
        <v>-9883.3806627601716</v>
      </c>
      <c r="O9" s="317">
        <f t="shared" si="14"/>
        <v>-9868.5837354228261</v>
      </c>
      <c r="P9" s="317">
        <f t="shared" si="14"/>
        <v>-9853.7374849943553</v>
      </c>
      <c r="Q9" s="317">
        <f t="shared" si="14"/>
        <v>-9838.8417470644581</v>
      </c>
      <c r="R9" s="317">
        <f t="shared" si="14"/>
        <v>-9823.8963566747934</v>
      </c>
      <c r="S9" s="317">
        <f t="shared" si="14"/>
        <v>-9808.9011483171635</v>
      </c>
      <c r="T9" s="317">
        <f t="shared" si="14"/>
        <v>-9793.8559559316745</v>
      </c>
      <c r="U9" s="317">
        <f t="shared" si="14"/>
        <v>-9778.7606129049</v>
      </c>
      <c r="V9" s="317">
        <f t="shared" si="14"/>
        <v>-9763.6149520680392</v>
      </c>
      <c r="W9" s="317">
        <f t="shared" si="14"/>
        <v>-9748.4188056950534</v>
      </c>
      <c r="X9" s="317">
        <f t="shared" si="14"/>
        <v>-9733.1720055008227</v>
      </c>
      <c r="Y9" s="317">
        <f t="shared" si="14"/>
        <v>-9717.8743826392802</v>
      </c>
      <c r="Z9" s="317">
        <f t="shared" si="14"/>
        <v>-9702.5257677015325</v>
      </c>
      <c r="AA9" s="317">
        <f t="shared" si="14"/>
        <v>-9687.125990713992</v>
      </c>
      <c r="AB9" s="317">
        <f t="shared" si="14"/>
        <v>-9671.6748811364923</v>
      </c>
      <c r="AC9" s="317">
        <f t="shared" si="14"/>
        <v>-9656.1722678604019</v>
      </c>
      <c r="AD9" s="317">
        <f t="shared" si="14"/>
        <v>-9640.6179792067232</v>
      </c>
      <c r="AE9" s="317">
        <f t="shared" si="14"/>
        <v>-9625.0118429242011</v>
      </c>
      <c r="AF9" s="317">
        <f t="shared" si="14"/>
        <v>-9609.3536861874018</v>
      </c>
      <c r="AG9" s="317">
        <f t="shared" si="14"/>
        <v>-9593.643335594812</v>
      </c>
      <c r="AH9" s="317">
        <f t="shared" si="14"/>
        <v>-9577.8806171669166</v>
      </c>
      <c r="AI9" s="317">
        <f t="shared" si="14"/>
        <v>-9562.0653563442593</v>
      </c>
      <c r="AJ9" s="317">
        <f t="shared" si="14"/>
        <v>-9546.1973779855289</v>
      </c>
      <c r="AK9" s="317">
        <f t="shared" si="14"/>
        <v>-9530.2765063656007</v>
      </c>
      <c r="AL9" s="317">
        <f t="shared" si="14"/>
        <v>-9514.3025651736061</v>
      </c>
      <c r="AM9" s="317">
        <f t="shared" si="14"/>
        <v>-9498.2753775109722</v>
      </c>
      <c r="AN9" s="317">
        <f t="shared" si="14"/>
        <v>-9482.1947658894642</v>
      </c>
      <c r="AO9" s="317">
        <f t="shared" si="14"/>
        <v>-9466.0605522292153</v>
      </c>
      <c r="AP9" s="317">
        <f t="shared" si="14"/>
        <v>-9449.8725578567664</v>
      </c>
      <c r="AQ9" s="317">
        <f t="shared" si="14"/>
        <v>-9433.6306035030775</v>
      </c>
      <c r="AR9" s="317">
        <f t="shared" si="14"/>
        <v>-9417.3345093015414</v>
      </c>
      <c r="AS9" s="317">
        <f t="shared" si="14"/>
        <v>-9400.9840947859993</v>
      </c>
      <c r="AT9" s="317">
        <f t="shared" si="14"/>
        <v>-9384.5791788887418</v>
      </c>
      <c r="AU9" s="317">
        <f t="shared" si="14"/>
        <v>-9368.1195799384914</v>
      </c>
      <c r="AV9" s="317">
        <f t="shared" si="14"/>
        <v>-9351.6051156584053</v>
      </c>
      <c r="AW9" s="317">
        <f t="shared" si="14"/>
        <v>-9335.0356031640549</v>
      </c>
      <c r="AX9" s="317">
        <f t="shared" si="14"/>
        <v>-9318.4108589613897</v>
      </c>
      <c r="AY9" s="317">
        <f t="shared" si="14"/>
        <v>-9301.7306989447152</v>
      </c>
      <c r="AZ9" s="317">
        <f t="shared" si="14"/>
        <v>-9284.9949383946514</v>
      </c>
      <c r="BA9" s="317">
        <f t="shared" si="14"/>
        <v>-9268.2033919760888</v>
      </c>
      <c r="BB9" s="317">
        <f t="shared" si="14"/>
        <v>-9251.3558737361291</v>
      </c>
      <c r="BC9" s="317">
        <f t="shared" si="14"/>
        <v>-9234.4521971020367</v>
      </c>
      <c r="BD9" s="317">
        <f t="shared" si="14"/>
        <v>-9217.4921748791639</v>
      </c>
      <c r="BE9" s="317">
        <f t="shared" si="14"/>
        <v>-9200.475619248884</v>
      </c>
      <c r="BF9" s="317">
        <f t="shared" si="14"/>
        <v>-9183.4023417665012</v>
      </c>
      <c r="BG9" s="317">
        <f t="shared" si="14"/>
        <v>-9166.2721533591757</v>
      </c>
      <c r="BH9" s="317">
        <f t="shared" si="14"/>
        <v>-9149.084864323826</v>
      </c>
      <c r="BI9" s="317">
        <f t="shared" si="14"/>
        <v>-9131.840284325026</v>
      </c>
      <c r="BJ9" s="317">
        <f t="shared" si="14"/>
        <v>-9114.5382223928973</v>
      </c>
      <c r="BK9" s="317">
        <f t="shared" si="14"/>
        <v>-9097.1784869209932</v>
      </c>
      <c r="BL9" s="317">
        <f t="shared" si="14"/>
        <v>-9079.7608856641855</v>
      </c>
      <c r="BM9" s="317">
        <f t="shared" si="14"/>
        <v>-9062.2852257365194</v>
      </c>
      <c r="BN9" s="317">
        <f t="shared" si="14"/>
        <v>-9044.7513136090929</v>
      </c>
      <c r="BO9" s="317">
        <f t="shared" si="14"/>
        <v>-9027.1589551079142</v>
      </c>
      <c r="BP9" s="317">
        <f t="shared" si="14"/>
        <v>-9009.5079554117274</v>
      </c>
      <c r="BQ9" s="317">
        <f t="shared" si="14"/>
        <v>-8991.7981190498867</v>
      </c>
      <c r="BR9" s="317">
        <f t="shared" si="14"/>
        <v>-8974.0292499001753</v>
      </c>
      <c r="BS9" s="317">
        <f t="shared" ref="BS9:BY9" si="15">IPMT($B$18/12,BS3,$B$19*12,$B$16,0,0)</f>
        <v>-8956.2011511866294</v>
      </c>
      <c r="BT9" s="317">
        <f t="shared" si="15"/>
        <v>-8938.3136254773708</v>
      </c>
      <c r="BU9" s="317">
        <f t="shared" si="15"/>
        <v>-8920.3664746824161</v>
      </c>
      <c r="BV9" s="317">
        <f t="shared" si="15"/>
        <v>-8902.3595000514779</v>
      </c>
      <c r="BW9" s="317">
        <f t="shared" si="15"/>
        <v>-8884.292502171771</v>
      </c>
      <c r="BX9" s="317">
        <f t="shared" si="15"/>
        <v>-8866.165280965799</v>
      </c>
      <c r="BY9" s="320">
        <f t="shared" si="15"/>
        <v>-8847.977635689138</v>
      </c>
    </row>
    <row r="10" spans="1:77" x14ac:dyDescent="0.25">
      <c r="A10" s="123" t="s">
        <v>405</v>
      </c>
      <c r="B10" s="419">
        <v>44561</v>
      </c>
      <c r="D10" s="126" t="s">
        <v>5</v>
      </c>
      <c r="E10" s="258">
        <f>SUM(E7:E9)</f>
        <v>0</v>
      </c>
      <c r="F10" s="321">
        <f t="shared" ref="F10:BQ10" si="16">SUM(F7:F9)</f>
        <v>10260.87446936955</v>
      </c>
      <c r="G10" s="321">
        <f t="shared" si="16"/>
        <v>10260.87446936955</v>
      </c>
      <c r="H10" s="321">
        <f t="shared" si="16"/>
        <v>10260.874469369548</v>
      </c>
      <c r="I10" s="321">
        <f t="shared" si="16"/>
        <v>10260.87446936955</v>
      </c>
      <c r="J10" s="321">
        <f t="shared" si="16"/>
        <v>10260.874469369548</v>
      </c>
      <c r="K10" s="321">
        <f t="shared" si="16"/>
        <v>10260.87446936955</v>
      </c>
      <c r="L10" s="321">
        <f t="shared" si="16"/>
        <v>10260.874469369548</v>
      </c>
      <c r="M10" s="321">
        <f t="shared" si="16"/>
        <v>10260.874469369548</v>
      </c>
      <c r="N10" s="321">
        <f t="shared" si="16"/>
        <v>10260.87446936955</v>
      </c>
      <c r="O10" s="321">
        <f t="shared" si="16"/>
        <v>10260.87446936955</v>
      </c>
      <c r="P10" s="321">
        <f t="shared" si="16"/>
        <v>10260.874469369548</v>
      </c>
      <c r="Q10" s="321">
        <f t="shared" si="16"/>
        <v>10260.87446936955</v>
      </c>
      <c r="R10" s="321">
        <f t="shared" si="16"/>
        <v>11248.37446936955</v>
      </c>
      <c r="S10" s="321">
        <f t="shared" si="16"/>
        <v>11248.374469369548</v>
      </c>
      <c r="T10" s="321">
        <f t="shared" si="16"/>
        <v>11248.374469369552</v>
      </c>
      <c r="U10" s="321">
        <f t="shared" si="16"/>
        <v>11248.37446936955</v>
      </c>
      <c r="V10" s="321">
        <f t="shared" si="16"/>
        <v>11248.37446936955</v>
      </c>
      <c r="W10" s="321">
        <f t="shared" si="16"/>
        <v>11248.374469369546</v>
      </c>
      <c r="X10" s="321">
        <f t="shared" si="16"/>
        <v>11248.374469369548</v>
      </c>
      <c r="Y10" s="321">
        <f t="shared" si="16"/>
        <v>11248.37446936955</v>
      </c>
      <c r="Z10" s="321">
        <f t="shared" si="16"/>
        <v>11248.374469369548</v>
      </c>
      <c r="AA10" s="321">
        <f t="shared" si="16"/>
        <v>11248.37446936955</v>
      </c>
      <c r="AB10" s="321">
        <f t="shared" si="16"/>
        <v>11248.374469369548</v>
      </c>
      <c r="AC10" s="321">
        <f t="shared" si="16"/>
        <v>11248.374469369548</v>
      </c>
      <c r="AD10" s="321">
        <f t="shared" si="16"/>
        <v>12275.499469369552</v>
      </c>
      <c r="AE10" s="321">
        <f t="shared" si="16"/>
        <v>12275.49946936955</v>
      </c>
      <c r="AF10" s="321">
        <f t="shared" si="16"/>
        <v>12275.499469369552</v>
      </c>
      <c r="AG10" s="321">
        <f t="shared" si="16"/>
        <v>12275.499469369553</v>
      </c>
      <c r="AH10" s="321">
        <f t="shared" si="16"/>
        <v>12275.499469369552</v>
      </c>
      <c r="AI10" s="321">
        <f t="shared" si="16"/>
        <v>12275.499469369553</v>
      </c>
      <c r="AJ10" s="321">
        <f t="shared" si="16"/>
        <v>12275.499469369552</v>
      </c>
      <c r="AK10" s="321">
        <f t="shared" si="16"/>
        <v>12275.499469369552</v>
      </c>
      <c r="AL10" s="321">
        <f t="shared" si="16"/>
        <v>12275.499469369552</v>
      </c>
      <c r="AM10" s="321">
        <f t="shared" si="16"/>
        <v>12275.49946936955</v>
      </c>
      <c r="AN10" s="321">
        <f t="shared" si="16"/>
        <v>12275.499469369552</v>
      </c>
      <c r="AO10" s="321">
        <f t="shared" si="16"/>
        <v>12275.49946936955</v>
      </c>
      <c r="AP10" s="321">
        <f t="shared" si="16"/>
        <v>13343.838219369552</v>
      </c>
      <c r="AQ10" s="321">
        <f t="shared" si="16"/>
        <v>13343.838219369552</v>
      </c>
      <c r="AR10" s="321">
        <f t="shared" si="16"/>
        <v>13343.838219369551</v>
      </c>
      <c r="AS10" s="321">
        <f t="shared" si="16"/>
        <v>13343.838219369551</v>
      </c>
      <c r="AT10" s="321">
        <f t="shared" si="16"/>
        <v>13343.838219369552</v>
      </c>
      <c r="AU10" s="321">
        <f t="shared" si="16"/>
        <v>13343.838219369551</v>
      </c>
      <c r="AV10" s="321">
        <f t="shared" si="16"/>
        <v>13343.838219369552</v>
      </c>
      <c r="AW10" s="321">
        <f t="shared" si="16"/>
        <v>13343.838219369551</v>
      </c>
      <c r="AX10" s="321">
        <f t="shared" si="16"/>
        <v>13343.838219369551</v>
      </c>
      <c r="AY10" s="321">
        <f t="shared" si="16"/>
        <v>13343.838219369552</v>
      </c>
      <c r="AZ10" s="321">
        <f t="shared" si="16"/>
        <v>13343.838219369551</v>
      </c>
      <c r="BA10" s="321">
        <f t="shared" si="16"/>
        <v>13343.838219369549</v>
      </c>
      <c r="BB10" s="321">
        <f t="shared" si="16"/>
        <v>14455.04313186955</v>
      </c>
      <c r="BC10" s="321">
        <f t="shared" si="16"/>
        <v>14455.043131869552</v>
      </c>
      <c r="BD10" s="321">
        <f t="shared" si="16"/>
        <v>14455.043131869552</v>
      </c>
      <c r="BE10" s="321">
        <f t="shared" si="16"/>
        <v>14455.04313186955</v>
      </c>
      <c r="BF10" s="321">
        <f t="shared" si="16"/>
        <v>14455.043131869552</v>
      </c>
      <c r="BG10" s="321">
        <f t="shared" si="16"/>
        <v>14455.043131869552</v>
      </c>
      <c r="BH10" s="321">
        <f t="shared" si="16"/>
        <v>14455.04313186955</v>
      </c>
      <c r="BI10" s="321">
        <f t="shared" si="16"/>
        <v>14455.043131869552</v>
      </c>
      <c r="BJ10" s="321">
        <f t="shared" si="16"/>
        <v>14455.043131869552</v>
      </c>
      <c r="BK10" s="321">
        <f t="shared" si="16"/>
        <v>14455.043131869554</v>
      </c>
      <c r="BL10" s="321">
        <f t="shared" si="16"/>
        <v>14455.043131869552</v>
      </c>
      <c r="BM10" s="321">
        <f t="shared" si="16"/>
        <v>14455.043131869552</v>
      </c>
      <c r="BN10" s="321">
        <f t="shared" si="16"/>
        <v>15610.832831744559</v>
      </c>
      <c r="BO10" s="321">
        <f t="shared" si="16"/>
        <v>15610.832831744554</v>
      </c>
      <c r="BP10" s="321">
        <f t="shared" si="16"/>
        <v>15610.832831744554</v>
      </c>
      <c r="BQ10" s="321">
        <f t="shared" si="16"/>
        <v>15610.832831744556</v>
      </c>
      <c r="BR10" s="321">
        <f t="shared" ref="BR10:BY10" si="17">SUM(BR7:BR9)</f>
        <v>15610.832831744554</v>
      </c>
      <c r="BS10" s="321">
        <f t="shared" si="17"/>
        <v>15610.832831744556</v>
      </c>
      <c r="BT10" s="321">
        <f t="shared" si="17"/>
        <v>15610.832831744556</v>
      </c>
      <c r="BU10" s="321">
        <f t="shared" si="17"/>
        <v>15610.832831744558</v>
      </c>
      <c r="BV10" s="321">
        <f t="shared" si="17"/>
        <v>15610.832831744558</v>
      </c>
      <c r="BW10" s="321">
        <f t="shared" si="17"/>
        <v>15610.832831744556</v>
      </c>
      <c r="BX10" s="321">
        <f t="shared" si="17"/>
        <v>15610.832831744554</v>
      </c>
      <c r="BY10" s="322">
        <f t="shared" si="17"/>
        <v>15610.832831744556</v>
      </c>
    </row>
    <row r="11" spans="1:77" x14ac:dyDescent="0.25">
      <c r="A11" s="123" t="s">
        <v>371</v>
      </c>
      <c r="B11" s="324">
        <v>60</v>
      </c>
      <c r="D11" s="117" t="s">
        <v>13</v>
      </c>
      <c r="E11" s="323">
        <f>-B2</f>
        <v>-5000000</v>
      </c>
      <c r="F11" s="318">
        <v>0</v>
      </c>
      <c r="G11" s="318">
        <v>0</v>
      </c>
      <c r="H11" s="318">
        <v>0</v>
      </c>
      <c r="I11" s="318">
        <v>0</v>
      </c>
      <c r="J11" s="318">
        <v>0</v>
      </c>
      <c r="K11" s="318">
        <v>0</v>
      </c>
      <c r="L11" s="318">
        <v>0</v>
      </c>
      <c r="M11" s="318">
        <v>0</v>
      </c>
      <c r="N11" s="318">
        <v>0</v>
      </c>
      <c r="O11" s="318">
        <v>0</v>
      </c>
      <c r="P11" s="318">
        <v>0</v>
      </c>
      <c r="Q11" s="318">
        <v>0</v>
      </c>
      <c r="R11" s="318">
        <v>0</v>
      </c>
      <c r="S11" s="318">
        <v>0</v>
      </c>
      <c r="T11" s="318">
        <v>0</v>
      </c>
      <c r="U11" s="318">
        <v>0</v>
      </c>
      <c r="V11" s="318">
        <v>0</v>
      </c>
      <c r="W11" s="318">
        <v>0</v>
      </c>
      <c r="X11" s="318">
        <v>0</v>
      </c>
      <c r="Y11" s="318">
        <v>0</v>
      </c>
      <c r="Z11" s="318">
        <v>0</v>
      </c>
      <c r="AA11" s="318">
        <v>0</v>
      </c>
      <c r="AB11" s="318">
        <v>0</v>
      </c>
      <c r="AC11" s="318">
        <v>0</v>
      </c>
      <c r="AD11" s="318">
        <v>0</v>
      </c>
      <c r="AE11" s="318">
        <v>0</v>
      </c>
      <c r="AF11" s="318">
        <v>0</v>
      </c>
      <c r="AG11" s="318">
        <v>0</v>
      </c>
      <c r="AH11" s="318">
        <v>0</v>
      </c>
      <c r="AI11" s="318">
        <v>0</v>
      </c>
      <c r="AJ11" s="318">
        <v>0</v>
      </c>
      <c r="AK11" s="318">
        <v>0</v>
      </c>
      <c r="AL11" s="318">
        <v>0</v>
      </c>
      <c r="AM11" s="318">
        <v>0</v>
      </c>
      <c r="AN11" s="318">
        <v>0</v>
      </c>
      <c r="AO11" s="318">
        <v>0</v>
      </c>
      <c r="AP11" s="318">
        <v>0</v>
      </c>
      <c r="AQ11" s="318">
        <v>0</v>
      </c>
      <c r="AR11" s="318">
        <v>0</v>
      </c>
      <c r="AS11" s="318">
        <v>0</v>
      </c>
      <c r="AT11" s="318">
        <v>0</v>
      </c>
      <c r="AU11" s="318">
        <v>0</v>
      </c>
      <c r="AV11" s="318">
        <v>0</v>
      </c>
      <c r="AW11" s="318">
        <v>0</v>
      </c>
      <c r="AX11" s="318">
        <v>0</v>
      </c>
      <c r="AY11" s="318">
        <v>0</v>
      </c>
      <c r="AZ11" s="318">
        <v>0</v>
      </c>
      <c r="BA11" s="318">
        <v>0</v>
      </c>
      <c r="BB11" s="318">
        <v>0</v>
      </c>
      <c r="BC11" s="318">
        <v>0</v>
      </c>
      <c r="BD11" s="318">
        <v>0</v>
      </c>
      <c r="BE11" s="318">
        <v>0</v>
      </c>
      <c r="BF11" s="318">
        <v>0</v>
      </c>
      <c r="BG11" s="318">
        <v>0</v>
      </c>
      <c r="BH11" s="318">
        <v>0</v>
      </c>
      <c r="BI11" s="318">
        <v>0</v>
      </c>
      <c r="BJ11" s="318">
        <v>0</v>
      </c>
      <c r="BK11" s="318">
        <v>0</v>
      </c>
      <c r="BL11" s="318">
        <v>0</v>
      </c>
      <c r="BM11" s="318">
        <v>0</v>
      </c>
      <c r="BN11" s="318">
        <v>0</v>
      </c>
      <c r="BO11" s="318">
        <v>0</v>
      </c>
      <c r="BP11" s="318">
        <v>0</v>
      </c>
      <c r="BQ11" s="318">
        <v>0</v>
      </c>
      <c r="BR11" s="318">
        <v>0</v>
      </c>
      <c r="BS11" s="318">
        <v>0</v>
      </c>
      <c r="BT11" s="318">
        <v>0</v>
      </c>
      <c r="BU11" s="318">
        <v>0</v>
      </c>
      <c r="BV11" s="318">
        <v>0</v>
      </c>
      <c r="BW11" s="318">
        <v>0</v>
      </c>
      <c r="BX11" s="318">
        <v>0</v>
      </c>
      <c r="BY11" s="319">
        <v>0</v>
      </c>
    </row>
    <row r="12" spans="1:77" x14ac:dyDescent="0.25">
      <c r="A12" s="123" t="s">
        <v>82</v>
      </c>
      <c r="B12" s="127">
        <v>6.5000000000000002E-2</v>
      </c>
      <c r="D12" s="123" t="s">
        <v>21</v>
      </c>
      <c r="E12" s="251">
        <f>E11*B3</f>
        <v>-50000</v>
      </c>
      <c r="F12" s="317">
        <v>0</v>
      </c>
      <c r="G12" s="317">
        <v>0</v>
      </c>
      <c r="H12" s="317">
        <v>0</v>
      </c>
      <c r="I12" s="317">
        <v>0</v>
      </c>
      <c r="J12" s="317">
        <v>0</v>
      </c>
      <c r="K12" s="317">
        <v>0</v>
      </c>
      <c r="L12" s="317">
        <v>0</v>
      </c>
      <c r="M12" s="317">
        <v>0</v>
      </c>
      <c r="N12" s="317">
        <v>0</v>
      </c>
      <c r="O12" s="317">
        <v>0</v>
      </c>
      <c r="P12" s="317">
        <v>0</v>
      </c>
      <c r="Q12" s="317">
        <v>0</v>
      </c>
      <c r="R12" s="317">
        <v>0</v>
      </c>
      <c r="S12" s="317">
        <v>0</v>
      </c>
      <c r="T12" s="317">
        <v>0</v>
      </c>
      <c r="U12" s="317">
        <v>0</v>
      </c>
      <c r="V12" s="317">
        <v>0</v>
      </c>
      <c r="W12" s="317">
        <v>0</v>
      </c>
      <c r="X12" s="317">
        <v>0</v>
      </c>
      <c r="Y12" s="317">
        <v>0</v>
      </c>
      <c r="Z12" s="317">
        <v>0</v>
      </c>
      <c r="AA12" s="317">
        <v>0</v>
      </c>
      <c r="AB12" s="317">
        <v>0</v>
      </c>
      <c r="AC12" s="317">
        <v>0</v>
      </c>
      <c r="AD12" s="317">
        <v>0</v>
      </c>
      <c r="AE12" s="317">
        <v>0</v>
      </c>
      <c r="AF12" s="317">
        <v>0</v>
      </c>
      <c r="AG12" s="317">
        <v>0</v>
      </c>
      <c r="AH12" s="317">
        <v>0</v>
      </c>
      <c r="AI12" s="317">
        <v>0</v>
      </c>
      <c r="AJ12" s="317">
        <v>0</v>
      </c>
      <c r="AK12" s="317">
        <v>0</v>
      </c>
      <c r="AL12" s="317">
        <v>0</v>
      </c>
      <c r="AM12" s="317">
        <v>0</v>
      </c>
      <c r="AN12" s="317">
        <v>0</v>
      </c>
      <c r="AO12" s="317">
        <v>0</v>
      </c>
      <c r="AP12" s="317">
        <v>0</v>
      </c>
      <c r="AQ12" s="317">
        <v>0</v>
      </c>
      <c r="AR12" s="317">
        <v>0</v>
      </c>
      <c r="AS12" s="317">
        <v>0</v>
      </c>
      <c r="AT12" s="317">
        <v>0</v>
      </c>
      <c r="AU12" s="317">
        <v>0</v>
      </c>
      <c r="AV12" s="317">
        <v>0</v>
      </c>
      <c r="AW12" s="317">
        <v>0</v>
      </c>
      <c r="AX12" s="317">
        <v>0</v>
      </c>
      <c r="AY12" s="317">
        <v>0</v>
      </c>
      <c r="AZ12" s="317">
        <v>0</v>
      </c>
      <c r="BA12" s="317">
        <v>0</v>
      </c>
      <c r="BB12" s="317">
        <v>0</v>
      </c>
      <c r="BC12" s="317">
        <v>0</v>
      </c>
      <c r="BD12" s="317">
        <v>0</v>
      </c>
      <c r="BE12" s="317">
        <v>0</v>
      </c>
      <c r="BF12" s="317">
        <v>0</v>
      </c>
      <c r="BG12" s="317">
        <v>0</v>
      </c>
      <c r="BH12" s="317">
        <v>0</v>
      </c>
      <c r="BI12" s="317">
        <v>0</v>
      </c>
      <c r="BJ12" s="317">
        <v>0</v>
      </c>
      <c r="BK12" s="317">
        <v>0</v>
      </c>
      <c r="BL12" s="317">
        <v>0</v>
      </c>
      <c r="BM12" s="317">
        <v>0</v>
      </c>
      <c r="BN12" s="317">
        <v>0</v>
      </c>
      <c r="BO12" s="317">
        <v>0</v>
      </c>
      <c r="BP12" s="317">
        <v>0</v>
      </c>
      <c r="BQ12" s="317">
        <v>0</v>
      </c>
      <c r="BR12" s="317">
        <v>0</v>
      </c>
      <c r="BS12" s="317">
        <v>0</v>
      </c>
      <c r="BT12" s="317">
        <v>0</v>
      </c>
      <c r="BU12" s="317">
        <v>0</v>
      </c>
      <c r="BV12" s="317">
        <v>0</v>
      </c>
      <c r="BW12" s="317">
        <v>0</v>
      </c>
      <c r="BX12" s="317">
        <v>0</v>
      </c>
      <c r="BY12" s="320">
        <v>0</v>
      </c>
    </row>
    <row r="13" spans="1:77" x14ac:dyDescent="0.25">
      <c r="A13" s="128" t="s">
        <v>212</v>
      </c>
      <c r="B13" s="129">
        <v>2.5000000000000001E-2</v>
      </c>
      <c r="D13" s="123" t="s">
        <v>125</v>
      </c>
      <c r="E13" s="251">
        <v>0</v>
      </c>
      <c r="F13" s="317">
        <f>IF(F3=$B$11,SUM(G5:R5)/$B$12,0)</f>
        <v>0</v>
      </c>
      <c r="G13" s="317">
        <f t="shared" ref="G13:BR13" si="18">IF(G3=$B$11,SUM(H5:S5)/$B$12,0)</f>
        <v>0</v>
      </c>
      <c r="H13" s="317">
        <f t="shared" si="18"/>
        <v>0</v>
      </c>
      <c r="I13" s="317">
        <f t="shared" si="18"/>
        <v>0</v>
      </c>
      <c r="J13" s="317">
        <f t="shared" si="18"/>
        <v>0</v>
      </c>
      <c r="K13" s="317">
        <f t="shared" si="18"/>
        <v>0</v>
      </c>
      <c r="L13" s="317">
        <f t="shared" si="18"/>
        <v>0</v>
      </c>
      <c r="M13" s="317">
        <f t="shared" si="18"/>
        <v>0</v>
      </c>
      <c r="N13" s="317">
        <f t="shared" si="18"/>
        <v>0</v>
      </c>
      <c r="O13" s="317">
        <f t="shared" si="18"/>
        <v>0</v>
      </c>
      <c r="P13" s="317">
        <f t="shared" si="18"/>
        <v>0</v>
      </c>
      <c r="Q13" s="317">
        <f t="shared" si="18"/>
        <v>0</v>
      </c>
      <c r="R13" s="317">
        <f t="shared" si="18"/>
        <v>0</v>
      </c>
      <c r="S13" s="317">
        <f t="shared" si="18"/>
        <v>0</v>
      </c>
      <c r="T13" s="317">
        <f t="shared" si="18"/>
        <v>0</v>
      </c>
      <c r="U13" s="317">
        <f t="shared" si="18"/>
        <v>0</v>
      </c>
      <c r="V13" s="317">
        <f t="shared" si="18"/>
        <v>0</v>
      </c>
      <c r="W13" s="317">
        <f t="shared" si="18"/>
        <v>0</v>
      </c>
      <c r="X13" s="317">
        <f t="shared" si="18"/>
        <v>0</v>
      </c>
      <c r="Y13" s="317">
        <f t="shared" si="18"/>
        <v>0</v>
      </c>
      <c r="Z13" s="317">
        <f t="shared" si="18"/>
        <v>0</v>
      </c>
      <c r="AA13" s="317">
        <f t="shared" si="18"/>
        <v>0</v>
      </c>
      <c r="AB13" s="317">
        <f t="shared" si="18"/>
        <v>0</v>
      </c>
      <c r="AC13" s="317">
        <f t="shared" si="18"/>
        <v>0</v>
      </c>
      <c r="AD13" s="317">
        <f t="shared" si="18"/>
        <v>0</v>
      </c>
      <c r="AE13" s="317">
        <f t="shared" si="18"/>
        <v>0</v>
      </c>
      <c r="AF13" s="317">
        <f t="shared" si="18"/>
        <v>0</v>
      </c>
      <c r="AG13" s="317">
        <f t="shared" si="18"/>
        <v>0</v>
      </c>
      <c r="AH13" s="317">
        <f t="shared" si="18"/>
        <v>0</v>
      </c>
      <c r="AI13" s="317">
        <f t="shared" si="18"/>
        <v>0</v>
      </c>
      <c r="AJ13" s="317">
        <f t="shared" si="18"/>
        <v>0</v>
      </c>
      <c r="AK13" s="317">
        <f t="shared" si="18"/>
        <v>0</v>
      </c>
      <c r="AL13" s="317">
        <f t="shared" si="18"/>
        <v>0</v>
      </c>
      <c r="AM13" s="317">
        <f t="shared" si="18"/>
        <v>0</v>
      </c>
      <c r="AN13" s="317">
        <f t="shared" si="18"/>
        <v>0</v>
      </c>
      <c r="AO13" s="317">
        <f t="shared" si="18"/>
        <v>0</v>
      </c>
      <c r="AP13" s="317">
        <f t="shared" si="18"/>
        <v>0</v>
      </c>
      <c r="AQ13" s="317">
        <f t="shared" si="18"/>
        <v>0</v>
      </c>
      <c r="AR13" s="317">
        <f t="shared" si="18"/>
        <v>0</v>
      </c>
      <c r="AS13" s="317">
        <f t="shared" si="18"/>
        <v>0</v>
      </c>
      <c r="AT13" s="317">
        <f t="shared" si="18"/>
        <v>0</v>
      </c>
      <c r="AU13" s="317">
        <f t="shared" si="18"/>
        <v>0</v>
      </c>
      <c r="AV13" s="317">
        <f t="shared" si="18"/>
        <v>0</v>
      </c>
      <c r="AW13" s="317">
        <f t="shared" si="18"/>
        <v>0</v>
      </c>
      <c r="AX13" s="317">
        <f t="shared" si="18"/>
        <v>0</v>
      </c>
      <c r="AY13" s="317">
        <f t="shared" si="18"/>
        <v>0</v>
      </c>
      <c r="AZ13" s="317">
        <f t="shared" si="18"/>
        <v>0</v>
      </c>
      <c r="BA13" s="317">
        <f t="shared" si="18"/>
        <v>0</v>
      </c>
      <c r="BB13" s="317">
        <f t="shared" si="18"/>
        <v>0</v>
      </c>
      <c r="BC13" s="317">
        <f t="shared" si="18"/>
        <v>0</v>
      </c>
      <c r="BD13" s="317">
        <f t="shared" si="18"/>
        <v>0</v>
      </c>
      <c r="BE13" s="317">
        <f t="shared" si="18"/>
        <v>0</v>
      </c>
      <c r="BF13" s="317">
        <f t="shared" si="18"/>
        <v>0</v>
      </c>
      <c r="BG13" s="317">
        <f t="shared" si="18"/>
        <v>0</v>
      </c>
      <c r="BH13" s="317">
        <f t="shared" si="18"/>
        <v>0</v>
      </c>
      <c r="BI13" s="317">
        <f t="shared" si="18"/>
        <v>0</v>
      </c>
      <c r="BJ13" s="317">
        <f t="shared" si="18"/>
        <v>0</v>
      </c>
      <c r="BK13" s="317">
        <f t="shared" si="18"/>
        <v>0</v>
      </c>
      <c r="BL13" s="317">
        <f t="shared" si="18"/>
        <v>0</v>
      </c>
      <c r="BM13" s="317">
        <f t="shared" si="18"/>
        <v>5615321.0880000005</v>
      </c>
      <c r="BN13" s="317">
        <f t="shared" si="18"/>
        <v>0</v>
      </c>
      <c r="BO13" s="317">
        <f t="shared" si="18"/>
        <v>0</v>
      </c>
      <c r="BP13" s="317">
        <f t="shared" si="18"/>
        <v>0</v>
      </c>
      <c r="BQ13" s="317">
        <f t="shared" si="18"/>
        <v>0</v>
      </c>
      <c r="BR13" s="317">
        <f t="shared" si="18"/>
        <v>0</v>
      </c>
      <c r="BS13" s="317">
        <f t="shared" ref="BS13:BY13" si="19">IF(BS3=$B$11,SUM(BT5:CE5)/$B$12,0)</f>
        <v>0</v>
      </c>
      <c r="BT13" s="317">
        <f t="shared" si="19"/>
        <v>0</v>
      </c>
      <c r="BU13" s="317">
        <f t="shared" si="19"/>
        <v>0</v>
      </c>
      <c r="BV13" s="317">
        <f t="shared" si="19"/>
        <v>0</v>
      </c>
      <c r="BW13" s="317">
        <f t="shared" si="19"/>
        <v>0</v>
      </c>
      <c r="BX13" s="317">
        <f t="shared" si="19"/>
        <v>0</v>
      </c>
      <c r="BY13" s="320">
        <f t="shared" si="19"/>
        <v>0</v>
      </c>
    </row>
    <row r="14" spans="1:77" x14ac:dyDescent="0.25">
      <c r="D14" s="123" t="s">
        <v>126</v>
      </c>
      <c r="E14" s="251">
        <v>0</v>
      </c>
      <c r="F14" s="317">
        <f>F13*-$B$13</f>
        <v>0</v>
      </c>
      <c r="G14" s="317">
        <f t="shared" ref="G14:BR14" si="20">G13*-$B$13</f>
        <v>0</v>
      </c>
      <c r="H14" s="317">
        <f t="shared" si="20"/>
        <v>0</v>
      </c>
      <c r="I14" s="317">
        <f t="shared" si="20"/>
        <v>0</v>
      </c>
      <c r="J14" s="317">
        <f t="shared" si="20"/>
        <v>0</v>
      </c>
      <c r="K14" s="317">
        <f t="shared" si="20"/>
        <v>0</v>
      </c>
      <c r="L14" s="317">
        <f t="shared" si="20"/>
        <v>0</v>
      </c>
      <c r="M14" s="317">
        <f t="shared" si="20"/>
        <v>0</v>
      </c>
      <c r="N14" s="317">
        <f t="shared" si="20"/>
        <v>0</v>
      </c>
      <c r="O14" s="317">
        <f t="shared" si="20"/>
        <v>0</v>
      </c>
      <c r="P14" s="317">
        <f t="shared" si="20"/>
        <v>0</v>
      </c>
      <c r="Q14" s="317">
        <f t="shared" si="20"/>
        <v>0</v>
      </c>
      <c r="R14" s="317">
        <f t="shared" si="20"/>
        <v>0</v>
      </c>
      <c r="S14" s="317">
        <f t="shared" si="20"/>
        <v>0</v>
      </c>
      <c r="T14" s="317">
        <f t="shared" si="20"/>
        <v>0</v>
      </c>
      <c r="U14" s="317">
        <f t="shared" si="20"/>
        <v>0</v>
      </c>
      <c r="V14" s="317">
        <f t="shared" si="20"/>
        <v>0</v>
      </c>
      <c r="W14" s="317">
        <f t="shared" si="20"/>
        <v>0</v>
      </c>
      <c r="X14" s="317">
        <f t="shared" si="20"/>
        <v>0</v>
      </c>
      <c r="Y14" s="317">
        <f t="shared" si="20"/>
        <v>0</v>
      </c>
      <c r="Z14" s="317">
        <f t="shared" si="20"/>
        <v>0</v>
      </c>
      <c r="AA14" s="317">
        <f t="shared" si="20"/>
        <v>0</v>
      </c>
      <c r="AB14" s="317">
        <f t="shared" si="20"/>
        <v>0</v>
      </c>
      <c r="AC14" s="317">
        <f t="shared" si="20"/>
        <v>0</v>
      </c>
      <c r="AD14" s="317">
        <f t="shared" si="20"/>
        <v>0</v>
      </c>
      <c r="AE14" s="317">
        <f t="shared" si="20"/>
        <v>0</v>
      </c>
      <c r="AF14" s="317">
        <f t="shared" si="20"/>
        <v>0</v>
      </c>
      <c r="AG14" s="317">
        <f t="shared" si="20"/>
        <v>0</v>
      </c>
      <c r="AH14" s="317">
        <f t="shared" si="20"/>
        <v>0</v>
      </c>
      <c r="AI14" s="317">
        <f t="shared" si="20"/>
        <v>0</v>
      </c>
      <c r="AJ14" s="317">
        <f t="shared" si="20"/>
        <v>0</v>
      </c>
      <c r="AK14" s="317">
        <f t="shared" si="20"/>
        <v>0</v>
      </c>
      <c r="AL14" s="317">
        <f t="shared" si="20"/>
        <v>0</v>
      </c>
      <c r="AM14" s="317">
        <f t="shared" si="20"/>
        <v>0</v>
      </c>
      <c r="AN14" s="317">
        <f t="shared" si="20"/>
        <v>0</v>
      </c>
      <c r="AO14" s="317">
        <f t="shared" si="20"/>
        <v>0</v>
      </c>
      <c r="AP14" s="317">
        <f t="shared" si="20"/>
        <v>0</v>
      </c>
      <c r="AQ14" s="317">
        <f t="shared" si="20"/>
        <v>0</v>
      </c>
      <c r="AR14" s="317">
        <f t="shared" si="20"/>
        <v>0</v>
      </c>
      <c r="AS14" s="317">
        <f t="shared" si="20"/>
        <v>0</v>
      </c>
      <c r="AT14" s="317">
        <f t="shared" si="20"/>
        <v>0</v>
      </c>
      <c r="AU14" s="317">
        <f t="shared" si="20"/>
        <v>0</v>
      </c>
      <c r="AV14" s="317">
        <f t="shared" si="20"/>
        <v>0</v>
      </c>
      <c r="AW14" s="317">
        <f t="shared" si="20"/>
        <v>0</v>
      </c>
      <c r="AX14" s="317">
        <f t="shared" si="20"/>
        <v>0</v>
      </c>
      <c r="AY14" s="317">
        <f t="shared" si="20"/>
        <v>0</v>
      </c>
      <c r="AZ14" s="317">
        <f t="shared" si="20"/>
        <v>0</v>
      </c>
      <c r="BA14" s="317">
        <f t="shared" si="20"/>
        <v>0</v>
      </c>
      <c r="BB14" s="317">
        <f t="shared" si="20"/>
        <v>0</v>
      </c>
      <c r="BC14" s="317">
        <f t="shared" si="20"/>
        <v>0</v>
      </c>
      <c r="BD14" s="317">
        <f t="shared" si="20"/>
        <v>0</v>
      </c>
      <c r="BE14" s="317">
        <f t="shared" si="20"/>
        <v>0</v>
      </c>
      <c r="BF14" s="317">
        <f t="shared" si="20"/>
        <v>0</v>
      </c>
      <c r="BG14" s="317">
        <f t="shared" si="20"/>
        <v>0</v>
      </c>
      <c r="BH14" s="317">
        <f t="shared" si="20"/>
        <v>0</v>
      </c>
      <c r="BI14" s="317">
        <f t="shared" si="20"/>
        <v>0</v>
      </c>
      <c r="BJ14" s="317">
        <f t="shared" si="20"/>
        <v>0</v>
      </c>
      <c r="BK14" s="317">
        <f t="shared" si="20"/>
        <v>0</v>
      </c>
      <c r="BL14" s="317">
        <f t="shared" si="20"/>
        <v>0</v>
      </c>
      <c r="BM14" s="317">
        <f t="shared" si="20"/>
        <v>-140383.02720000001</v>
      </c>
      <c r="BN14" s="317">
        <f t="shared" si="20"/>
        <v>0</v>
      </c>
      <c r="BO14" s="317">
        <f t="shared" si="20"/>
        <v>0</v>
      </c>
      <c r="BP14" s="317">
        <f t="shared" si="20"/>
        <v>0</v>
      </c>
      <c r="BQ14" s="317">
        <f t="shared" si="20"/>
        <v>0</v>
      </c>
      <c r="BR14" s="317">
        <f t="shared" si="20"/>
        <v>0</v>
      </c>
      <c r="BS14" s="317">
        <f t="shared" ref="BS14:BY14" si="21">BS13*-$B$13</f>
        <v>0</v>
      </c>
      <c r="BT14" s="317">
        <f t="shared" si="21"/>
        <v>0</v>
      </c>
      <c r="BU14" s="317">
        <f t="shared" si="21"/>
        <v>0</v>
      </c>
      <c r="BV14" s="317">
        <f t="shared" si="21"/>
        <v>0</v>
      </c>
      <c r="BW14" s="317">
        <f t="shared" si="21"/>
        <v>0</v>
      </c>
      <c r="BX14" s="317">
        <f t="shared" si="21"/>
        <v>0</v>
      </c>
      <c r="BY14" s="320">
        <f t="shared" si="21"/>
        <v>0</v>
      </c>
    </row>
    <row r="15" spans="1:77" x14ac:dyDescent="0.25">
      <c r="A15" s="115" t="s">
        <v>198</v>
      </c>
      <c r="B15" s="116"/>
      <c r="D15" s="126" t="s">
        <v>199</v>
      </c>
      <c r="E15" s="259">
        <f>IF(E3&gt;$B$11,0,SUM(E7,E11:E14))</f>
        <v>-5050000</v>
      </c>
      <c r="F15" s="321">
        <f t="shared" ref="F15:BQ15" si="22">IF(F3&gt;$B$11,0,SUM(F7,F11:F14))</f>
        <v>24583.333333333332</v>
      </c>
      <c r="G15" s="321">
        <f t="shared" si="22"/>
        <v>24583.333333333332</v>
      </c>
      <c r="H15" s="321">
        <f t="shared" si="22"/>
        <v>24583.333333333332</v>
      </c>
      <c r="I15" s="321">
        <f t="shared" si="22"/>
        <v>24583.333333333332</v>
      </c>
      <c r="J15" s="321">
        <f t="shared" si="22"/>
        <v>24583.333333333332</v>
      </c>
      <c r="K15" s="321">
        <f t="shared" si="22"/>
        <v>24583.333333333332</v>
      </c>
      <c r="L15" s="321">
        <f t="shared" si="22"/>
        <v>24583.333333333332</v>
      </c>
      <c r="M15" s="321">
        <f t="shared" si="22"/>
        <v>24583.333333333332</v>
      </c>
      <c r="N15" s="321">
        <f t="shared" si="22"/>
        <v>24583.333333333332</v>
      </c>
      <c r="O15" s="321">
        <f t="shared" si="22"/>
        <v>24583.333333333332</v>
      </c>
      <c r="P15" s="321">
        <f t="shared" si="22"/>
        <v>24583.333333333332</v>
      </c>
      <c r="Q15" s="321">
        <f t="shared" si="22"/>
        <v>24583.333333333332</v>
      </c>
      <c r="R15" s="321">
        <f t="shared" si="22"/>
        <v>25570.833333333332</v>
      </c>
      <c r="S15" s="321">
        <f t="shared" si="22"/>
        <v>25570.833333333332</v>
      </c>
      <c r="T15" s="321">
        <f t="shared" si="22"/>
        <v>25570.833333333332</v>
      </c>
      <c r="U15" s="321">
        <f t="shared" si="22"/>
        <v>25570.833333333332</v>
      </c>
      <c r="V15" s="321">
        <f t="shared" si="22"/>
        <v>25570.833333333332</v>
      </c>
      <c r="W15" s="321">
        <f t="shared" si="22"/>
        <v>25570.833333333332</v>
      </c>
      <c r="X15" s="321">
        <f t="shared" si="22"/>
        <v>25570.833333333332</v>
      </c>
      <c r="Y15" s="321">
        <f t="shared" si="22"/>
        <v>25570.833333333332</v>
      </c>
      <c r="Z15" s="321">
        <f t="shared" si="22"/>
        <v>25570.833333333332</v>
      </c>
      <c r="AA15" s="321">
        <f t="shared" si="22"/>
        <v>25570.833333333332</v>
      </c>
      <c r="AB15" s="321">
        <f t="shared" si="22"/>
        <v>25570.833333333332</v>
      </c>
      <c r="AC15" s="321">
        <f t="shared" si="22"/>
        <v>25570.833333333332</v>
      </c>
      <c r="AD15" s="321">
        <f t="shared" si="22"/>
        <v>26597.958333333336</v>
      </c>
      <c r="AE15" s="321">
        <f t="shared" si="22"/>
        <v>26597.958333333336</v>
      </c>
      <c r="AF15" s="321">
        <f t="shared" si="22"/>
        <v>26597.958333333336</v>
      </c>
      <c r="AG15" s="321">
        <f t="shared" si="22"/>
        <v>26597.958333333336</v>
      </c>
      <c r="AH15" s="321">
        <f t="shared" si="22"/>
        <v>26597.958333333336</v>
      </c>
      <c r="AI15" s="321">
        <f t="shared" si="22"/>
        <v>26597.958333333336</v>
      </c>
      <c r="AJ15" s="321">
        <f t="shared" si="22"/>
        <v>26597.958333333336</v>
      </c>
      <c r="AK15" s="321">
        <f t="shared" si="22"/>
        <v>26597.958333333336</v>
      </c>
      <c r="AL15" s="321">
        <f t="shared" si="22"/>
        <v>26597.958333333336</v>
      </c>
      <c r="AM15" s="321">
        <f t="shared" si="22"/>
        <v>26597.958333333336</v>
      </c>
      <c r="AN15" s="321">
        <f t="shared" si="22"/>
        <v>26597.958333333336</v>
      </c>
      <c r="AO15" s="321">
        <f t="shared" si="22"/>
        <v>26597.958333333336</v>
      </c>
      <c r="AP15" s="321">
        <f t="shared" si="22"/>
        <v>27666.297083333335</v>
      </c>
      <c r="AQ15" s="321">
        <f t="shared" si="22"/>
        <v>27666.297083333335</v>
      </c>
      <c r="AR15" s="321">
        <f t="shared" si="22"/>
        <v>27666.297083333335</v>
      </c>
      <c r="AS15" s="321">
        <f t="shared" si="22"/>
        <v>27666.297083333335</v>
      </c>
      <c r="AT15" s="321">
        <f t="shared" si="22"/>
        <v>27666.297083333335</v>
      </c>
      <c r="AU15" s="321">
        <f t="shared" si="22"/>
        <v>27666.297083333335</v>
      </c>
      <c r="AV15" s="321">
        <f t="shared" si="22"/>
        <v>27666.297083333335</v>
      </c>
      <c r="AW15" s="321">
        <f t="shared" si="22"/>
        <v>27666.297083333335</v>
      </c>
      <c r="AX15" s="321">
        <f t="shared" si="22"/>
        <v>27666.297083333335</v>
      </c>
      <c r="AY15" s="321">
        <f t="shared" si="22"/>
        <v>27666.297083333335</v>
      </c>
      <c r="AZ15" s="321">
        <f t="shared" si="22"/>
        <v>27666.297083333335</v>
      </c>
      <c r="BA15" s="321">
        <f t="shared" si="22"/>
        <v>27666.297083333335</v>
      </c>
      <c r="BB15" s="321">
        <f t="shared" si="22"/>
        <v>28777.501995833336</v>
      </c>
      <c r="BC15" s="321">
        <f t="shared" si="22"/>
        <v>28777.501995833336</v>
      </c>
      <c r="BD15" s="321">
        <f t="shared" si="22"/>
        <v>28777.501995833336</v>
      </c>
      <c r="BE15" s="321">
        <f t="shared" si="22"/>
        <v>28777.501995833336</v>
      </c>
      <c r="BF15" s="321">
        <f t="shared" si="22"/>
        <v>28777.501995833336</v>
      </c>
      <c r="BG15" s="321">
        <f t="shared" si="22"/>
        <v>28777.501995833336</v>
      </c>
      <c r="BH15" s="321">
        <f t="shared" si="22"/>
        <v>28777.501995833336</v>
      </c>
      <c r="BI15" s="321">
        <f t="shared" si="22"/>
        <v>28777.501995833336</v>
      </c>
      <c r="BJ15" s="321">
        <f t="shared" si="22"/>
        <v>28777.501995833336</v>
      </c>
      <c r="BK15" s="321">
        <f t="shared" si="22"/>
        <v>28777.501995833336</v>
      </c>
      <c r="BL15" s="321">
        <f t="shared" si="22"/>
        <v>28777.501995833336</v>
      </c>
      <c r="BM15" s="321">
        <f t="shared" si="22"/>
        <v>5503715.5627958337</v>
      </c>
      <c r="BN15" s="321">
        <f t="shared" si="22"/>
        <v>0</v>
      </c>
      <c r="BO15" s="321">
        <f t="shared" si="22"/>
        <v>0</v>
      </c>
      <c r="BP15" s="321">
        <f t="shared" si="22"/>
        <v>0</v>
      </c>
      <c r="BQ15" s="321">
        <f t="shared" si="22"/>
        <v>0</v>
      </c>
      <c r="BR15" s="321">
        <f t="shared" ref="BR15:BY15" si="23">IF(BR3&gt;$B$11,0,SUM(BR7,BR11:BR14))</f>
        <v>0</v>
      </c>
      <c r="BS15" s="321">
        <f t="shared" si="23"/>
        <v>0</v>
      </c>
      <c r="BT15" s="321">
        <f t="shared" si="23"/>
        <v>0</v>
      </c>
      <c r="BU15" s="321">
        <f t="shared" si="23"/>
        <v>0</v>
      </c>
      <c r="BV15" s="321">
        <f t="shared" si="23"/>
        <v>0</v>
      </c>
      <c r="BW15" s="321">
        <f t="shared" si="23"/>
        <v>0</v>
      </c>
      <c r="BX15" s="321">
        <f t="shared" si="23"/>
        <v>0</v>
      </c>
      <c r="BY15" s="322">
        <f t="shared" si="23"/>
        <v>0</v>
      </c>
    </row>
    <row r="16" spans="1:77" x14ac:dyDescent="0.25">
      <c r="A16" s="117" t="s">
        <v>18</v>
      </c>
      <c r="B16" s="118">
        <v>3000000</v>
      </c>
      <c r="C16" s="56"/>
      <c r="D16" s="123" t="s">
        <v>124</v>
      </c>
      <c r="E16" s="251">
        <f>B16</f>
        <v>3000000</v>
      </c>
      <c r="F16" s="317">
        <v>0</v>
      </c>
      <c r="G16" s="317">
        <v>0</v>
      </c>
      <c r="H16" s="317">
        <v>0</v>
      </c>
      <c r="I16" s="317">
        <v>0</v>
      </c>
      <c r="J16" s="317">
        <v>0</v>
      </c>
      <c r="K16" s="317">
        <v>0</v>
      </c>
      <c r="L16" s="317">
        <v>0</v>
      </c>
      <c r="M16" s="317">
        <v>0</v>
      </c>
      <c r="N16" s="317">
        <v>0</v>
      </c>
      <c r="O16" s="317">
        <v>0</v>
      </c>
      <c r="P16" s="317">
        <v>0</v>
      </c>
      <c r="Q16" s="317">
        <v>0</v>
      </c>
      <c r="R16" s="317">
        <v>0</v>
      </c>
      <c r="S16" s="317">
        <v>0</v>
      </c>
      <c r="T16" s="317">
        <v>0</v>
      </c>
      <c r="U16" s="317">
        <v>0</v>
      </c>
      <c r="V16" s="317">
        <v>0</v>
      </c>
      <c r="W16" s="317">
        <v>0</v>
      </c>
      <c r="X16" s="317">
        <v>0</v>
      </c>
      <c r="Y16" s="317">
        <v>0</v>
      </c>
      <c r="Z16" s="317">
        <v>0</v>
      </c>
      <c r="AA16" s="317">
        <v>0</v>
      </c>
      <c r="AB16" s="317">
        <v>0</v>
      </c>
      <c r="AC16" s="317">
        <v>0</v>
      </c>
      <c r="AD16" s="317">
        <v>0</v>
      </c>
      <c r="AE16" s="317">
        <v>0</v>
      </c>
      <c r="AF16" s="317">
        <v>0</v>
      </c>
      <c r="AG16" s="317">
        <v>0</v>
      </c>
      <c r="AH16" s="317">
        <v>0</v>
      </c>
      <c r="AI16" s="317">
        <v>0</v>
      </c>
      <c r="AJ16" s="317">
        <v>0</v>
      </c>
      <c r="AK16" s="317">
        <v>0</v>
      </c>
      <c r="AL16" s="317">
        <v>0</v>
      </c>
      <c r="AM16" s="317">
        <v>0</v>
      </c>
      <c r="AN16" s="317">
        <v>0</v>
      </c>
      <c r="AO16" s="317">
        <v>0</v>
      </c>
      <c r="AP16" s="317">
        <v>0</v>
      </c>
      <c r="AQ16" s="317">
        <v>0</v>
      </c>
      <c r="AR16" s="317">
        <v>0</v>
      </c>
      <c r="AS16" s="317">
        <v>0</v>
      </c>
      <c r="AT16" s="317">
        <v>0</v>
      </c>
      <c r="AU16" s="317">
        <v>0</v>
      </c>
      <c r="AV16" s="317">
        <v>0</v>
      </c>
      <c r="AW16" s="317">
        <v>0</v>
      </c>
      <c r="AX16" s="317">
        <v>0</v>
      </c>
      <c r="AY16" s="317">
        <v>0</v>
      </c>
      <c r="AZ16" s="317">
        <v>0</v>
      </c>
      <c r="BA16" s="317">
        <v>0</v>
      </c>
      <c r="BB16" s="317">
        <v>0</v>
      </c>
      <c r="BC16" s="317">
        <v>0</v>
      </c>
      <c r="BD16" s="317">
        <v>0</v>
      </c>
      <c r="BE16" s="317">
        <v>0</v>
      </c>
      <c r="BF16" s="317">
        <v>0</v>
      </c>
      <c r="BG16" s="317">
        <v>0</v>
      </c>
      <c r="BH16" s="317">
        <v>0</v>
      </c>
      <c r="BI16" s="317">
        <v>0</v>
      </c>
      <c r="BJ16" s="317">
        <v>0</v>
      </c>
      <c r="BK16" s="317">
        <v>0</v>
      </c>
      <c r="BL16" s="317">
        <v>0</v>
      </c>
      <c r="BM16" s="317">
        <v>0</v>
      </c>
      <c r="BN16" s="317">
        <v>0</v>
      </c>
      <c r="BO16" s="317">
        <v>0</v>
      </c>
      <c r="BP16" s="317">
        <v>0</v>
      </c>
      <c r="BQ16" s="317">
        <v>0</v>
      </c>
      <c r="BR16" s="317">
        <v>0</v>
      </c>
      <c r="BS16" s="317">
        <v>0</v>
      </c>
      <c r="BT16" s="317">
        <v>0</v>
      </c>
      <c r="BU16" s="317">
        <v>0</v>
      </c>
      <c r="BV16" s="317">
        <v>0</v>
      </c>
      <c r="BW16" s="317">
        <v>0</v>
      </c>
      <c r="BX16" s="317">
        <v>0</v>
      </c>
      <c r="BY16" s="320">
        <v>0</v>
      </c>
    </row>
    <row r="17" spans="1:77" x14ac:dyDescent="0.25">
      <c r="A17" s="123" t="s">
        <v>194</v>
      </c>
      <c r="B17" s="420">
        <f>B16/B2</f>
        <v>0.6</v>
      </c>
      <c r="D17" s="123" t="s">
        <v>127</v>
      </c>
      <c r="E17" s="251">
        <v>0</v>
      </c>
      <c r="F17" s="317">
        <f>IF(F3=$B$11,-($B$16+SUM($F$8:F8)),0)</f>
        <v>0</v>
      </c>
      <c r="G17" s="317">
        <f>IF(G3=$B$11,-($B$16+SUM($F$8:G8)),0)</f>
        <v>0</v>
      </c>
      <c r="H17" s="317">
        <f>IF(H3=$B$11,-($B$16+SUM($F$8:H8)),0)</f>
        <v>0</v>
      </c>
      <c r="I17" s="317">
        <f>IF(I3=$B$11,-($B$16+SUM($F$8:I8)),0)</f>
        <v>0</v>
      </c>
      <c r="J17" s="317">
        <f>IF(J3=$B$11,-($B$16+SUM($F$8:J8)),0)</f>
        <v>0</v>
      </c>
      <c r="K17" s="317">
        <f>IF(K3=$B$11,-($B$16+SUM($F$8:K8)),0)</f>
        <v>0</v>
      </c>
      <c r="L17" s="317">
        <f>IF(L3=$B$11,-($B$16+SUM($F$8:L8)),0)</f>
        <v>0</v>
      </c>
      <c r="M17" s="317">
        <f>IF(M3=$B$11,-($B$16+SUM($F$8:M8)),0)</f>
        <v>0</v>
      </c>
      <c r="N17" s="317">
        <f>IF(N3=$B$11,-($B$16+SUM($F$8:N8)),0)</f>
        <v>0</v>
      </c>
      <c r="O17" s="317">
        <f>IF(O3=$B$11,-($B$16+SUM($F$8:O8)),0)</f>
        <v>0</v>
      </c>
      <c r="P17" s="317">
        <f>IF(P3=$B$11,-($B$16+SUM($F$8:P8)),0)</f>
        <v>0</v>
      </c>
      <c r="Q17" s="317">
        <f>IF(Q3=$B$11,-($B$16+SUM($F$8:Q8)),0)</f>
        <v>0</v>
      </c>
      <c r="R17" s="317">
        <f>IF(R3=$B$11,-($B$16+SUM($F$8:R8)),0)</f>
        <v>0</v>
      </c>
      <c r="S17" s="317">
        <f>IF(S3=$B$11,-($B$16+SUM($F$8:S8)),0)</f>
        <v>0</v>
      </c>
      <c r="T17" s="317">
        <f>IF(T3=$B$11,-($B$16+SUM($F$8:T8)),0)</f>
        <v>0</v>
      </c>
      <c r="U17" s="317">
        <f>IF(U3=$B$11,-($B$16+SUM($F$8:U8)),0)</f>
        <v>0</v>
      </c>
      <c r="V17" s="317">
        <f>IF(V3=$B$11,-($B$16+SUM($F$8:V8)),0)</f>
        <v>0</v>
      </c>
      <c r="W17" s="317">
        <f>IF(W3=$B$11,-($B$16+SUM($F$8:W8)),0)</f>
        <v>0</v>
      </c>
      <c r="X17" s="317">
        <f>IF(X3=$B$11,-($B$16+SUM($F$8:X8)),0)</f>
        <v>0</v>
      </c>
      <c r="Y17" s="317">
        <f>IF(Y3=$B$11,-($B$16+SUM($F$8:Y8)),0)</f>
        <v>0</v>
      </c>
      <c r="Z17" s="317">
        <f>IF(Z3=$B$11,-($B$16+SUM($F$8:Z8)),0)</f>
        <v>0</v>
      </c>
      <c r="AA17" s="317">
        <f>IF(AA3=$B$11,-($B$16+SUM($F$8:AA8)),0)</f>
        <v>0</v>
      </c>
      <c r="AB17" s="317">
        <f>IF(AB3=$B$11,-($B$16+SUM($F$8:AB8)),0)</f>
        <v>0</v>
      </c>
      <c r="AC17" s="317">
        <f>IF(AC3=$B$11,-($B$16+SUM($F$8:AC8)),0)</f>
        <v>0</v>
      </c>
      <c r="AD17" s="317">
        <f>IF(AD3=$B$11,-($B$16+SUM($F$8:AD8)),0)</f>
        <v>0</v>
      </c>
      <c r="AE17" s="317">
        <f>IF(AE3=$B$11,-($B$16+SUM($F$8:AE8)),0)</f>
        <v>0</v>
      </c>
      <c r="AF17" s="317">
        <f>IF(AF3=$B$11,-($B$16+SUM($F$8:AF8)),0)</f>
        <v>0</v>
      </c>
      <c r="AG17" s="317">
        <f>IF(AG3=$B$11,-($B$16+SUM($F$8:AG8)),0)</f>
        <v>0</v>
      </c>
      <c r="AH17" s="317">
        <f>IF(AH3=$B$11,-($B$16+SUM($F$8:AH8)),0)</f>
        <v>0</v>
      </c>
      <c r="AI17" s="317">
        <f>IF(AI3=$B$11,-($B$16+SUM($F$8:AI8)),0)</f>
        <v>0</v>
      </c>
      <c r="AJ17" s="317">
        <f>IF(AJ3=$B$11,-($B$16+SUM($F$8:AJ8)),0)</f>
        <v>0</v>
      </c>
      <c r="AK17" s="317">
        <f>IF(AK3=$B$11,-($B$16+SUM($F$8:AK8)),0)</f>
        <v>0</v>
      </c>
      <c r="AL17" s="317">
        <f>IF(AL3=$B$11,-($B$16+SUM($F$8:AL8)),0)</f>
        <v>0</v>
      </c>
      <c r="AM17" s="317">
        <f>IF(AM3=$B$11,-($B$16+SUM($F$8:AM8)),0)</f>
        <v>0</v>
      </c>
      <c r="AN17" s="317">
        <f>IF(AN3=$B$11,-($B$16+SUM($F$8:AN8)),0)</f>
        <v>0</v>
      </c>
      <c r="AO17" s="317">
        <f>IF(AO3=$B$11,-($B$16+SUM($F$8:AO8)),0)</f>
        <v>0</v>
      </c>
      <c r="AP17" s="317">
        <f>IF(AP3=$B$11,-($B$16+SUM($F$8:AP8)),0)</f>
        <v>0</v>
      </c>
      <c r="AQ17" s="317">
        <f>IF(AQ3=$B$11,-($B$16+SUM($F$8:AQ8)),0)</f>
        <v>0</v>
      </c>
      <c r="AR17" s="317">
        <f>IF(AR3=$B$11,-($B$16+SUM($F$8:AR8)),0)</f>
        <v>0</v>
      </c>
      <c r="AS17" s="317">
        <f>IF(AS3=$B$11,-($B$16+SUM($F$8:AS8)),0)</f>
        <v>0</v>
      </c>
      <c r="AT17" s="317">
        <f>IF(AT3=$B$11,-($B$16+SUM($F$8:AT8)),0)</f>
        <v>0</v>
      </c>
      <c r="AU17" s="317">
        <f>IF(AU3=$B$11,-($B$16+SUM($F$8:AU8)),0)</f>
        <v>0</v>
      </c>
      <c r="AV17" s="317">
        <f>IF(AV3=$B$11,-($B$16+SUM($F$8:AV8)),0)</f>
        <v>0</v>
      </c>
      <c r="AW17" s="317">
        <f>IF(AW3=$B$11,-($B$16+SUM($F$8:AW8)),0)</f>
        <v>0</v>
      </c>
      <c r="AX17" s="317">
        <f>IF(AX3=$B$11,-($B$16+SUM($F$8:AX8)),0)</f>
        <v>0</v>
      </c>
      <c r="AY17" s="317">
        <f>IF(AY3=$B$11,-($B$16+SUM($F$8:AY8)),0)</f>
        <v>0</v>
      </c>
      <c r="AZ17" s="317">
        <f>IF(AZ3=$B$11,-($B$16+SUM($F$8:AZ8)),0)</f>
        <v>0</v>
      </c>
      <c r="BA17" s="317">
        <f>IF(BA3=$B$11,-($B$16+SUM($F$8:BA8)),0)</f>
        <v>0</v>
      </c>
      <c r="BB17" s="317">
        <f>IF(BB3=$B$11,-($B$16+SUM($F$8:BB8)),0)</f>
        <v>0</v>
      </c>
      <c r="BC17" s="317">
        <f>IF(BC3=$B$11,-($B$16+SUM($F$8:BC8)),0)</f>
        <v>0</v>
      </c>
      <c r="BD17" s="317">
        <f>IF(BD3=$B$11,-($B$16+SUM($F$8:BD8)),0)</f>
        <v>0</v>
      </c>
      <c r="BE17" s="317">
        <f>IF(BE3=$B$11,-($B$16+SUM($F$8:BE8)),0)</f>
        <v>0</v>
      </c>
      <c r="BF17" s="317">
        <f>IF(BF3=$B$11,-($B$16+SUM($F$8:BF8)),0)</f>
        <v>0</v>
      </c>
      <c r="BG17" s="317">
        <f>IF(BG3=$B$11,-($B$16+SUM($F$8:BG8)),0)</f>
        <v>0</v>
      </c>
      <c r="BH17" s="317">
        <f>IF(BH3=$B$11,-($B$16+SUM($F$8:BH8)),0)</f>
        <v>0</v>
      </c>
      <c r="BI17" s="317">
        <f>IF(BI3=$B$11,-($B$16+SUM($F$8:BI8)),0)</f>
        <v>0</v>
      </c>
      <c r="BJ17" s="317">
        <f>IF(BJ3=$B$11,-($B$16+SUM($F$8:BJ8)),0)</f>
        <v>0</v>
      </c>
      <c r="BK17" s="317">
        <f>IF(BK3=$B$11,-($B$16+SUM($F$8:BK8)),0)</f>
        <v>0</v>
      </c>
      <c r="BL17" s="317">
        <f>IF(BL3=$B$11,-($B$16+SUM($F$8:BL8)),0)</f>
        <v>0</v>
      </c>
      <c r="BM17" s="317">
        <f>IF(BM3=$B$11,-($B$16+SUM($F$8:BM8)),0)</f>
        <v>-2713425.3940827288</v>
      </c>
      <c r="BN17" s="317">
        <f>IF(BN3=$B$11,-($B$16+SUM($F$8:BN8)),0)</f>
        <v>0</v>
      </c>
      <c r="BO17" s="317">
        <f>IF(BO3=$B$11,-($B$16+SUM($F$8:BO8)),0)</f>
        <v>0</v>
      </c>
      <c r="BP17" s="317">
        <f>IF(BP3=$B$11,-($B$16+SUM($F$8:BP8)),0)</f>
        <v>0</v>
      </c>
      <c r="BQ17" s="317">
        <f>IF(BQ3=$B$11,-($B$16+SUM($F$8:BQ8)),0)</f>
        <v>0</v>
      </c>
      <c r="BR17" s="317">
        <f>IF(BR3=$B$11,-($B$16+SUM($F$8:BR8)),0)</f>
        <v>0</v>
      </c>
      <c r="BS17" s="317">
        <f>IF(BS3=$B$11,-($B$16+SUM($F$8:BS8)),0)</f>
        <v>0</v>
      </c>
      <c r="BT17" s="317">
        <f>IF(BT3=$B$11,-($B$16+SUM($F$8:BT8)),0)</f>
        <v>0</v>
      </c>
      <c r="BU17" s="317">
        <f>IF(BU3=$B$11,-($B$16+SUM($F$8:BU8)),0)</f>
        <v>0</v>
      </c>
      <c r="BV17" s="317">
        <f>IF(BV3=$B$11,-($B$16+SUM($F$8:BV8)),0)</f>
        <v>0</v>
      </c>
      <c r="BW17" s="317">
        <f>IF(BW3=$B$11,-($B$16+SUM($F$8:BW8)),0)</f>
        <v>0</v>
      </c>
      <c r="BX17" s="317">
        <f>IF(BX3=$B$11,-($B$16+SUM($F$8:BX8)),0)</f>
        <v>0</v>
      </c>
      <c r="BY17" s="320">
        <f>IF(BY3=$B$11,-($B$16+SUM($F$8:BY8)),0)</f>
        <v>0</v>
      </c>
    </row>
    <row r="18" spans="1:77" x14ac:dyDescent="0.25">
      <c r="A18" s="123" t="s">
        <v>25</v>
      </c>
      <c r="B18" s="127">
        <v>0.04</v>
      </c>
      <c r="D18" s="126" t="s">
        <v>201</v>
      </c>
      <c r="E18" s="259">
        <f>IF(E3&gt;$B$11,0,SUM(E10:E14,E16:E17))</f>
        <v>-2050000</v>
      </c>
      <c r="F18" s="321">
        <f t="shared" ref="F18:BQ18" si="24">IF(F3&gt;$B$11,0,SUM(F10:F14,F16:F17))</f>
        <v>10260.87446936955</v>
      </c>
      <c r="G18" s="321">
        <f t="shared" si="24"/>
        <v>10260.87446936955</v>
      </c>
      <c r="H18" s="321">
        <f t="shared" si="24"/>
        <v>10260.874469369548</v>
      </c>
      <c r="I18" s="321">
        <f t="shared" si="24"/>
        <v>10260.87446936955</v>
      </c>
      <c r="J18" s="321">
        <f t="shared" si="24"/>
        <v>10260.874469369548</v>
      </c>
      <c r="K18" s="321">
        <f t="shared" si="24"/>
        <v>10260.87446936955</v>
      </c>
      <c r="L18" s="321">
        <f t="shared" si="24"/>
        <v>10260.874469369548</v>
      </c>
      <c r="M18" s="321">
        <f t="shared" si="24"/>
        <v>10260.874469369548</v>
      </c>
      <c r="N18" s="321">
        <f t="shared" si="24"/>
        <v>10260.87446936955</v>
      </c>
      <c r="O18" s="321">
        <f t="shared" si="24"/>
        <v>10260.87446936955</v>
      </c>
      <c r="P18" s="321">
        <f t="shared" si="24"/>
        <v>10260.874469369548</v>
      </c>
      <c r="Q18" s="321">
        <f t="shared" si="24"/>
        <v>10260.87446936955</v>
      </c>
      <c r="R18" s="321">
        <f t="shared" si="24"/>
        <v>11248.37446936955</v>
      </c>
      <c r="S18" s="321">
        <f t="shared" si="24"/>
        <v>11248.374469369548</v>
      </c>
      <c r="T18" s="321">
        <f t="shared" si="24"/>
        <v>11248.374469369552</v>
      </c>
      <c r="U18" s="321">
        <f t="shared" si="24"/>
        <v>11248.37446936955</v>
      </c>
      <c r="V18" s="321">
        <f t="shared" si="24"/>
        <v>11248.37446936955</v>
      </c>
      <c r="W18" s="321">
        <f t="shared" si="24"/>
        <v>11248.374469369546</v>
      </c>
      <c r="X18" s="321">
        <f t="shared" si="24"/>
        <v>11248.374469369548</v>
      </c>
      <c r="Y18" s="321">
        <f t="shared" si="24"/>
        <v>11248.37446936955</v>
      </c>
      <c r="Z18" s="321">
        <f t="shared" si="24"/>
        <v>11248.374469369548</v>
      </c>
      <c r="AA18" s="321">
        <f t="shared" si="24"/>
        <v>11248.37446936955</v>
      </c>
      <c r="AB18" s="321">
        <f t="shared" si="24"/>
        <v>11248.374469369548</v>
      </c>
      <c r="AC18" s="321">
        <f t="shared" si="24"/>
        <v>11248.374469369548</v>
      </c>
      <c r="AD18" s="321">
        <f t="shared" si="24"/>
        <v>12275.499469369552</v>
      </c>
      <c r="AE18" s="321">
        <f t="shared" si="24"/>
        <v>12275.49946936955</v>
      </c>
      <c r="AF18" s="321">
        <f t="shared" si="24"/>
        <v>12275.499469369552</v>
      </c>
      <c r="AG18" s="321">
        <f t="shared" si="24"/>
        <v>12275.499469369553</v>
      </c>
      <c r="AH18" s="321">
        <f t="shared" si="24"/>
        <v>12275.499469369552</v>
      </c>
      <c r="AI18" s="321">
        <f t="shared" si="24"/>
        <v>12275.499469369553</v>
      </c>
      <c r="AJ18" s="321">
        <f t="shared" si="24"/>
        <v>12275.499469369552</v>
      </c>
      <c r="AK18" s="321">
        <f t="shared" si="24"/>
        <v>12275.499469369552</v>
      </c>
      <c r="AL18" s="321">
        <f t="shared" si="24"/>
        <v>12275.499469369552</v>
      </c>
      <c r="AM18" s="321">
        <f t="shared" si="24"/>
        <v>12275.49946936955</v>
      </c>
      <c r="AN18" s="321">
        <f t="shared" si="24"/>
        <v>12275.499469369552</v>
      </c>
      <c r="AO18" s="321">
        <f t="shared" si="24"/>
        <v>12275.49946936955</v>
      </c>
      <c r="AP18" s="321">
        <f t="shared" si="24"/>
        <v>13343.838219369552</v>
      </c>
      <c r="AQ18" s="321">
        <f t="shared" si="24"/>
        <v>13343.838219369552</v>
      </c>
      <c r="AR18" s="321">
        <f t="shared" si="24"/>
        <v>13343.838219369551</v>
      </c>
      <c r="AS18" s="321">
        <f t="shared" si="24"/>
        <v>13343.838219369551</v>
      </c>
      <c r="AT18" s="321">
        <f t="shared" si="24"/>
        <v>13343.838219369552</v>
      </c>
      <c r="AU18" s="321">
        <f t="shared" si="24"/>
        <v>13343.838219369551</v>
      </c>
      <c r="AV18" s="321">
        <f t="shared" si="24"/>
        <v>13343.838219369552</v>
      </c>
      <c r="AW18" s="321">
        <f t="shared" si="24"/>
        <v>13343.838219369551</v>
      </c>
      <c r="AX18" s="321">
        <f t="shared" si="24"/>
        <v>13343.838219369551</v>
      </c>
      <c r="AY18" s="321">
        <f t="shared" si="24"/>
        <v>13343.838219369552</v>
      </c>
      <c r="AZ18" s="321">
        <f t="shared" si="24"/>
        <v>13343.838219369551</v>
      </c>
      <c r="BA18" s="321">
        <f t="shared" si="24"/>
        <v>13343.838219369549</v>
      </c>
      <c r="BB18" s="321">
        <f t="shared" si="24"/>
        <v>14455.04313186955</v>
      </c>
      <c r="BC18" s="321">
        <f t="shared" si="24"/>
        <v>14455.043131869552</v>
      </c>
      <c r="BD18" s="321">
        <f t="shared" si="24"/>
        <v>14455.043131869552</v>
      </c>
      <c r="BE18" s="321">
        <f t="shared" si="24"/>
        <v>14455.04313186955</v>
      </c>
      <c r="BF18" s="321">
        <f t="shared" si="24"/>
        <v>14455.043131869552</v>
      </c>
      <c r="BG18" s="321">
        <f t="shared" si="24"/>
        <v>14455.043131869552</v>
      </c>
      <c r="BH18" s="321">
        <f t="shared" si="24"/>
        <v>14455.04313186955</v>
      </c>
      <c r="BI18" s="321">
        <f t="shared" si="24"/>
        <v>14455.043131869552</v>
      </c>
      <c r="BJ18" s="321">
        <f t="shared" si="24"/>
        <v>14455.043131869552</v>
      </c>
      <c r="BK18" s="321">
        <f t="shared" si="24"/>
        <v>14455.043131869554</v>
      </c>
      <c r="BL18" s="321">
        <f t="shared" si="24"/>
        <v>14455.043131869552</v>
      </c>
      <c r="BM18" s="321">
        <f t="shared" si="24"/>
        <v>2775967.7098491406</v>
      </c>
      <c r="BN18" s="321">
        <f t="shared" si="24"/>
        <v>0</v>
      </c>
      <c r="BO18" s="321">
        <f t="shared" si="24"/>
        <v>0</v>
      </c>
      <c r="BP18" s="321">
        <f t="shared" si="24"/>
        <v>0</v>
      </c>
      <c r="BQ18" s="321">
        <f t="shared" si="24"/>
        <v>0</v>
      </c>
      <c r="BR18" s="321">
        <f t="shared" ref="BR18:BY18" si="25">IF(BR3&gt;$B$11,0,SUM(BR10:BR14,BR16:BR17))</f>
        <v>0</v>
      </c>
      <c r="BS18" s="321">
        <f t="shared" si="25"/>
        <v>0</v>
      </c>
      <c r="BT18" s="321">
        <f t="shared" si="25"/>
        <v>0</v>
      </c>
      <c r="BU18" s="321">
        <f t="shared" si="25"/>
        <v>0</v>
      </c>
      <c r="BV18" s="321">
        <f t="shared" si="25"/>
        <v>0</v>
      </c>
      <c r="BW18" s="321">
        <f t="shared" si="25"/>
        <v>0</v>
      </c>
      <c r="BX18" s="321">
        <f t="shared" si="25"/>
        <v>0</v>
      </c>
      <c r="BY18" s="322">
        <f t="shared" si="25"/>
        <v>0</v>
      </c>
    </row>
    <row r="19" spans="1:77" x14ac:dyDescent="0.25">
      <c r="A19" s="128" t="s">
        <v>12</v>
      </c>
      <c r="B19" s="130">
        <v>30</v>
      </c>
    </row>
    <row r="20" spans="1:77" x14ac:dyDescent="0.25">
      <c r="Q20" s="418"/>
      <c r="R20" s="418"/>
    </row>
    <row r="21" spans="1:77" x14ac:dyDescent="0.25">
      <c r="A21" s="115" t="s">
        <v>203</v>
      </c>
      <c r="B21" s="116"/>
    </row>
    <row r="22" spans="1:77" x14ac:dyDescent="0.25">
      <c r="A22" s="123" t="s">
        <v>15</v>
      </c>
      <c r="B22" s="31">
        <v>7.0000000000000007E-2</v>
      </c>
    </row>
    <row r="23" spans="1:77" x14ac:dyDescent="0.25">
      <c r="A23" s="123" t="s">
        <v>219</v>
      </c>
      <c r="B23" s="132">
        <f>XNPV(B22,E18:BY18,E2:BY2)</f>
        <v>536615.79383924115</v>
      </c>
    </row>
    <row r="24" spans="1:77" x14ac:dyDescent="0.25">
      <c r="A24" s="123" t="s">
        <v>220</v>
      </c>
      <c r="B24" s="135">
        <f>XIRR(E18:BY18,E2:BY2)</f>
        <v>0.12836264967918395</v>
      </c>
    </row>
    <row r="25" spans="1:77" x14ac:dyDescent="0.25">
      <c r="A25" s="128" t="s">
        <v>137</v>
      </c>
      <c r="B25" s="325">
        <f>SUMIF(E18:BY18,"&gt;0",E18:BY18)/ABS(SUMIF(E18:BY18,"&lt;0",E18:BY18))</f>
        <v>1.7075688896728993</v>
      </c>
    </row>
  </sheetData>
  <dataValidations count="1">
    <dataValidation type="list" allowBlank="1" showInputMessage="1" showErrorMessage="1" sqref="B7 B9">
      <formula1>"Monthly,Annually"</formula1>
    </dataValidation>
  </dataValidations>
  <pageMargins left="0.75" right="0.75" top="1" bottom="1" header="0.5" footer="0.5"/>
  <pageSetup scale="77" orientation="portrait" horizontalDpi="4294967292" verticalDpi="4294967292"/>
  <colBreaks count="1" manualBreakCount="1">
    <brk id="10" max="1048575"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zoomScaleNormal="100" workbookViewId="0"/>
  </sheetViews>
  <sheetFormatPr defaultColWidth="10.875" defaultRowHeight="13.5" x14ac:dyDescent="0.25"/>
  <cols>
    <col min="1" max="1" width="48.5" style="23" bestFit="1" customWidth="1"/>
    <col min="2" max="2" width="12.5" style="23" bestFit="1" customWidth="1"/>
    <col min="3" max="3" width="22.125" style="23" bestFit="1" customWidth="1"/>
    <col min="4" max="4" width="19.875" style="23" bestFit="1" customWidth="1"/>
    <col min="5" max="5" width="14.5" style="23" bestFit="1" customWidth="1"/>
    <col min="6" max="6" width="17.125" style="23" bestFit="1" customWidth="1"/>
    <col min="7" max="7" width="10" style="23" bestFit="1" customWidth="1"/>
    <col min="8" max="14" width="9.125" style="23" bestFit="1" customWidth="1"/>
    <col min="15" max="15" width="11.75" style="23" bestFit="1" customWidth="1"/>
    <col min="16" max="16384" width="10.875" style="23"/>
  </cols>
  <sheetData>
    <row r="1" spans="1:15" x14ac:dyDescent="0.25">
      <c r="A1" s="277" t="s">
        <v>85</v>
      </c>
    </row>
    <row r="2" spans="1:15" x14ac:dyDescent="0.25">
      <c r="A2" s="115" t="s">
        <v>360</v>
      </c>
      <c r="B2" s="281"/>
      <c r="D2" s="282"/>
      <c r="E2" s="17" t="s">
        <v>16</v>
      </c>
      <c r="F2" s="283">
        <v>1</v>
      </c>
      <c r="G2" s="283">
        <f>F2+1</f>
        <v>2</v>
      </c>
      <c r="H2" s="283">
        <f t="shared" ref="H2:O2" si="0">G2+1</f>
        <v>3</v>
      </c>
      <c r="I2" s="283">
        <f t="shared" si="0"/>
        <v>4</v>
      </c>
      <c r="J2" s="283">
        <f t="shared" si="0"/>
        <v>5</v>
      </c>
      <c r="K2" s="283">
        <f t="shared" si="0"/>
        <v>6</v>
      </c>
      <c r="L2" s="283">
        <f t="shared" si="0"/>
        <v>7</v>
      </c>
      <c r="M2" s="283">
        <f t="shared" si="0"/>
        <v>8</v>
      </c>
      <c r="N2" s="283">
        <f t="shared" si="0"/>
        <v>9</v>
      </c>
      <c r="O2" s="284">
        <f t="shared" si="0"/>
        <v>10</v>
      </c>
    </row>
    <row r="3" spans="1:15" x14ac:dyDescent="0.25">
      <c r="A3" s="117" t="s">
        <v>13</v>
      </c>
      <c r="B3" s="28">
        <v>10000000</v>
      </c>
      <c r="D3" s="117" t="s">
        <v>13</v>
      </c>
      <c r="E3" s="76">
        <f>-B3</f>
        <v>-10000000</v>
      </c>
      <c r="F3" s="76"/>
      <c r="G3" s="76"/>
      <c r="H3" s="76"/>
      <c r="I3" s="76"/>
      <c r="J3" s="76"/>
      <c r="K3" s="76"/>
      <c r="L3" s="76"/>
      <c r="M3" s="76"/>
      <c r="N3" s="76"/>
      <c r="O3" s="77"/>
    </row>
    <row r="4" spans="1:15" x14ac:dyDescent="0.25">
      <c r="A4" s="123" t="s">
        <v>36</v>
      </c>
      <c r="B4" s="278">
        <v>0.06</v>
      </c>
      <c r="D4" s="123" t="s">
        <v>79</v>
      </c>
      <c r="E4" s="76"/>
      <c r="F4" s="76">
        <f>B3*B4</f>
        <v>600000</v>
      </c>
      <c r="G4" s="76">
        <f t="shared" ref="G4:O4" si="1">F4*(1+$B$6)</f>
        <v>621000</v>
      </c>
      <c r="H4" s="76">
        <f t="shared" si="1"/>
        <v>642735</v>
      </c>
      <c r="I4" s="76">
        <f t="shared" si="1"/>
        <v>665230.72499999998</v>
      </c>
      <c r="J4" s="76">
        <f t="shared" si="1"/>
        <v>688513.80037499988</v>
      </c>
      <c r="K4" s="76">
        <f t="shared" si="1"/>
        <v>712611.78338812478</v>
      </c>
      <c r="L4" s="76">
        <f t="shared" si="1"/>
        <v>737553.19580670912</v>
      </c>
      <c r="M4" s="76">
        <f t="shared" si="1"/>
        <v>763367.55765994382</v>
      </c>
      <c r="N4" s="76">
        <f t="shared" si="1"/>
        <v>790085.42217804177</v>
      </c>
      <c r="O4" s="77">
        <f t="shared" si="1"/>
        <v>817738.41195427312</v>
      </c>
    </row>
    <row r="5" spans="1:15" x14ac:dyDescent="0.25">
      <c r="A5" s="123" t="s">
        <v>82</v>
      </c>
      <c r="B5" s="29">
        <v>6.7500000000000004E-2</v>
      </c>
      <c r="D5" s="128" t="s">
        <v>14</v>
      </c>
      <c r="E5" s="230"/>
      <c r="F5" s="230"/>
      <c r="G5" s="230"/>
      <c r="H5" s="230"/>
      <c r="I5" s="230"/>
      <c r="J5" s="230"/>
      <c r="K5" s="230"/>
      <c r="L5" s="230"/>
      <c r="M5" s="230"/>
      <c r="N5" s="230"/>
      <c r="O5" s="232">
        <f>(O4*(1+B6))/B5</f>
        <v>12538655.649965519</v>
      </c>
    </row>
    <row r="6" spans="1:15" x14ac:dyDescent="0.25">
      <c r="A6" s="128" t="s">
        <v>81</v>
      </c>
      <c r="B6" s="171">
        <v>3.5000000000000003E-2</v>
      </c>
      <c r="D6" s="157" t="s">
        <v>80</v>
      </c>
      <c r="E6" s="285">
        <f>SUM(E3:E5)</f>
        <v>-10000000</v>
      </c>
      <c r="F6" s="285">
        <f t="shared" ref="F6:O6" si="2">SUM(F3:F5)</f>
        <v>600000</v>
      </c>
      <c r="G6" s="285">
        <f t="shared" si="2"/>
        <v>621000</v>
      </c>
      <c r="H6" s="285">
        <f t="shared" si="2"/>
        <v>642735</v>
      </c>
      <c r="I6" s="285">
        <f t="shared" si="2"/>
        <v>665230.72499999998</v>
      </c>
      <c r="J6" s="285">
        <f t="shared" si="2"/>
        <v>688513.80037499988</v>
      </c>
      <c r="K6" s="285">
        <f t="shared" si="2"/>
        <v>712611.78338812478</v>
      </c>
      <c r="L6" s="285">
        <f t="shared" si="2"/>
        <v>737553.19580670912</v>
      </c>
      <c r="M6" s="285">
        <f t="shared" si="2"/>
        <v>763367.55765994382</v>
      </c>
      <c r="N6" s="285">
        <f t="shared" si="2"/>
        <v>790085.42217804177</v>
      </c>
      <c r="O6" s="286">
        <f t="shared" si="2"/>
        <v>13356394.061919792</v>
      </c>
    </row>
    <row r="8" spans="1:15" x14ac:dyDescent="0.25">
      <c r="A8" s="164" t="s">
        <v>75</v>
      </c>
      <c r="D8" s="115" t="s">
        <v>361</v>
      </c>
      <c r="E8" s="116"/>
      <c r="F8" s="116"/>
      <c r="G8" s="116"/>
      <c r="H8" s="116"/>
      <c r="I8" s="41"/>
    </row>
    <row r="9" spans="1:15" x14ac:dyDescent="0.25">
      <c r="A9" s="228" t="s">
        <v>84</v>
      </c>
      <c r="D9" s="421"/>
      <c r="E9" s="287">
        <v>2.5000000000000001E-2</v>
      </c>
      <c r="F9" s="287">
        <v>3.0000000000000002E-2</v>
      </c>
      <c r="G9" s="287">
        <v>3.5000000000000003E-2</v>
      </c>
      <c r="H9" s="287">
        <v>0.04</v>
      </c>
      <c r="I9" s="288">
        <v>4.4999999999999998E-2</v>
      </c>
    </row>
    <row r="10" spans="1:15" x14ac:dyDescent="0.25">
      <c r="D10" s="293">
        <f>IRR(E6:O6)</f>
        <v>8.5818496032070479E-2</v>
      </c>
      <c r="E10" s="300"/>
      <c r="F10" s="300"/>
      <c r="G10" s="300"/>
      <c r="H10" s="300"/>
      <c r="I10" s="300"/>
    </row>
    <row r="12" spans="1:15" x14ac:dyDescent="0.25">
      <c r="A12" s="164" t="s">
        <v>76</v>
      </c>
      <c r="D12" s="115" t="s">
        <v>362</v>
      </c>
      <c r="E12" s="116"/>
      <c r="F12" s="116"/>
      <c r="G12" s="116"/>
      <c r="H12" s="116"/>
      <c r="I12" s="41"/>
    </row>
    <row r="13" spans="1:15" x14ac:dyDescent="0.25">
      <c r="A13" s="144" t="s">
        <v>83</v>
      </c>
      <c r="D13" s="289">
        <f>IRR(E6:O6)</f>
        <v>8.5818496032070479E-2</v>
      </c>
      <c r="E13" s="290">
        <v>2.5000000000000001E-2</v>
      </c>
      <c r="F13" s="290">
        <v>3.0000000000000002E-2</v>
      </c>
      <c r="G13" s="290">
        <v>3.5000000000000003E-2</v>
      </c>
      <c r="H13" s="290">
        <v>0.04</v>
      </c>
      <c r="I13" s="291">
        <v>4.4999999999999998E-2</v>
      </c>
    </row>
    <row r="14" spans="1:15" x14ac:dyDescent="0.25">
      <c r="D14" s="292">
        <v>6.25E-2</v>
      </c>
      <c r="E14" s="300"/>
      <c r="F14" s="300"/>
      <c r="G14" s="300"/>
      <c r="H14" s="300"/>
      <c r="I14" s="300"/>
    </row>
    <row r="15" spans="1:15" x14ac:dyDescent="0.25">
      <c r="D15" s="292">
        <v>6.5000000000000002E-2</v>
      </c>
      <c r="E15" s="300"/>
      <c r="F15" s="300"/>
      <c r="G15" s="300"/>
      <c r="H15" s="300"/>
      <c r="I15" s="300"/>
    </row>
    <row r="16" spans="1:15" x14ac:dyDescent="0.25">
      <c r="D16" s="292">
        <v>6.7500000000000004E-2</v>
      </c>
      <c r="E16" s="300"/>
      <c r="F16" s="300"/>
      <c r="G16" s="300"/>
      <c r="H16" s="300"/>
      <c r="I16" s="300"/>
    </row>
    <row r="17" spans="1:15" x14ac:dyDescent="0.25">
      <c r="D17" s="292">
        <v>7.0000000000000007E-2</v>
      </c>
      <c r="E17" s="300"/>
      <c r="F17" s="300"/>
      <c r="G17" s="300"/>
      <c r="H17" s="300"/>
      <c r="I17" s="300"/>
    </row>
    <row r="18" spans="1:15" x14ac:dyDescent="0.25">
      <c r="D18" s="293">
        <v>7.2500000000000009E-2</v>
      </c>
      <c r="E18" s="300"/>
      <c r="F18" s="300"/>
      <c r="G18" s="300"/>
      <c r="H18" s="300"/>
      <c r="I18" s="300"/>
    </row>
    <row r="19" spans="1:15" x14ac:dyDescent="0.25">
      <c r="F19" s="159"/>
      <c r="G19" s="159"/>
      <c r="H19" s="159"/>
      <c r="I19" s="159"/>
      <c r="J19" s="159"/>
    </row>
    <row r="20" spans="1:15" x14ac:dyDescent="0.25">
      <c r="D20" s="298"/>
      <c r="E20" s="299"/>
      <c r="F20" s="159"/>
      <c r="G20" s="159"/>
      <c r="H20" s="159"/>
      <c r="I20" s="159"/>
      <c r="J20" s="159"/>
    </row>
    <row r="21" spans="1:15" x14ac:dyDescent="0.25">
      <c r="A21" s="164" t="s">
        <v>77</v>
      </c>
      <c r="D21" s="115" t="s">
        <v>362</v>
      </c>
      <c r="E21" s="116"/>
      <c r="F21" s="116"/>
      <c r="G21" s="116"/>
      <c r="H21" s="116"/>
      <c r="I21" s="41"/>
    </row>
    <row r="22" spans="1:15" x14ac:dyDescent="0.25">
      <c r="A22" s="144" t="s">
        <v>365</v>
      </c>
      <c r="D22" s="289">
        <f>IRR(E6:O6)</f>
        <v>8.5818496032070479E-2</v>
      </c>
      <c r="E22" s="290">
        <v>2.5000000000000001E-2</v>
      </c>
      <c r="F22" s="290">
        <v>3.0000000000000002E-2</v>
      </c>
      <c r="G22" s="290">
        <v>3.5000000000000003E-2</v>
      </c>
      <c r="H22" s="290">
        <v>0.04</v>
      </c>
      <c r="I22" s="291">
        <v>4.4999999999999998E-2</v>
      </c>
    </row>
    <row r="23" spans="1:15" x14ac:dyDescent="0.25">
      <c r="D23" s="292">
        <v>6.25E-2</v>
      </c>
      <c r="E23" s="300"/>
      <c r="F23" s="300"/>
      <c r="G23" s="300"/>
      <c r="H23" s="300"/>
      <c r="I23" s="300"/>
    </row>
    <row r="24" spans="1:15" x14ac:dyDescent="0.25">
      <c r="D24" s="292">
        <v>6.5000000000000002E-2</v>
      </c>
      <c r="E24" s="300"/>
      <c r="F24" s="300"/>
      <c r="G24" s="300"/>
      <c r="H24" s="300"/>
      <c r="I24" s="300"/>
    </row>
    <row r="25" spans="1:15" x14ac:dyDescent="0.25">
      <c r="D25" s="292">
        <v>6.7500000000000004E-2</v>
      </c>
      <c r="E25" s="300"/>
      <c r="F25" s="300"/>
      <c r="G25" s="300"/>
      <c r="H25" s="300"/>
      <c r="I25" s="300"/>
    </row>
    <row r="26" spans="1:15" x14ac:dyDescent="0.25">
      <c r="D26" s="292">
        <v>7.0000000000000007E-2</v>
      </c>
      <c r="E26" s="300"/>
      <c r="F26" s="300"/>
      <c r="G26" s="300"/>
      <c r="H26" s="300"/>
      <c r="I26" s="300"/>
    </row>
    <row r="27" spans="1:15" x14ac:dyDescent="0.25">
      <c r="D27" s="293">
        <v>7.2500000000000009E-2</v>
      </c>
      <c r="E27" s="300"/>
      <c r="F27" s="300"/>
      <c r="G27" s="300"/>
      <c r="H27" s="300"/>
      <c r="I27" s="300"/>
    </row>
    <row r="28" spans="1:15" x14ac:dyDescent="0.25">
      <c r="D28" s="147"/>
      <c r="E28" s="147"/>
    </row>
    <row r="29" spans="1:15" x14ac:dyDescent="0.25">
      <c r="A29" s="277" t="s">
        <v>85</v>
      </c>
    </row>
    <row r="30" spans="1:15" x14ac:dyDescent="0.25">
      <c r="A30" s="115" t="s">
        <v>360</v>
      </c>
      <c r="B30" s="281"/>
      <c r="D30" s="282"/>
      <c r="E30" s="17" t="s">
        <v>16</v>
      </c>
      <c r="F30" s="283">
        <v>1</v>
      </c>
      <c r="G30" s="283">
        <f>F30+1</f>
        <v>2</v>
      </c>
      <c r="H30" s="283">
        <f t="shared" ref="H30:O30" si="3">G30+1</f>
        <v>3</v>
      </c>
      <c r="I30" s="283">
        <f t="shared" si="3"/>
        <v>4</v>
      </c>
      <c r="J30" s="283">
        <f t="shared" si="3"/>
        <v>5</v>
      </c>
      <c r="K30" s="283">
        <f t="shared" si="3"/>
        <v>6</v>
      </c>
      <c r="L30" s="283">
        <f t="shared" si="3"/>
        <v>7</v>
      </c>
      <c r="M30" s="283">
        <f t="shared" si="3"/>
        <v>8</v>
      </c>
      <c r="N30" s="283">
        <f t="shared" si="3"/>
        <v>9</v>
      </c>
      <c r="O30" s="284">
        <f t="shared" si="3"/>
        <v>10</v>
      </c>
    </row>
    <row r="31" spans="1:15" x14ac:dyDescent="0.25">
      <c r="A31" s="117" t="s">
        <v>13</v>
      </c>
      <c r="B31" s="326">
        <v>10000000</v>
      </c>
      <c r="D31" s="117" t="s">
        <v>13</v>
      </c>
      <c r="E31" s="76">
        <f>-B31</f>
        <v>-10000000</v>
      </c>
      <c r="F31" s="76"/>
      <c r="G31" s="76"/>
      <c r="H31" s="76"/>
      <c r="I31" s="76"/>
      <c r="J31" s="76"/>
      <c r="K31" s="76"/>
      <c r="L31" s="76"/>
      <c r="M31" s="76"/>
      <c r="N31" s="76"/>
      <c r="O31" s="77"/>
    </row>
    <row r="32" spans="1:15" x14ac:dyDescent="0.25">
      <c r="A32" s="123" t="s">
        <v>89</v>
      </c>
      <c r="B32" s="302">
        <v>600000</v>
      </c>
      <c r="D32" s="123" t="s">
        <v>79</v>
      </c>
      <c r="E32" s="76"/>
      <c r="F32" s="76">
        <f>B32</f>
        <v>600000</v>
      </c>
      <c r="G32" s="76">
        <f t="shared" ref="G32:O32" si="4">F32*(1+$B$6)</f>
        <v>621000</v>
      </c>
      <c r="H32" s="76">
        <f t="shared" si="4"/>
        <v>642735</v>
      </c>
      <c r="I32" s="76">
        <f t="shared" si="4"/>
        <v>665230.72499999998</v>
      </c>
      <c r="J32" s="76">
        <f t="shared" si="4"/>
        <v>688513.80037499988</v>
      </c>
      <c r="K32" s="76">
        <f t="shared" si="4"/>
        <v>712611.78338812478</v>
      </c>
      <c r="L32" s="76">
        <f t="shared" si="4"/>
        <v>737553.19580670912</v>
      </c>
      <c r="M32" s="76">
        <f t="shared" si="4"/>
        <v>763367.55765994382</v>
      </c>
      <c r="N32" s="76">
        <f t="shared" si="4"/>
        <v>790085.42217804177</v>
      </c>
      <c r="O32" s="77">
        <f t="shared" si="4"/>
        <v>817738.41195427312</v>
      </c>
    </row>
    <row r="33" spans="1:15" x14ac:dyDescent="0.25">
      <c r="A33" s="123" t="s">
        <v>82</v>
      </c>
      <c r="B33" s="29">
        <v>6.7500000000000004E-2</v>
      </c>
      <c r="D33" s="128" t="s">
        <v>14</v>
      </c>
      <c r="E33" s="230"/>
      <c r="F33" s="230"/>
      <c r="G33" s="230"/>
      <c r="H33" s="230"/>
      <c r="I33" s="230"/>
      <c r="J33" s="230"/>
      <c r="K33" s="230"/>
      <c r="L33" s="230"/>
      <c r="M33" s="230"/>
      <c r="N33" s="230"/>
      <c r="O33" s="232">
        <f>(O32*(1+B34))/B33</f>
        <v>12538655.649965519</v>
      </c>
    </row>
    <row r="34" spans="1:15" x14ac:dyDescent="0.25">
      <c r="A34" s="128" t="s">
        <v>81</v>
      </c>
      <c r="B34" s="171">
        <v>3.5000000000000003E-2</v>
      </c>
      <c r="D34" s="157" t="s">
        <v>80</v>
      </c>
      <c r="E34" s="285">
        <f>SUM(E31:E33)</f>
        <v>-10000000</v>
      </c>
      <c r="F34" s="285">
        <f t="shared" ref="F34:O34" si="5">SUM(F31:F33)</f>
        <v>600000</v>
      </c>
      <c r="G34" s="285">
        <f t="shared" si="5"/>
        <v>621000</v>
      </c>
      <c r="H34" s="285">
        <f t="shared" si="5"/>
        <v>642735</v>
      </c>
      <c r="I34" s="285">
        <f t="shared" si="5"/>
        <v>665230.72499999998</v>
      </c>
      <c r="J34" s="285">
        <f t="shared" si="5"/>
        <v>688513.80037499988</v>
      </c>
      <c r="K34" s="285">
        <f t="shared" si="5"/>
        <v>712611.78338812478</v>
      </c>
      <c r="L34" s="285">
        <f t="shared" si="5"/>
        <v>737553.19580670912</v>
      </c>
      <c r="M34" s="285">
        <f t="shared" si="5"/>
        <v>763367.55765994382</v>
      </c>
      <c r="N34" s="285">
        <f t="shared" si="5"/>
        <v>790085.42217804177</v>
      </c>
      <c r="O34" s="286">
        <f t="shared" si="5"/>
        <v>13356394.061919792</v>
      </c>
    </row>
    <row r="35" spans="1:15" x14ac:dyDescent="0.25">
      <c r="A35" s="157" t="s">
        <v>366</v>
      </c>
      <c r="B35" s="301">
        <f>IRR(E34:O34)</f>
        <v>8.5818496032070479E-2</v>
      </c>
      <c r="D35" s="147"/>
      <c r="E35" s="147"/>
    </row>
    <row r="36" spans="1:15" x14ac:dyDescent="0.25">
      <c r="D36" s="147"/>
      <c r="E36" s="147"/>
    </row>
    <row r="37" spans="1:15" x14ac:dyDescent="0.25">
      <c r="A37" s="164" t="s">
        <v>74</v>
      </c>
      <c r="D37" s="147"/>
      <c r="E37" s="147"/>
    </row>
    <row r="38" spans="1:15" x14ac:dyDescent="0.25">
      <c r="A38" s="141" t="s">
        <v>400</v>
      </c>
      <c r="D38" s="147"/>
      <c r="E38" s="147"/>
    </row>
    <row r="39" spans="1:15" x14ac:dyDescent="0.25">
      <c r="A39" s="144" t="s">
        <v>401</v>
      </c>
      <c r="D39" s="147"/>
      <c r="E39" s="147"/>
    </row>
    <row r="40" spans="1:15" x14ac:dyDescent="0.25">
      <c r="D40" s="147"/>
      <c r="E40" s="147"/>
    </row>
    <row r="41" spans="1:15" x14ac:dyDescent="0.25">
      <c r="A41" s="277" t="s">
        <v>364</v>
      </c>
    </row>
    <row r="42" spans="1:15" x14ac:dyDescent="0.25">
      <c r="A42" s="115" t="s">
        <v>360</v>
      </c>
      <c r="B42" s="281"/>
      <c r="D42" s="282"/>
      <c r="E42" s="17" t="s">
        <v>16</v>
      </c>
      <c r="F42" s="283">
        <v>1</v>
      </c>
      <c r="G42" s="283">
        <f>F42+1</f>
        <v>2</v>
      </c>
      <c r="H42" s="283">
        <f t="shared" ref="H42:O42" si="6">G42+1</f>
        <v>3</v>
      </c>
      <c r="I42" s="283">
        <f t="shared" si="6"/>
        <v>4</v>
      </c>
      <c r="J42" s="283">
        <f t="shared" si="6"/>
        <v>5</v>
      </c>
      <c r="K42" s="283">
        <f t="shared" si="6"/>
        <v>6</v>
      </c>
      <c r="L42" s="283">
        <f t="shared" si="6"/>
        <v>7</v>
      </c>
      <c r="M42" s="283">
        <f t="shared" si="6"/>
        <v>8</v>
      </c>
      <c r="N42" s="283">
        <f t="shared" si="6"/>
        <v>9</v>
      </c>
      <c r="O42" s="284">
        <f t="shared" si="6"/>
        <v>10</v>
      </c>
    </row>
    <row r="43" spans="1:15" x14ac:dyDescent="0.25">
      <c r="A43" s="117" t="s">
        <v>13</v>
      </c>
      <c r="B43" s="28">
        <v>10000000</v>
      </c>
      <c r="D43" s="117" t="s">
        <v>13</v>
      </c>
      <c r="E43" s="76">
        <f>-B43</f>
        <v>-10000000</v>
      </c>
      <c r="F43" s="76"/>
      <c r="G43" s="76"/>
      <c r="H43" s="76"/>
      <c r="I43" s="76"/>
      <c r="J43" s="76"/>
      <c r="K43" s="76"/>
      <c r="L43" s="76"/>
      <c r="M43" s="76"/>
      <c r="N43" s="76"/>
      <c r="O43" s="77"/>
    </row>
    <row r="44" spans="1:15" x14ac:dyDescent="0.25">
      <c r="A44" s="123" t="s">
        <v>36</v>
      </c>
      <c r="B44" s="296"/>
      <c r="D44" s="123" t="s">
        <v>79</v>
      </c>
      <c r="E44" s="76"/>
      <c r="F44" s="76">
        <f>B43*B44</f>
        <v>0</v>
      </c>
      <c r="G44" s="76">
        <f>F44*(1+$B$46)</f>
        <v>0</v>
      </c>
      <c r="H44" s="76">
        <f t="shared" ref="H44:O44" si="7">G44*(1+$B$46)</f>
        <v>0</v>
      </c>
      <c r="I44" s="76">
        <f t="shared" si="7"/>
        <v>0</v>
      </c>
      <c r="J44" s="76">
        <f t="shared" si="7"/>
        <v>0</v>
      </c>
      <c r="K44" s="76">
        <f t="shared" si="7"/>
        <v>0</v>
      </c>
      <c r="L44" s="76">
        <f t="shared" si="7"/>
        <v>0</v>
      </c>
      <c r="M44" s="76">
        <f t="shared" si="7"/>
        <v>0</v>
      </c>
      <c r="N44" s="76">
        <f t="shared" si="7"/>
        <v>0</v>
      </c>
      <c r="O44" s="77">
        <f t="shared" si="7"/>
        <v>0</v>
      </c>
    </row>
    <row r="45" spans="1:15" x14ac:dyDescent="0.25">
      <c r="A45" s="123" t="s">
        <v>82</v>
      </c>
      <c r="B45" s="297"/>
      <c r="D45" s="128" t="s">
        <v>14</v>
      </c>
      <c r="E45" s="230"/>
      <c r="F45" s="230"/>
      <c r="G45" s="230"/>
      <c r="H45" s="230"/>
      <c r="I45" s="230"/>
      <c r="J45" s="230"/>
      <c r="K45" s="230"/>
      <c r="L45" s="230"/>
      <c r="M45" s="230"/>
      <c r="N45" s="230"/>
      <c r="O45" s="232">
        <f>IFERROR((O44*(1+$B$46))/B45,0)</f>
        <v>0</v>
      </c>
    </row>
    <row r="46" spans="1:15" x14ac:dyDescent="0.25">
      <c r="A46" s="128" t="s">
        <v>81</v>
      </c>
      <c r="B46" s="276"/>
      <c r="D46" s="157" t="s">
        <v>80</v>
      </c>
      <c r="E46" s="285">
        <f>SUM(E43:E45)</f>
        <v>-10000000</v>
      </c>
      <c r="F46" s="285">
        <f t="shared" ref="F46:O46" si="8">SUM(F43:F45)</f>
        <v>0</v>
      </c>
      <c r="G46" s="285">
        <f t="shared" si="8"/>
        <v>0</v>
      </c>
      <c r="H46" s="285">
        <f t="shared" si="8"/>
        <v>0</v>
      </c>
      <c r="I46" s="285">
        <f t="shared" si="8"/>
        <v>0</v>
      </c>
      <c r="J46" s="285">
        <f t="shared" si="8"/>
        <v>0</v>
      </c>
      <c r="K46" s="285">
        <f t="shared" si="8"/>
        <v>0</v>
      </c>
      <c r="L46" s="285">
        <f t="shared" si="8"/>
        <v>0</v>
      </c>
      <c r="M46" s="285">
        <f t="shared" si="8"/>
        <v>0</v>
      </c>
      <c r="N46" s="285">
        <f t="shared" si="8"/>
        <v>0</v>
      </c>
      <c r="O46" s="286">
        <f t="shared" si="8"/>
        <v>0</v>
      </c>
    </row>
    <row r="48" spans="1:15" x14ac:dyDescent="0.25">
      <c r="A48" s="164" t="s">
        <v>78</v>
      </c>
      <c r="D48" s="279" t="s">
        <v>132</v>
      </c>
      <c r="E48" s="280" t="s">
        <v>36</v>
      </c>
      <c r="F48" s="280" t="s">
        <v>82</v>
      </c>
      <c r="G48" s="280" t="s">
        <v>81</v>
      </c>
    </row>
    <row r="49" spans="1:7" x14ac:dyDescent="0.25">
      <c r="A49" s="139" t="s">
        <v>409</v>
      </c>
      <c r="D49" s="117" t="s">
        <v>129</v>
      </c>
      <c r="E49" s="294">
        <v>6.25E-2</v>
      </c>
      <c r="F49" s="294">
        <v>6.5000000000000002E-2</v>
      </c>
      <c r="G49" s="294">
        <v>0.04</v>
      </c>
    </row>
    <row r="50" spans="1:7" x14ac:dyDescent="0.25">
      <c r="A50" s="144" t="s">
        <v>128</v>
      </c>
      <c r="D50" s="123" t="s">
        <v>130</v>
      </c>
      <c r="E50" s="295">
        <v>0.06</v>
      </c>
      <c r="F50" s="295">
        <v>6.7500000000000004E-2</v>
      </c>
      <c r="G50" s="295">
        <v>3.5000000000000003E-2</v>
      </c>
    </row>
    <row r="51" spans="1:7" x14ac:dyDescent="0.25">
      <c r="D51" s="128" t="s">
        <v>131</v>
      </c>
      <c r="E51" s="60">
        <v>5.7500000000000002E-2</v>
      </c>
      <c r="F51" s="60">
        <v>7.0000000000000007E-2</v>
      </c>
      <c r="G51" s="60">
        <v>0.03</v>
      </c>
    </row>
    <row r="52" spans="1:7" x14ac:dyDescent="0.25">
      <c r="A52" s="115" t="s">
        <v>78</v>
      </c>
      <c r="B52" s="281"/>
    </row>
    <row r="53" spans="1:7" x14ac:dyDescent="0.25">
      <c r="A53" s="117" t="s">
        <v>363</v>
      </c>
      <c r="B53" s="28" t="s">
        <v>129</v>
      </c>
    </row>
    <row r="54" spans="1:7" x14ac:dyDescent="0.25">
      <c r="A54" s="128" t="s">
        <v>135</v>
      </c>
      <c r="B54" s="276"/>
    </row>
  </sheetData>
  <conditionalFormatting sqref="E28 E35:E40">
    <cfRule type="cellIs" dxfId="2" priority="3" operator="greaterThan">
      <formula>29.99</formula>
    </cfRule>
  </conditionalFormatting>
  <dataValidations count="1">
    <dataValidation type="list" allowBlank="1" showInputMessage="1" showErrorMessage="1" sqref="B53">
      <formula1>$D$49:$D$51</formula1>
    </dataValidation>
  </dataValidations>
  <pageMargins left="0.75" right="0.75" top="1" bottom="1" header="0.5" footer="0.5"/>
  <pageSetup orientation="portrait" horizontalDpi="4294967292" verticalDpi="429496729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zoomScaleNormal="100" workbookViewId="0"/>
  </sheetViews>
  <sheetFormatPr defaultColWidth="10.875" defaultRowHeight="13.5" x14ac:dyDescent="0.25"/>
  <cols>
    <col min="1" max="1" width="48.5" style="23" bestFit="1" customWidth="1"/>
    <col min="2" max="2" width="12.5" style="23" bestFit="1" customWidth="1"/>
    <col min="3" max="3" width="22.125" style="23" bestFit="1" customWidth="1"/>
    <col min="4" max="4" width="19.875" style="23" bestFit="1" customWidth="1"/>
    <col min="5" max="5" width="14.5" style="23" bestFit="1" customWidth="1"/>
    <col min="6" max="6" width="17.125" style="23" bestFit="1" customWidth="1"/>
    <col min="7" max="7" width="10" style="23" bestFit="1" customWidth="1"/>
    <col min="8" max="14" width="9.125" style="23" bestFit="1" customWidth="1"/>
    <col min="15" max="15" width="11.75" style="23" bestFit="1" customWidth="1"/>
    <col min="16" max="16384" width="10.875" style="23"/>
  </cols>
  <sheetData>
    <row r="1" spans="1:15" x14ac:dyDescent="0.25">
      <c r="A1" s="277" t="s">
        <v>85</v>
      </c>
    </row>
    <row r="2" spans="1:15" x14ac:dyDescent="0.25">
      <c r="A2" s="115" t="s">
        <v>360</v>
      </c>
      <c r="B2" s="281"/>
      <c r="D2" s="282"/>
      <c r="E2" s="17" t="s">
        <v>16</v>
      </c>
      <c r="F2" s="283">
        <v>1</v>
      </c>
      <c r="G2" s="283">
        <f>F2+1</f>
        <v>2</v>
      </c>
      <c r="H2" s="283">
        <f t="shared" ref="H2:O2" si="0">G2+1</f>
        <v>3</v>
      </c>
      <c r="I2" s="283">
        <f t="shared" si="0"/>
        <v>4</v>
      </c>
      <c r="J2" s="283">
        <f t="shared" si="0"/>
        <v>5</v>
      </c>
      <c r="K2" s="283">
        <f t="shared" si="0"/>
        <v>6</v>
      </c>
      <c r="L2" s="283">
        <f t="shared" si="0"/>
        <v>7</v>
      </c>
      <c r="M2" s="283">
        <f t="shared" si="0"/>
        <v>8</v>
      </c>
      <c r="N2" s="283">
        <f t="shared" si="0"/>
        <v>9</v>
      </c>
      <c r="O2" s="284">
        <f t="shared" si="0"/>
        <v>10</v>
      </c>
    </row>
    <row r="3" spans="1:15" x14ac:dyDescent="0.25">
      <c r="A3" s="117" t="s">
        <v>13</v>
      </c>
      <c r="B3" s="28">
        <v>10000000</v>
      </c>
      <c r="D3" s="117" t="s">
        <v>13</v>
      </c>
      <c r="E3" s="76">
        <f>-B3</f>
        <v>-10000000</v>
      </c>
      <c r="F3" s="76"/>
      <c r="G3" s="76"/>
      <c r="H3" s="76"/>
      <c r="I3" s="76"/>
      <c r="J3" s="76"/>
      <c r="K3" s="76"/>
      <c r="L3" s="76"/>
      <c r="M3" s="76"/>
      <c r="N3" s="76"/>
      <c r="O3" s="77"/>
    </row>
    <row r="4" spans="1:15" x14ac:dyDescent="0.25">
      <c r="A4" s="123" t="s">
        <v>36</v>
      </c>
      <c r="B4" s="278">
        <v>0.06</v>
      </c>
      <c r="D4" s="123" t="s">
        <v>79</v>
      </c>
      <c r="E4" s="76"/>
      <c r="F4" s="76">
        <f>B3*B4</f>
        <v>600000</v>
      </c>
      <c r="G4" s="76">
        <f t="shared" ref="G4:O4" si="1">F4*(1+$B$6)</f>
        <v>621000</v>
      </c>
      <c r="H4" s="76">
        <f t="shared" si="1"/>
        <v>642735</v>
      </c>
      <c r="I4" s="76">
        <f t="shared" si="1"/>
        <v>665230.72499999998</v>
      </c>
      <c r="J4" s="76">
        <f t="shared" si="1"/>
        <v>688513.80037499988</v>
      </c>
      <c r="K4" s="76">
        <f t="shared" si="1"/>
        <v>712611.78338812478</v>
      </c>
      <c r="L4" s="76">
        <f t="shared" si="1"/>
        <v>737553.19580670912</v>
      </c>
      <c r="M4" s="76">
        <f t="shared" si="1"/>
        <v>763367.55765994382</v>
      </c>
      <c r="N4" s="76">
        <f t="shared" si="1"/>
        <v>790085.42217804177</v>
      </c>
      <c r="O4" s="77">
        <f t="shared" si="1"/>
        <v>817738.41195427312</v>
      </c>
    </row>
    <row r="5" spans="1:15" x14ac:dyDescent="0.25">
      <c r="A5" s="123" t="s">
        <v>82</v>
      </c>
      <c r="B5" s="29">
        <v>6.7500000000000004E-2</v>
      </c>
      <c r="D5" s="128" t="s">
        <v>14</v>
      </c>
      <c r="E5" s="230"/>
      <c r="F5" s="230"/>
      <c r="G5" s="230"/>
      <c r="H5" s="230"/>
      <c r="I5" s="230"/>
      <c r="J5" s="230"/>
      <c r="K5" s="230"/>
      <c r="L5" s="230"/>
      <c r="M5" s="230"/>
      <c r="N5" s="230"/>
      <c r="O5" s="232">
        <f>(O4*(1+B6))/B5</f>
        <v>12538655.649965519</v>
      </c>
    </row>
    <row r="6" spans="1:15" x14ac:dyDescent="0.25">
      <c r="A6" s="128" t="s">
        <v>81</v>
      </c>
      <c r="B6" s="171">
        <v>3.5000000000000003E-2</v>
      </c>
      <c r="D6" s="157" t="s">
        <v>80</v>
      </c>
      <c r="E6" s="285">
        <f>SUM(E3:E5)</f>
        <v>-10000000</v>
      </c>
      <c r="F6" s="285">
        <f t="shared" ref="F6:O6" si="2">SUM(F3:F5)</f>
        <v>600000</v>
      </c>
      <c r="G6" s="285">
        <f t="shared" si="2"/>
        <v>621000</v>
      </c>
      <c r="H6" s="285">
        <f t="shared" si="2"/>
        <v>642735</v>
      </c>
      <c r="I6" s="285">
        <f t="shared" si="2"/>
        <v>665230.72499999998</v>
      </c>
      <c r="J6" s="285">
        <f t="shared" si="2"/>
        <v>688513.80037499988</v>
      </c>
      <c r="K6" s="285">
        <f t="shared" si="2"/>
        <v>712611.78338812478</v>
      </c>
      <c r="L6" s="285">
        <f t="shared" si="2"/>
        <v>737553.19580670912</v>
      </c>
      <c r="M6" s="285">
        <f t="shared" si="2"/>
        <v>763367.55765994382</v>
      </c>
      <c r="N6" s="285">
        <f t="shared" si="2"/>
        <v>790085.42217804177</v>
      </c>
      <c r="O6" s="286">
        <f t="shared" si="2"/>
        <v>13356394.061919792</v>
      </c>
    </row>
    <row r="8" spans="1:15" x14ac:dyDescent="0.25">
      <c r="A8" s="164" t="s">
        <v>75</v>
      </c>
      <c r="D8" s="115" t="s">
        <v>361</v>
      </c>
      <c r="E8" s="116"/>
      <c r="F8" s="116"/>
      <c r="G8" s="116"/>
      <c r="H8" s="116"/>
      <c r="I8" s="41"/>
    </row>
    <row r="9" spans="1:15" x14ac:dyDescent="0.25">
      <c r="A9" s="228" t="s">
        <v>84</v>
      </c>
      <c r="D9" s="421"/>
      <c r="E9" s="287">
        <v>2.5000000000000001E-2</v>
      </c>
      <c r="F9" s="287">
        <v>3.0000000000000002E-2</v>
      </c>
      <c r="G9" s="287">
        <v>3.5000000000000003E-2</v>
      </c>
      <c r="H9" s="287">
        <v>0.04</v>
      </c>
      <c r="I9" s="288">
        <v>4.4999999999999998E-2</v>
      </c>
    </row>
    <row r="10" spans="1:15" x14ac:dyDescent="0.25">
      <c r="D10" s="293">
        <f>IRR(E6:O6)</f>
        <v>8.5818496032070479E-2</v>
      </c>
      <c r="E10" s="300">
        <f t="dataTable" ref="E10:I10" dt2D="0" dtr="1" r1="B6"/>
        <v>7.5932200493161961E-2</v>
      </c>
      <c r="F10" s="300">
        <v>8.0875356051826497E-2</v>
      </c>
      <c r="G10" s="300">
        <v>8.5818496032070479E-2</v>
      </c>
      <c r="H10" s="300">
        <v>9.0761620645682717E-2</v>
      </c>
      <c r="I10" s="300">
        <v>9.5704730100648172E-2</v>
      </c>
    </row>
    <row r="12" spans="1:15" x14ac:dyDescent="0.25">
      <c r="A12" s="164" t="s">
        <v>76</v>
      </c>
      <c r="D12" s="115" t="s">
        <v>362</v>
      </c>
      <c r="E12" s="116"/>
      <c r="F12" s="116"/>
      <c r="G12" s="116"/>
      <c r="H12" s="116"/>
      <c r="I12" s="41"/>
    </row>
    <row r="13" spans="1:15" x14ac:dyDescent="0.25">
      <c r="A13" s="144" t="s">
        <v>83</v>
      </c>
      <c r="D13" s="289">
        <f>IRR(E6:O6)</f>
        <v>8.5818496032070479E-2</v>
      </c>
      <c r="E13" s="290">
        <v>2.5000000000000001E-2</v>
      </c>
      <c r="F13" s="290">
        <v>3.0000000000000002E-2</v>
      </c>
      <c r="G13" s="290">
        <v>3.5000000000000003E-2</v>
      </c>
      <c r="H13" s="290">
        <v>0.04</v>
      </c>
      <c r="I13" s="291">
        <v>4.4999999999999998E-2</v>
      </c>
    </row>
    <row r="14" spans="1:15" x14ac:dyDescent="0.25">
      <c r="D14" s="292">
        <v>6.25E-2</v>
      </c>
      <c r="E14" s="300">
        <f t="dataTable" ref="E14:I18" dt2D="1" dtr="1" r1="B6" r2="B5" ca="1"/>
        <v>8.1822119453109687E-2</v>
      </c>
      <c r="F14" s="300">
        <v>8.6802302637009721E-2</v>
      </c>
      <c r="G14" s="300">
        <v>9.1782480728259896E-2</v>
      </c>
      <c r="H14" s="300">
        <v>9.676265379657023E-2</v>
      </c>
      <c r="I14" s="300">
        <v>0.10174282191039286</v>
      </c>
    </row>
    <row r="15" spans="1:15" x14ac:dyDescent="0.25">
      <c r="D15" s="292">
        <v>6.5000000000000002E-2</v>
      </c>
      <c r="E15" s="300">
        <v>7.8803906596749629E-2</v>
      </c>
      <c r="F15" s="300">
        <v>8.3765165035225131E-2</v>
      </c>
      <c r="G15" s="300">
        <v>8.8726413185509889E-2</v>
      </c>
      <c r="H15" s="300">
        <v>9.3687651187949639E-2</v>
      </c>
      <c r="I15" s="300">
        <v>9.8648879180362803E-2</v>
      </c>
    </row>
    <row r="16" spans="1:15" x14ac:dyDescent="0.25">
      <c r="D16" s="292">
        <v>6.7500000000000004E-2</v>
      </c>
      <c r="E16" s="300">
        <v>7.5932200493161961E-2</v>
      </c>
      <c r="F16" s="300">
        <v>8.0875356051826497E-2</v>
      </c>
      <c r="G16" s="300">
        <v>8.5818496032070479E-2</v>
      </c>
      <c r="H16" s="300">
        <v>9.0761620645682717E-2</v>
      </c>
      <c r="I16" s="300">
        <v>9.5704730100648172E-2</v>
      </c>
    </row>
    <row r="17" spans="1:15" x14ac:dyDescent="0.25">
      <c r="D17" s="292">
        <v>7.0000000000000007E-2</v>
      </c>
      <c r="E17" s="300">
        <v>7.3195346376942361E-2</v>
      </c>
      <c r="F17" s="300">
        <v>7.8121158585950701E-2</v>
      </c>
      <c r="G17" s="300">
        <v>8.3046949839191031E-2</v>
      </c>
      <c r="H17" s="300">
        <v>8.7972720420589123E-2</v>
      </c>
      <c r="I17" s="300">
        <v>9.28984706089937E-2</v>
      </c>
    </row>
    <row r="18" spans="1:15" x14ac:dyDescent="0.25">
      <c r="D18" s="293">
        <v>7.2500000000000009E-2</v>
      </c>
      <c r="E18" s="300">
        <v>7.0582977322496854E-2</v>
      </c>
      <c r="F18" s="300">
        <v>7.5492150117753454E-2</v>
      </c>
      <c r="G18" s="300">
        <v>8.0401296499772235E-2</v>
      </c>
      <c r="H18" s="300">
        <v>8.5310416825216118E-2</v>
      </c>
      <c r="I18" s="300">
        <v>9.0219511444396217E-2</v>
      </c>
    </row>
    <row r="19" spans="1:15" x14ac:dyDescent="0.25">
      <c r="F19" s="159"/>
      <c r="G19" s="159"/>
      <c r="H19" s="159"/>
      <c r="I19" s="159"/>
      <c r="J19" s="159"/>
    </row>
    <row r="20" spans="1:15" x14ac:dyDescent="0.25">
      <c r="D20" s="298"/>
      <c r="E20" s="299"/>
      <c r="F20" s="159"/>
      <c r="G20" s="159"/>
      <c r="H20" s="159"/>
      <c r="I20" s="159"/>
      <c r="J20" s="159"/>
    </row>
    <row r="21" spans="1:15" x14ac:dyDescent="0.25">
      <c r="A21" s="164" t="s">
        <v>77</v>
      </c>
      <c r="D21" s="115" t="s">
        <v>362</v>
      </c>
      <c r="E21" s="116"/>
      <c r="F21" s="116"/>
      <c r="G21" s="116"/>
      <c r="H21" s="116"/>
      <c r="I21" s="41"/>
    </row>
    <row r="22" spans="1:15" x14ac:dyDescent="0.25">
      <c r="A22" s="144" t="s">
        <v>365</v>
      </c>
      <c r="D22" s="289">
        <f>IRR(E6:O6)</f>
        <v>8.5818496032070479E-2</v>
      </c>
      <c r="E22" s="290">
        <v>2.5000000000000001E-2</v>
      </c>
      <c r="F22" s="290">
        <v>3.0000000000000002E-2</v>
      </c>
      <c r="G22" s="290">
        <v>3.5000000000000003E-2</v>
      </c>
      <c r="H22" s="290">
        <v>0.04</v>
      </c>
      <c r="I22" s="291">
        <v>4.4999999999999998E-2</v>
      </c>
    </row>
    <row r="23" spans="1:15" x14ac:dyDescent="0.25">
      <c r="D23" s="292">
        <v>6.25E-2</v>
      </c>
      <c r="E23" s="300">
        <f t="dataTable" ref="E23:I27" dt2D="1" dtr="1" r1="B6" r2="B5" ca="1"/>
        <v>8.1822119453109687E-2</v>
      </c>
      <c r="F23" s="300">
        <v>8.6802302637009721E-2</v>
      </c>
      <c r="G23" s="300">
        <v>9.1782480728259896E-2</v>
      </c>
      <c r="H23" s="300">
        <v>9.676265379657023E-2</v>
      </c>
      <c r="I23" s="300">
        <v>0.10174282191039286</v>
      </c>
    </row>
    <row r="24" spans="1:15" x14ac:dyDescent="0.25">
      <c r="D24" s="292">
        <v>6.5000000000000002E-2</v>
      </c>
      <c r="E24" s="300">
        <v>7.8803906596749629E-2</v>
      </c>
      <c r="F24" s="300">
        <v>8.3765165035225131E-2</v>
      </c>
      <c r="G24" s="300">
        <v>8.8726413185509889E-2</v>
      </c>
      <c r="H24" s="300">
        <v>9.3687651187949639E-2</v>
      </c>
      <c r="I24" s="300">
        <v>9.8648879180362803E-2</v>
      </c>
    </row>
    <row r="25" spans="1:15" x14ac:dyDescent="0.25">
      <c r="D25" s="292">
        <v>6.7500000000000004E-2</v>
      </c>
      <c r="E25" s="300">
        <v>7.5932200493161961E-2</v>
      </c>
      <c r="F25" s="300">
        <v>8.0875356051826497E-2</v>
      </c>
      <c r="G25" s="300">
        <v>8.5818496032070479E-2</v>
      </c>
      <c r="H25" s="300">
        <v>9.0761620645682717E-2</v>
      </c>
      <c r="I25" s="300">
        <v>9.5704730100648172E-2</v>
      </c>
    </row>
    <row r="26" spans="1:15" x14ac:dyDescent="0.25">
      <c r="D26" s="292">
        <v>7.0000000000000007E-2</v>
      </c>
      <c r="E26" s="300">
        <v>7.3195346376942361E-2</v>
      </c>
      <c r="F26" s="300">
        <v>7.8121158585950701E-2</v>
      </c>
      <c r="G26" s="300">
        <v>8.3046949839191031E-2</v>
      </c>
      <c r="H26" s="300">
        <v>8.7972720420589123E-2</v>
      </c>
      <c r="I26" s="300">
        <v>9.28984706089937E-2</v>
      </c>
    </row>
    <row r="27" spans="1:15" x14ac:dyDescent="0.25">
      <c r="D27" s="293">
        <v>7.2500000000000009E-2</v>
      </c>
      <c r="E27" s="300">
        <v>7.0582977322496854E-2</v>
      </c>
      <c r="F27" s="300">
        <v>7.5492150117753454E-2</v>
      </c>
      <c r="G27" s="300">
        <v>8.0401296499772235E-2</v>
      </c>
      <c r="H27" s="300">
        <v>8.5310416825216118E-2</v>
      </c>
      <c r="I27" s="300">
        <v>9.0219511444396217E-2</v>
      </c>
    </row>
    <row r="28" spans="1:15" x14ac:dyDescent="0.25">
      <c r="D28" s="147"/>
      <c r="E28" s="147"/>
    </row>
    <row r="29" spans="1:15" x14ac:dyDescent="0.25">
      <c r="A29" s="277" t="s">
        <v>85</v>
      </c>
    </row>
    <row r="30" spans="1:15" x14ac:dyDescent="0.25">
      <c r="A30" s="115" t="s">
        <v>360</v>
      </c>
      <c r="B30" s="281"/>
      <c r="D30" s="282"/>
      <c r="E30" s="17" t="s">
        <v>16</v>
      </c>
      <c r="F30" s="283">
        <v>1</v>
      </c>
      <c r="G30" s="283">
        <f>F30+1</f>
        <v>2</v>
      </c>
      <c r="H30" s="283">
        <f t="shared" ref="H30:O30" si="3">G30+1</f>
        <v>3</v>
      </c>
      <c r="I30" s="283">
        <f t="shared" si="3"/>
        <v>4</v>
      </c>
      <c r="J30" s="283">
        <f t="shared" si="3"/>
        <v>5</v>
      </c>
      <c r="K30" s="283">
        <f t="shared" si="3"/>
        <v>6</v>
      </c>
      <c r="L30" s="283">
        <f t="shared" si="3"/>
        <v>7</v>
      </c>
      <c r="M30" s="283">
        <f t="shared" si="3"/>
        <v>8</v>
      </c>
      <c r="N30" s="283">
        <f t="shared" si="3"/>
        <v>9</v>
      </c>
      <c r="O30" s="284">
        <f t="shared" si="3"/>
        <v>10</v>
      </c>
    </row>
    <row r="31" spans="1:15" x14ac:dyDescent="0.25">
      <c r="A31" s="117" t="s">
        <v>13</v>
      </c>
      <c r="B31" s="326">
        <v>9045000</v>
      </c>
      <c r="D31" s="117" t="s">
        <v>13</v>
      </c>
      <c r="E31" s="76">
        <f>-B31</f>
        <v>-9045000</v>
      </c>
      <c r="F31" s="76"/>
      <c r="G31" s="76"/>
      <c r="H31" s="76"/>
      <c r="I31" s="76"/>
      <c r="J31" s="76"/>
      <c r="K31" s="76"/>
      <c r="L31" s="76"/>
      <c r="M31" s="76"/>
      <c r="N31" s="76"/>
      <c r="O31" s="77"/>
    </row>
    <row r="32" spans="1:15" x14ac:dyDescent="0.25">
      <c r="A32" s="123" t="s">
        <v>89</v>
      </c>
      <c r="B32" s="302">
        <v>600000</v>
      </c>
      <c r="D32" s="123" t="s">
        <v>79</v>
      </c>
      <c r="E32" s="76"/>
      <c r="F32" s="76">
        <f>B32</f>
        <v>600000</v>
      </c>
      <c r="G32" s="76">
        <f t="shared" ref="G32:O32" si="4">F32*(1+$B$6)</f>
        <v>621000</v>
      </c>
      <c r="H32" s="76">
        <f t="shared" si="4"/>
        <v>642735</v>
      </c>
      <c r="I32" s="76">
        <f t="shared" si="4"/>
        <v>665230.72499999998</v>
      </c>
      <c r="J32" s="76">
        <f t="shared" si="4"/>
        <v>688513.80037499988</v>
      </c>
      <c r="K32" s="76">
        <f t="shared" si="4"/>
        <v>712611.78338812478</v>
      </c>
      <c r="L32" s="76">
        <f t="shared" si="4"/>
        <v>737553.19580670912</v>
      </c>
      <c r="M32" s="76">
        <f t="shared" si="4"/>
        <v>763367.55765994382</v>
      </c>
      <c r="N32" s="76">
        <f t="shared" si="4"/>
        <v>790085.42217804177</v>
      </c>
      <c r="O32" s="77">
        <f t="shared" si="4"/>
        <v>817738.41195427312</v>
      </c>
    </row>
    <row r="33" spans="1:15" x14ac:dyDescent="0.25">
      <c r="A33" s="123" t="s">
        <v>82</v>
      </c>
      <c r="B33" s="29">
        <v>6.7500000000000004E-2</v>
      </c>
      <c r="D33" s="128" t="s">
        <v>14</v>
      </c>
      <c r="E33" s="230"/>
      <c r="F33" s="230"/>
      <c r="G33" s="230"/>
      <c r="H33" s="230"/>
      <c r="I33" s="230"/>
      <c r="J33" s="230"/>
      <c r="K33" s="230"/>
      <c r="L33" s="230"/>
      <c r="M33" s="230"/>
      <c r="N33" s="230"/>
      <c r="O33" s="232">
        <f>(O32*(1+B34))/B33</f>
        <v>12538655.649965519</v>
      </c>
    </row>
    <row r="34" spans="1:15" x14ac:dyDescent="0.25">
      <c r="A34" s="128" t="s">
        <v>81</v>
      </c>
      <c r="B34" s="171">
        <v>3.5000000000000003E-2</v>
      </c>
      <c r="D34" s="157" t="s">
        <v>80</v>
      </c>
      <c r="E34" s="285">
        <f>SUM(E31:E33)</f>
        <v>-9045000</v>
      </c>
      <c r="F34" s="285">
        <f t="shared" ref="F34:O34" si="5">SUM(F31:F33)</f>
        <v>600000</v>
      </c>
      <c r="G34" s="285">
        <f t="shared" si="5"/>
        <v>621000</v>
      </c>
      <c r="H34" s="285">
        <f t="shared" si="5"/>
        <v>642735</v>
      </c>
      <c r="I34" s="285">
        <f t="shared" si="5"/>
        <v>665230.72499999998</v>
      </c>
      <c r="J34" s="285">
        <f t="shared" si="5"/>
        <v>688513.80037499988</v>
      </c>
      <c r="K34" s="285">
        <f t="shared" si="5"/>
        <v>712611.78338812478</v>
      </c>
      <c r="L34" s="285">
        <f t="shared" si="5"/>
        <v>737553.19580670912</v>
      </c>
      <c r="M34" s="285">
        <f t="shared" si="5"/>
        <v>763367.55765994382</v>
      </c>
      <c r="N34" s="285">
        <f t="shared" si="5"/>
        <v>790085.42217804177</v>
      </c>
      <c r="O34" s="286">
        <f t="shared" si="5"/>
        <v>13356394.061919792</v>
      </c>
    </row>
    <row r="35" spans="1:15" x14ac:dyDescent="0.25">
      <c r="A35" s="157" t="s">
        <v>366</v>
      </c>
      <c r="B35" s="301">
        <f>IRR(E34:O34)</f>
        <v>9.9997442864709685E-2</v>
      </c>
      <c r="D35" s="147"/>
      <c r="E35" s="147"/>
    </row>
    <row r="36" spans="1:15" x14ac:dyDescent="0.25">
      <c r="D36" s="147"/>
      <c r="E36" s="147"/>
    </row>
    <row r="37" spans="1:15" x14ac:dyDescent="0.25">
      <c r="A37" s="164" t="s">
        <v>74</v>
      </c>
      <c r="D37" s="147"/>
      <c r="E37" s="147"/>
    </row>
    <row r="38" spans="1:15" x14ac:dyDescent="0.25">
      <c r="A38" s="141" t="s">
        <v>400</v>
      </c>
      <c r="D38" s="147"/>
      <c r="E38" s="147"/>
    </row>
    <row r="39" spans="1:15" x14ac:dyDescent="0.25">
      <c r="A39" s="144" t="s">
        <v>401</v>
      </c>
      <c r="D39" s="147"/>
      <c r="E39" s="147"/>
    </row>
    <row r="40" spans="1:15" x14ac:dyDescent="0.25">
      <c r="D40" s="147"/>
      <c r="E40" s="147"/>
    </row>
    <row r="41" spans="1:15" x14ac:dyDescent="0.25">
      <c r="A41" s="277" t="s">
        <v>364</v>
      </c>
    </row>
    <row r="42" spans="1:15" x14ac:dyDescent="0.25">
      <c r="A42" s="115" t="s">
        <v>360</v>
      </c>
      <c r="B42" s="281"/>
      <c r="D42" s="282"/>
      <c r="E42" s="17" t="s">
        <v>16</v>
      </c>
      <c r="F42" s="283">
        <v>1</v>
      </c>
      <c r="G42" s="283">
        <f>F42+1</f>
        <v>2</v>
      </c>
      <c r="H42" s="283">
        <f t="shared" ref="H42:O42" si="6">G42+1</f>
        <v>3</v>
      </c>
      <c r="I42" s="283">
        <f t="shared" si="6"/>
        <v>4</v>
      </c>
      <c r="J42" s="283">
        <f t="shared" si="6"/>
        <v>5</v>
      </c>
      <c r="K42" s="283">
        <f t="shared" si="6"/>
        <v>6</v>
      </c>
      <c r="L42" s="283">
        <f t="shared" si="6"/>
        <v>7</v>
      </c>
      <c r="M42" s="283">
        <f t="shared" si="6"/>
        <v>8</v>
      </c>
      <c r="N42" s="283">
        <f t="shared" si="6"/>
        <v>9</v>
      </c>
      <c r="O42" s="284">
        <f t="shared" si="6"/>
        <v>10</v>
      </c>
    </row>
    <row r="43" spans="1:15" x14ac:dyDescent="0.25">
      <c r="A43" s="117" t="s">
        <v>13</v>
      </c>
      <c r="B43" s="28">
        <v>10000000</v>
      </c>
      <c r="D43" s="117" t="s">
        <v>13</v>
      </c>
      <c r="E43" s="76">
        <f>-B43</f>
        <v>-10000000</v>
      </c>
      <c r="F43" s="76"/>
      <c r="G43" s="76"/>
      <c r="H43" s="76"/>
      <c r="I43" s="76"/>
      <c r="J43" s="76"/>
      <c r="K43" s="76"/>
      <c r="L43" s="76"/>
      <c r="M43" s="76"/>
      <c r="N43" s="76"/>
      <c r="O43" s="77"/>
    </row>
    <row r="44" spans="1:15" x14ac:dyDescent="0.25">
      <c r="A44" s="123" t="s">
        <v>36</v>
      </c>
      <c r="B44" s="296">
        <f>INDEX($E$49:$G$51,MATCH($B$53,$D$49:$D$51,0),MATCH(A44,$E$48:$G$48,0))</f>
        <v>6.25E-2</v>
      </c>
      <c r="D44" s="123" t="s">
        <v>79</v>
      </c>
      <c r="E44" s="76"/>
      <c r="F44" s="76">
        <f>B43*B44</f>
        <v>625000</v>
      </c>
      <c r="G44" s="76">
        <f>F44*(1+$B$46)</f>
        <v>650000</v>
      </c>
      <c r="H44" s="76">
        <f t="shared" ref="H44:O44" si="7">G44*(1+$B$46)</f>
        <v>676000</v>
      </c>
      <c r="I44" s="76">
        <f t="shared" si="7"/>
        <v>703040</v>
      </c>
      <c r="J44" s="76">
        <f t="shared" si="7"/>
        <v>731161.59999999998</v>
      </c>
      <c r="K44" s="76">
        <f t="shared" si="7"/>
        <v>760408.06400000001</v>
      </c>
      <c r="L44" s="76">
        <f t="shared" si="7"/>
        <v>790824.38656000001</v>
      </c>
      <c r="M44" s="76">
        <f t="shared" si="7"/>
        <v>822457.36202240002</v>
      </c>
      <c r="N44" s="76">
        <f t="shared" si="7"/>
        <v>855355.65650329599</v>
      </c>
      <c r="O44" s="77">
        <f t="shared" si="7"/>
        <v>889569.88276342792</v>
      </c>
    </row>
    <row r="45" spans="1:15" x14ac:dyDescent="0.25">
      <c r="A45" s="123" t="s">
        <v>82</v>
      </c>
      <c r="B45" s="297">
        <f t="shared" ref="B45:B46" si="8">INDEX($E$49:$G$51,MATCH($B$53,$D$49:$D$51,0),MATCH(A45,$E$48:$G$48,0))</f>
        <v>6.5000000000000002E-2</v>
      </c>
      <c r="D45" s="128" t="s">
        <v>14</v>
      </c>
      <c r="E45" s="230"/>
      <c r="F45" s="230"/>
      <c r="G45" s="230"/>
      <c r="H45" s="230"/>
      <c r="I45" s="230"/>
      <c r="J45" s="230"/>
      <c r="K45" s="230"/>
      <c r="L45" s="230"/>
      <c r="M45" s="230"/>
      <c r="N45" s="230"/>
      <c r="O45" s="232">
        <f>IFERROR((O44*(1+$B$46))/B45,0)</f>
        <v>14233118.124214847</v>
      </c>
    </row>
    <row r="46" spans="1:15" x14ac:dyDescent="0.25">
      <c r="A46" s="128" t="s">
        <v>81</v>
      </c>
      <c r="B46" s="276">
        <f t="shared" si="8"/>
        <v>0.04</v>
      </c>
      <c r="D46" s="157" t="s">
        <v>80</v>
      </c>
      <c r="E46" s="285">
        <f>SUM(E43:E45)</f>
        <v>-10000000</v>
      </c>
      <c r="F46" s="285">
        <f t="shared" ref="F46:O46" si="9">SUM(F43:F45)</f>
        <v>625000</v>
      </c>
      <c r="G46" s="285">
        <f t="shared" si="9"/>
        <v>650000</v>
      </c>
      <c r="H46" s="285">
        <f t="shared" si="9"/>
        <v>676000</v>
      </c>
      <c r="I46" s="285">
        <f t="shared" si="9"/>
        <v>703040</v>
      </c>
      <c r="J46" s="285">
        <f t="shared" si="9"/>
        <v>731161.59999999998</v>
      </c>
      <c r="K46" s="285">
        <f t="shared" si="9"/>
        <v>760408.06400000001</v>
      </c>
      <c r="L46" s="285">
        <f t="shared" si="9"/>
        <v>790824.38656000001</v>
      </c>
      <c r="M46" s="285">
        <f t="shared" si="9"/>
        <v>822457.36202240002</v>
      </c>
      <c r="N46" s="285">
        <f t="shared" si="9"/>
        <v>855355.65650329599</v>
      </c>
      <c r="O46" s="286">
        <f t="shared" si="9"/>
        <v>15122688.006978275</v>
      </c>
    </row>
    <row r="48" spans="1:15" x14ac:dyDescent="0.25">
      <c r="A48" s="164" t="s">
        <v>78</v>
      </c>
      <c r="D48" s="279" t="s">
        <v>132</v>
      </c>
      <c r="E48" s="280" t="s">
        <v>36</v>
      </c>
      <c r="F48" s="280" t="s">
        <v>82</v>
      </c>
      <c r="G48" s="280" t="s">
        <v>81</v>
      </c>
    </row>
    <row r="49" spans="1:7" x14ac:dyDescent="0.25">
      <c r="A49" s="139" t="s">
        <v>409</v>
      </c>
      <c r="D49" s="117" t="s">
        <v>129</v>
      </c>
      <c r="E49" s="294">
        <v>6.25E-2</v>
      </c>
      <c r="F49" s="294">
        <v>6.5000000000000002E-2</v>
      </c>
      <c r="G49" s="294">
        <v>0.04</v>
      </c>
    </row>
    <row r="50" spans="1:7" x14ac:dyDescent="0.25">
      <c r="A50" s="144" t="s">
        <v>128</v>
      </c>
      <c r="D50" s="123" t="s">
        <v>130</v>
      </c>
      <c r="E50" s="295">
        <v>0.06</v>
      </c>
      <c r="F50" s="295">
        <v>6.7500000000000004E-2</v>
      </c>
      <c r="G50" s="295">
        <v>3.5000000000000003E-2</v>
      </c>
    </row>
    <row r="51" spans="1:7" x14ac:dyDescent="0.25">
      <c r="D51" s="128" t="s">
        <v>131</v>
      </c>
      <c r="E51" s="60">
        <v>5.7500000000000002E-2</v>
      </c>
      <c r="F51" s="60">
        <v>7.0000000000000007E-2</v>
      </c>
      <c r="G51" s="60">
        <v>0.03</v>
      </c>
    </row>
    <row r="52" spans="1:7" x14ac:dyDescent="0.25">
      <c r="A52" s="115" t="s">
        <v>78</v>
      </c>
      <c r="B52" s="281"/>
    </row>
    <row r="53" spans="1:7" x14ac:dyDescent="0.25">
      <c r="A53" s="117" t="s">
        <v>363</v>
      </c>
      <c r="B53" s="28" t="s">
        <v>129</v>
      </c>
    </row>
    <row r="54" spans="1:7" x14ac:dyDescent="0.25">
      <c r="A54" s="128" t="s">
        <v>135</v>
      </c>
      <c r="B54" s="276">
        <f>IRR(E46:O46)</f>
        <v>9.942426357180012E-2</v>
      </c>
    </row>
  </sheetData>
  <conditionalFormatting sqref="E28 E35:E40">
    <cfRule type="cellIs" dxfId="1" priority="2" operator="greaterThan">
      <formula>29.99</formula>
    </cfRule>
  </conditionalFormatting>
  <conditionalFormatting sqref="E23:I27">
    <cfRule type="cellIs" dxfId="0" priority="1" operator="greaterThan">
      <formula>0.09</formula>
    </cfRule>
  </conditionalFormatting>
  <dataValidations count="1">
    <dataValidation type="list" allowBlank="1" showInputMessage="1" showErrorMessage="1" sqref="B53">
      <formula1>$D$49:$D$51</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1</vt:i4>
      </vt:variant>
    </vt:vector>
  </HeadingPairs>
  <TitlesOfParts>
    <vt:vector size="41" baseType="lpstr">
      <vt:lpstr>Read Me First</vt:lpstr>
      <vt:lpstr>Annual Cash Flows</vt:lpstr>
      <vt:lpstr>Dynamic Modeling</vt:lpstr>
      <vt:lpstr>Dynamic Modeling - Solution</vt:lpstr>
      <vt:lpstr>Excel Shortcuts</vt:lpstr>
      <vt:lpstr>Excel Shortcuts - Solution</vt:lpstr>
      <vt:lpstr>IF Functions</vt:lpstr>
      <vt:lpstr>IF Functions - Solution</vt:lpstr>
      <vt:lpstr>Lookup Functions</vt:lpstr>
      <vt:lpstr>Lookup Functions - Solution</vt:lpstr>
      <vt:lpstr>Other Functions</vt:lpstr>
      <vt:lpstr>Other Functions - Solution</vt:lpstr>
      <vt:lpstr>TVM Functions</vt:lpstr>
      <vt:lpstr>TVM Functions - Solution</vt:lpstr>
      <vt:lpstr>Revenue Modeling</vt:lpstr>
      <vt:lpstr>Revenue Modeling - Solution</vt:lpstr>
      <vt:lpstr>Reimbursements</vt:lpstr>
      <vt:lpstr>Reimbursements - Solution</vt:lpstr>
      <vt:lpstr>Operations &amp; Renewal</vt:lpstr>
      <vt:lpstr>Operations &amp; Renewal - Solution</vt:lpstr>
      <vt:lpstr>Capital Expenses</vt:lpstr>
      <vt:lpstr>Capital Expenses - Solution</vt:lpstr>
      <vt:lpstr>Loan Functions</vt:lpstr>
      <vt:lpstr>Loan Functions - Solution</vt:lpstr>
      <vt:lpstr>Loan Amortization</vt:lpstr>
      <vt:lpstr>Loan Amortization - Solution</vt:lpstr>
      <vt:lpstr>Loan Constraints</vt:lpstr>
      <vt:lpstr>Loan Constraints - Solution</vt:lpstr>
      <vt:lpstr>Loan Sizing</vt:lpstr>
      <vt:lpstr>Loan Sizing - Solution</vt:lpstr>
      <vt:lpstr>Cap Rate</vt:lpstr>
      <vt:lpstr>Cap Rate - Solution</vt:lpstr>
      <vt:lpstr>Return Metrics</vt:lpstr>
      <vt:lpstr>Return Metrics - Solution</vt:lpstr>
      <vt:lpstr>XNPV-XIRR</vt:lpstr>
      <vt:lpstr>XNPV-XIRR - Solution</vt:lpstr>
      <vt:lpstr>Pro Forma Modeling</vt:lpstr>
      <vt:lpstr>Pro Forma Modeling - Solution</vt:lpstr>
      <vt:lpstr>Scenario Analysis</vt:lpstr>
      <vt:lpstr>Scenario Analysis - Solution</vt:lpstr>
      <vt:lpstr>'Read Me First'!Print_Area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Michael Hayes</cp:lastModifiedBy>
  <dcterms:created xsi:type="dcterms:W3CDTF">2018-02-09T18:37:20Z</dcterms:created>
  <dcterms:modified xsi:type="dcterms:W3CDTF">2023-10-29T18:53:02Z</dcterms:modified>
</cp:coreProperties>
</file>